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4505" yWindow="45" windowWidth="14310" windowHeight="12780" tabRatio="798"/>
  </bookViews>
  <sheets>
    <sheet name="Summary" sheetId="17" r:id="rId1"/>
    <sheet name="Orch + IODA iTunes Details" sheetId="11" r:id="rId2"/>
    <sheet name="iTunes Hidden Labels Summary" sheetId="29" r:id="rId3"/>
    <sheet name="Orch Weekly Mgmt" sheetId="1" state="hidden" r:id="rId4"/>
    <sheet name="IODA Weekly iTunes" sheetId="10" state="hidden" r:id="rId5"/>
    <sheet name="IRIS iTunes" sheetId="13" state="hidden" r:id="rId6"/>
    <sheet name="Orch iTunes data" sheetId="2" state="hidden" r:id="rId7"/>
    <sheet name="IODA iTunes data" sheetId="12" state="hidden" r:id="rId8"/>
    <sheet name="IRIS iTunes data" sheetId="14" state="hidden" r:id="rId9"/>
    <sheet name="Deezer" sheetId="7" state="hidden" r:id="rId10"/>
    <sheet name="Youtube" sheetId="9" state="hidden" r:id="rId11"/>
    <sheet name="Spotify" sheetId="15" state="hidden" r:id="rId12"/>
    <sheet name="Amazon" sheetId="16" state="hidden" r:id="rId13"/>
    <sheet name="Cricket" sheetId="18" state="hidden" r:id="rId14"/>
    <sheet name="reference" sheetId="35" state="hidden" r:id="rId15"/>
    <sheet name="explanation of DEC projection" sheetId="36" state="hidden" r:id="rId16"/>
    <sheet name="hidden titles_data" sheetId="37" state="hidden" r:id="rId17"/>
  </sheets>
  <externalReferences>
    <externalReference r:id="rId18"/>
    <externalReference r:id="rId19"/>
  </externalReferences>
  <definedNames>
    <definedName name="_xlnm._FilterDatabase" localSheetId="16" hidden="1">'hidden titles_data'!$A$1:$D$42</definedName>
    <definedName name="_xlnm._FilterDatabase" localSheetId="2" hidden="1">'iTunes Hidden Labels Summary'!$A$2:$E$2</definedName>
    <definedName name="_xlnm._FilterDatabase" localSheetId="3" hidden="1">'Orch Weekly Mgmt'!#REF!</definedName>
    <definedName name="eur_fx">#REF!</definedName>
    <definedName name="mymonth">'[1]iTunes OVERVIEW'!$E$1</definedName>
    <definedName name="mythirdmonth">'[1]Verizon OVERVIEW '!#REF!</definedName>
  </definedNames>
  <calcPr calcId="145621"/>
  <pivotCaches>
    <pivotCache cacheId="0" r:id="rId20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4" i="17" l="1"/>
  <c r="N108" i="2" l="1"/>
  <c r="K259" i="29" l="1"/>
  <c r="L259" i="29"/>
  <c r="D191" i="29"/>
  <c r="E191" i="29"/>
  <c r="H108" i="2" l="1"/>
  <c r="D10" i="17" l="1"/>
  <c r="K8" i="17" l="1"/>
  <c r="K9" i="17"/>
  <c r="K7" i="17"/>
  <c r="B108" i="2" l="1"/>
  <c r="D24" i="17" l="1"/>
  <c r="I95" i="13" l="1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68" i="13"/>
  <c r="I62" i="13"/>
  <c r="I63" i="13"/>
  <c r="I64" i="13"/>
  <c r="I65" i="13"/>
  <c r="I66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38" i="13"/>
  <c r="I39" i="13"/>
  <c r="I40" i="13"/>
  <c r="I41" i="13"/>
  <c r="I42" i="13"/>
  <c r="I43" i="13"/>
  <c r="I44" i="13"/>
  <c r="I45" i="13"/>
  <c r="I46" i="13"/>
  <c r="I47" i="13"/>
  <c r="I48" i="13"/>
  <c r="I37" i="13"/>
  <c r="I35" i="13"/>
  <c r="I34" i="13"/>
  <c r="I33" i="13"/>
  <c r="I32" i="13"/>
  <c r="I30" i="13"/>
  <c r="I29" i="13"/>
  <c r="I28" i="13"/>
  <c r="I26" i="13"/>
  <c r="I25" i="13"/>
  <c r="I24" i="13"/>
  <c r="I23" i="13"/>
  <c r="I21" i="13"/>
  <c r="I20" i="13"/>
  <c r="I19" i="13"/>
  <c r="I17" i="13"/>
  <c r="I16" i="13"/>
  <c r="I15" i="13"/>
  <c r="I11" i="13"/>
  <c r="I12" i="13"/>
  <c r="I13" i="13"/>
  <c r="I10" i="13"/>
  <c r="I6" i="13"/>
  <c r="I7" i="13"/>
  <c r="I8" i="13"/>
  <c r="I5" i="13"/>
  <c r="I101" i="10"/>
  <c r="I113" i="10"/>
  <c r="I85" i="10"/>
  <c r="I88" i="10"/>
  <c r="I109" i="10"/>
  <c r="I89" i="10"/>
  <c r="I106" i="10"/>
  <c r="I125" i="10"/>
  <c r="I121" i="10"/>
  <c r="I105" i="10"/>
  <c r="I94" i="10"/>
  <c r="I92" i="10"/>
  <c r="I98" i="10"/>
  <c r="I117" i="10"/>
  <c r="I111" i="10"/>
  <c r="I83" i="10"/>
  <c r="I84" i="10"/>
  <c r="I86" i="10"/>
  <c r="I87" i="10"/>
  <c r="I90" i="10"/>
  <c r="I91" i="10"/>
  <c r="I93" i="10"/>
  <c r="I95" i="10"/>
  <c r="I97" i="10"/>
  <c r="I99" i="10"/>
  <c r="I100" i="10"/>
  <c r="I102" i="10"/>
  <c r="I103" i="10"/>
  <c r="I104" i="10"/>
  <c r="I107" i="10"/>
  <c r="I108" i="10"/>
  <c r="I110" i="10"/>
  <c r="I112" i="10"/>
  <c r="I114" i="10"/>
  <c r="I115" i="10"/>
  <c r="I116" i="10"/>
  <c r="I118" i="10"/>
  <c r="I119" i="10"/>
  <c r="I120" i="10"/>
  <c r="I122" i="10"/>
  <c r="I123" i="10"/>
  <c r="I124" i="10"/>
  <c r="I82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68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50" i="10"/>
  <c r="I38" i="10"/>
  <c r="I39" i="10"/>
  <c r="I40" i="10"/>
  <c r="I41" i="10"/>
  <c r="I42" i="10"/>
  <c r="I43" i="10"/>
  <c r="I44" i="10"/>
  <c r="I45" i="10"/>
  <c r="I46" i="10"/>
  <c r="I47" i="10"/>
  <c r="I48" i="10"/>
  <c r="I37" i="10"/>
  <c r="I33" i="10"/>
  <c r="I32" i="10"/>
  <c r="I29" i="10"/>
  <c r="I34" i="10"/>
  <c r="I35" i="10"/>
  <c r="I30" i="10"/>
  <c r="I28" i="10"/>
  <c r="I24" i="10"/>
  <c r="I25" i="10"/>
  <c r="I26" i="10"/>
  <c r="I23" i="10"/>
  <c r="I20" i="10"/>
  <c r="I21" i="10"/>
  <c r="I19" i="10"/>
  <c r="I16" i="10"/>
  <c r="I17" i="10"/>
  <c r="I15" i="10"/>
  <c r="I11" i="10"/>
  <c r="I12" i="10"/>
  <c r="I13" i="10"/>
  <c r="I10" i="10"/>
  <c r="I6" i="10"/>
  <c r="I7" i="10"/>
  <c r="I8" i="10"/>
  <c r="I5" i="10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100" i="1"/>
  <c r="I101" i="1"/>
  <c r="I102" i="1"/>
  <c r="I103" i="1"/>
  <c r="I104" i="1"/>
  <c r="I105" i="1"/>
  <c r="I106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82" i="1"/>
  <c r="I69" i="1"/>
  <c r="I70" i="1"/>
  <c r="I71" i="1"/>
  <c r="I72" i="1"/>
  <c r="I73" i="1"/>
  <c r="I74" i="1"/>
  <c r="I75" i="1"/>
  <c r="I76" i="1"/>
  <c r="I77" i="1"/>
  <c r="I78" i="1"/>
  <c r="I79" i="1"/>
  <c r="I80" i="1"/>
  <c r="I68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50" i="1"/>
  <c r="I38" i="1"/>
  <c r="I39" i="1"/>
  <c r="I40" i="1"/>
  <c r="I41" i="1"/>
  <c r="I42" i="1"/>
  <c r="I43" i="1"/>
  <c r="I44" i="1"/>
  <c r="I45" i="1"/>
  <c r="I46" i="1"/>
  <c r="I47" i="1"/>
  <c r="I48" i="1"/>
  <c r="I37" i="1"/>
  <c r="I33" i="1"/>
  <c r="I34" i="1"/>
  <c r="I35" i="1"/>
  <c r="I32" i="1"/>
  <c r="I30" i="1"/>
  <c r="I29" i="1"/>
  <c r="I28" i="1"/>
  <c r="I24" i="1"/>
  <c r="I25" i="1"/>
  <c r="I26" i="1"/>
  <c r="I23" i="1"/>
  <c r="I20" i="1"/>
  <c r="I21" i="1"/>
  <c r="I19" i="1"/>
  <c r="I16" i="1"/>
  <c r="I17" i="1"/>
  <c r="I15" i="1"/>
  <c r="I11" i="1"/>
  <c r="I12" i="1"/>
  <c r="I13" i="1"/>
  <c r="I10" i="1"/>
  <c r="I6" i="1"/>
  <c r="I7" i="1"/>
  <c r="I8" i="1"/>
  <c r="I5" i="1"/>
  <c r="J8" i="17"/>
  <c r="J9" i="17"/>
  <c r="J7" i="17"/>
  <c r="I31" i="10" l="1"/>
  <c r="I81" i="13"/>
  <c r="I81" i="10"/>
  <c r="F26" i="17" l="1"/>
  <c r="F25" i="17"/>
  <c r="E26" i="17"/>
  <c r="E25" i="17"/>
  <c r="D25" i="17"/>
  <c r="D26" i="17" l="1"/>
  <c r="B10" i="17"/>
  <c r="B6" i="17"/>
  <c r="B11" i="17" s="1"/>
  <c r="F24" i="17" l="1"/>
  <c r="E24" i="17" l="1"/>
  <c r="N34" i="15" l="1"/>
  <c r="O32" i="15" s="1"/>
  <c r="N71" i="15"/>
  <c r="G25" i="17" s="1"/>
  <c r="J25" i="17" s="1"/>
  <c r="N70" i="15"/>
  <c r="G26" i="17" s="1"/>
  <c r="J26" i="17" s="1"/>
  <c r="J41" i="15"/>
  <c r="N15" i="16"/>
  <c r="G22" i="17" s="1"/>
  <c r="O31" i="15" l="1"/>
  <c r="B15" i="16" l="1"/>
  <c r="D22" i="17" s="1"/>
  <c r="K10" i="17" l="1"/>
  <c r="U7" i="17" l="1"/>
  <c r="T9" i="17"/>
  <c r="U4" i="17"/>
  <c r="U3" i="17"/>
  <c r="U5" i="17"/>
  <c r="C10" i="17"/>
  <c r="I9" i="17" l="1"/>
  <c r="B8" i="35" l="1"/>
  <c r="B9" i="35"/>
  <c r="R130" i="17" l="1"/>
  <c r="E10" i="17" l="1"/>
  <c r="C127" i="11" s="1"/>
  <c r="F15" i="16"/>
  <c r="E22" i="17" s="1"/>
  <c r="Q6" i="17" l="1"/>
  <c r="Q9" i="17" s="1"/>
  <c r="R6" i="17"/>
  <c r="R9" i="17" s="1"/>
  <c r="S6" i="17"/>
  <c r="S9" i="17" s="1"/>
  <c r="P6" i="17"/>
  <c r="P9" i="17" s="1"/>
  <c r="B127" i="1" l="1"/>
  <c r="D127" i="1"/>
  <c r="E127" i="1"/>
  <c r="I27" i="10" l="1"/>
  <c r="I22" i="10"/>
  <c r="I67" i="10"/>
  <c r="I18" i="1"/>
  <c r="I36" i="10"/>
  <c r="I14" i="10"/>
  <c r="I9" i="10"/>
  <c r="I31" i="1"/>
  <c r="I49" i="10"/>
  <c r="I18" i="10"/>
  <c r="I14" i="1"/>
  <c r="I130" i="10" l="1"/>
  <c r="I131" i="10"/>
  <c r="U6" i="17"/>
  <c r="U9" i="17" s="1"/>
  <c r="B7" i="18" l="1"/>
  <c r="F71" i="15"/>
  <c r="F75" i="15" s="1"/>
  <c r="B71" i="15"/>
  <c r="B75" i="15" s="1"/>
  <c r="F41" i="15"/>
  <c r="F43" i="15"/>
  <c r="F44" i="15"/>
  <c r="F45" i="15"/>
  <c r="F46" i="15"/>
  <c r="F47" i="15"/>
  <c r="F48" i="15"/>
  <c r="F49" i="15"/>
  <c r="F51" i="15"/>
  <c r="F52" i="15"/>
  <c r="F53" i="15"/>
  <c r="F54" i="15"/>
  <c r="F55" i="15"/>
  <c r="F56" i="15"/>
  <c r="F57" i="15"/>
  <c r="F60" i="15"/>
  <c r="F61" i="15"/>
  <c r="F63" i="15"/>
  <c r="F64" i="15"/>
  <c r="F65" i="15"/>
  <c r="F67" i="15"/>
  <c r="F68" i="15"/>
  <c r="F69" i="15"/>
  <c r="F70" i="15"/>
  <c r="B41" i="15"/>
  <c r="B43" i="15"/>
  <c r="B44" i="15"/>
  <c r="B45" i="15"/>
  <c r="B46" i="15"/>
  <c r="B47" i="15"/>
  <c r="B48" i="15"/>
  <c r="B49" i="15"/>
  <c r="B51" i="15"/>
  <c r="B52" i="15"/>
  <c r="B53" i="15"/>
  <c r="B54" i="15"/>
  <c r="B55" i="15"/>
  <c r="B56" i="15"/>
  <c r="B57" i="15"/>
  <c r="B60" i="15"/>
  <c r="B61" i="15"/>
  <c r="B63" i="15"/>
  <c r="B64" i="15"/>
  <c r="B65" i="15"/>
  <c r="B67" i="15"/>
  <c r="B68" i="15"/>
  <c r="B69" i="15"/>
  <c r="B70" i="15"/>
  <c r="B129" i="17"/>
  <c r="I26" i="11"/>
  <c r="I40" i="11"/>
  <c r="I46" i="11"/>
  <c r="I64" i="11"/>
  <c r="I88" i="11"/>
  <c r="I96" i="11"/>
  <c r="I127" i="11"/>
  <c r="L8" i="17"/>
  <c r="M8" i="17" s="1"/>
  <c r="B116" i="12"/>
  <c r="B4" i="10" s="1"/>
  <c r="B129" i="10" s="1"/>
  <c r="B116" i="2"/>
  <c r="B178" i="2" s="1"/>
  <c r="B4" i="1" s="1"/>
  <c r="D116" i="2"/>
  <c r="H116" i="12"/>
  <c r="C4" i="10" s="1"/>
  <c r="C129" i="10" s="1"/>
  <c r="H116" i="2"/>
  <c r="I178" i="2" s="1"/>
  <c r="J116" i="2"/>
  <c r="N116" i="12"/>
  <c r="D4" i="10" s="1"/>
  <c r="D129" i="10" s="1"/>
  <c r="N116" i="2"/>
  <c r="P116" i="2"/>
  <c r="T116" i="12"/>
  <c r="E4" i="10" s="1"/>
  <c r="E129" i="10" s="1"/>
  <c r="T116" i="2"/>
  <c r="T178" i="2" s="1"/>
  <c r="E4" i="1" s="1"/>
  <c r="E131" i="1" s="1"/>
  <c r="V116" i="2"/>
  <c r="Z116" i="12"/>
  <c r="F4" i="10" s="1"/>
  <c r="F129" i="10" s="1"/>
  <c r="Z116" i="2"/>
  <c r="Z178" i="2" s="1"/>
  <c r="F4" i="1" s="1"/>
  <c r="AB116" i="2"/>
  <c r="B118" i="12"/>
  <c r="B8" i="10" s="1"/>
  <c r="B118" i="2"/>
  <c r="C180" i="2" s="1"/>
  <c r="D118" i="2"/>
  <c r="H118" i="12"/>
  <c r="C8" i="10" s="1"/>
  <c r="H118" i="2"/>
  <c r="I180" i="2" s="1"/>
  <c r="J118" i="2"/>
  <c r="N118" i="12"/>
  <c r="D8" i="10" s="1"/>
  <c r="N118" i="2"/>
  <c r="O180" i="2" s="1"/>
  <c r="P118" i="2"/>
  <c r="T118" i="12"/>
  <c r="E8" i="10" s="1"/>
  <c r="T118" i="2"/>
  <c r="T180" i="2" s="1"/>
  <c r="E8" i="1" s="1"/>
  <c r="V118" i="2"/>
  <c r="Z118" i="12"/>
  <c r="F8" i="10" s="1"/>
  <c r="Z118" i="2"/>
  <c r="AA180" i="2" s="1"/>
  <c r="AB118" i="2"/>
  <c r="B119" i="12"/>
  <c r="B9" i="10" s="1"/>
  <c r="B119" i="2"/>
  <c r="B181" i="2" s="1"/>
  <c r="B9" i="1" s="1"/>
  <c r="D119" i="2"/>
  <c r="H119" i="12"/>
  <c r="C9" i="10" s="1"/>
  <c r="H119" i="2"/>
  <c r="H181" i="2" s="1"/>
  <c r="C9" i="1" s="1"/>
  <c r="J119" i="2"/>
  <c r="N119" i="12"/>
  <c r="D9" i="10" s="1"/>
  <c r="N119" i="2"/>
  <c r="O181" i="2" s="1"/>
  <c r="P119" i="2"/>
  <c r="T119" i="12"/>
  <c r="E9" i="10" s="1"/>
  <c r="T119" i="2"/>
  <c r="T181" i="2" s="1"/>
  <c r="E9" i="1" s="1"/>
  <c r="V119" i="2"/>
  <c r="Z119" i="12"/>
  <c r="F9" i="10" s="1"/>
  <c r="Z119" i="2"/>
  <c r="Z181" i="2" s="1"/>
  <c r="F9" i="1" s="1"/>
  <c r="AB119" i="2"/>
  <c r="B120" i="12"/>
  <c r="B14" i="10" s="1"/>
  <c r="B120" i="2"/>
  <c r="C182" i="2" s="1"/>
  <c r="D120" i="2"/>
  <c r="H120" i="12"/>
  <c r="C14" i="10" s="1"/>
  <c r="H120" i="2"/>
  <c r="H182" i="2" s="1"/>
  <c r="C14" i="1" s="1"/>
  <c r="J120" i="2"/>
  <c r="N120" i="12"/>
  <c r="D14" i="10" s="1"/>
  <c r="N120" i="2"/>
  <c r="O182" i="2" s="1"/>
  <c r="P120" i="2"/>
  <c r="T120" i="12"/>
  <c r="E14" i="10" s="1"/>
  <c r="T120" i="2"/>
  <c r="T182" i="2" s="1"/>
  <c r="E14" i="1" s="1"/>
  <c r="V120" i="2"/>
  <c r="Z120" i="12"/>
  <c r="F14" i="10" s="1"/>
  <c r="Z120" i="2"/>
  <c r="Z182" i="2" s="1"/>
  <c r="F14" i="1" s="1"/>
  <c r="AB120" i="2"/>
  <c r="B121" i="12"/>
  <c r="B18" i="10" s="1"/>
  <c r="B121" i="2"/>
  <c r="C183" i="2" s="1"/>
  <c r="D121" i="2"/>
  <c r="H121" i="12"/>
  <c r="C18" i="10" s="1"/>
  <c r="H121" i="2"/>
  <c r="H183" i="2" s="1"/>
  <c r="C18" i="1" s="1"/>
  <c r="J121" i="2"/>
  <c r="N121" i="12"/>
  <c r="D18" i="10" s="1"/>
  <c r="N121" i="2"/>
  <c r="O183" i="2" s="1"/>
  <c r="P121" i="2"/>
  <c r="T121" i="12"/>
  <c r="E18" i="10" s="1"/>
  <c r="T121" i="2"/>
  <c r="T183" i="2" s="1"/>
  <c r="E18" i="1" s="1"/>
  <c r="V121" i="2"/>
  <c r="Z121" i="12"/>
  <c r="F18" i="10" s="1"/>
  <c r="Z121" i="2"/>
  <c r="Z183" i="2" s="1"/>
  <c r="F18" i="1" s="1"/>
  <c r="AB121" i="2"/>
  <c r="B122" i="12"/>
  <c r="B22" i="10" s="1"/>
  <c r="B122" i="2"/>
  <c r="B184" i="2" s="1"/>
  <c r="B22" i="1" s="1"/>
  <c r="D122" i="2"/>
  <c r="H122" i="12"/>
  <c r="C22" i="10" s="1"/>
  <c r="H122" i="2"/>
  <c r="H184" i="2" s="1"/>
  <c r="C22" i="1" s="1"/>
  <c r="J122" i="2"/>
  <c r="N122" i="12"/>
  <c r="D22" i="10" s="1"/>
  <c r="N122" i="2"/>
  <c r="O184" i="2" s="1"/>
  <c r="P122" i="2"/>
  <c r="T122" i="12"/>
  <c r="E22" i="10" s="1"/>
  <c r="T122" i="2"/>
  <c r="U184" i="2" s="1"/>
  <c r="V122" i="2"/>
  <c r="Z122" i="12"/>
  <c r="F22" i="10" s="1"/>
  <c r="Z122" i="2"/>
  <c r="Z184" i="2" s="1"/>
  <c r="F22" i="1" s="1"/>
  <c r="AB122" i="2"/>
  <c r="B123" i="12"/>
  <c r="B27" i="10" s="1"/>
  <c r="B123" i="2"/>
  <c r="B185" i="2" s="1"/>
  <c r="B27" i="1" s="1"/>
  <c r="D123" i="2"/>
  <c r="H123" i="12"/>
  <c r="C27" i="10" s="1"/>
  <c r="H123" i="2"/>
  <c r="H185" i="2" s="1"/>
  <c r="C27" i="1" s="1"/>
  <c r="J123" i="2"/>
  <c r="N123" i="12"/>
  <c r="D27" i="10" s="1"/>
  <c r="N123" i="2"/>
  <c r="O185" i="2" s="1"/>
  <c r="P123" i="2"/>
  <c r="T123" i="12"/>
  <c r="E27" i="10" s="1"/>
  <c r="T123" i="2"/>
  <c r="T185" i="2" s="1"/>
  <c r="E27" i="1" s="1"/>
  <c r="V123" i="2"/>
  <c r="Z123" i="12"/>
  <c r="F27" i="10" s="1"/>
  <c r="Z123" i="2"/>
  <c r="Z185" i="2" s="1"/>
  <c r="F27" i="1" s="1"/>
  <c r="AB123" i="2"/>
  <c r="B128" i="12"/>
  <c r="B30" i="10" s="1"/>
  <c r="B128" i="2"/>
  <c r="C190" i="2" s="1"/>
  <c r="D128" i="2"/>
  <c r="H128" i="12"/>
  <c r="C30" i="10" s="1"/>
  <c r="H128" i="2"/>
  <c r="H190" i="2" s="1"/>
  <c r="C30" i="1" s="1"/>
  <c r="J128" i="2"/>
  <c r="N128" i="12"/>
  <c r="D30" i="10" s="1"/>
  <c r="N128" i="2"/>
  <c r="P128" i="2"/>
  <c r="T128" i="12"/>
  <c r="E30" i="10" s="1"/>
  <c r="T128" i="2"/>
  <c r="T190" i="2" s="1"/>
  <c r="E30" i="1" s="1"/>
  <c r="V128" i="2"/>
  <c r="Z128" i="12"/>
  <c r="F30" i="10" s="1"/>
  <c r="Z128" i="2"/>
  <c r="Z190" i="2" s="1"/>
  <c r="F30" i="1" s="1"/>
  <c r="AB128" i="2"/>
  <c r="B127" i="12"/>
  <c r="B31" i="10" s="1"/>
  <c r="B127" i="2"/>
  <c r="B189" i="2" s="1"/>
  <c r="B31" i="1" s="1"/>
  <c r="D127" i="2"/>
  <c r="H127" i="12"/>
  <c r="C31" i="10" s="1"/>
  <c r="H127" i="2"/>
  <c r="I189" i="2" s="1"/>
  <c r="J127" i="2"/>
  <c r="N127" i="12"/>
  <c r="D31" i="10" s="1"/>
  <c r="N127" i="2"/>
  <c r="P127" i="2"/>
  <c r="T127" i="12"/>
  <c r="E31" i="10" s="1"/>
  <c r="T127" i="2"/>
  <c r="T189" i="2" s="1"/>
  <c r="E31" i="1" s="1"/>
  <c r="V127" i="2"/>
  <c r="Z127" i="12"/>
  <c r="F31" i="10" s="1"/>
  <c r="Z127" i="2"/>
  <c r="Z189" i="2" s="1"/>
  <c r="F31" i="1" s="1"/>
  <c r="AB127" i="2"/>
  <c r="B132" i="12"/>
  <c r="B34" i="10" s="1"/>
  <c r="B132" i="2"/>
  <c r="B34" i="1" s="1"/>
  <c r="H132" i="12"/>
  <c r="C34" i="10" s="1"/>
  <c r="H132" i="2"/>
  <c r="C34" i="1" s="1"/>
  <c r="N132" i="12"/>
  <c r="D34" i="10" s="1"/>
  <c r="N132" i="2"/>
  <c r="D34" i="1" s="1"/>
  <c r="T132" i="12"/>
  <c r="E34" i="10" s="1"/>
  <c r="T132" i="2"/>
  <c r="E34" i="1" s="1"/>
  <c r="Z132" i="12"/>
  <c r="F34" i="10" s="1"/>
  <c r="Z132" i="2"/>
  <c r="F34" i="1" s="1"/>
  <c r="B133" i="12"/>
  <c r="B35" i="10" s="1"/>
  <c r="B133" i="2"/>
  <c r="B35" i="1" s="1"/>
  <c r="H133" i="12"/>
  <c r="C35" i="10" s="1"/>
  <c r="H133" i="2"/>
  <c r="C35" i="1" s="1"/>
  <c r="N133" i="12"/>
  <c r="D35" i="10" s="1"/>
  <c r="N133" i="2"/>
  <c r="D35" i="1" s="1"/>
  <c r="T133" i="12"/>
  <c r="E35" i="10" s="1"/>
  <c r="T133" i="2"/>
  <c r="E35" i="1" s="1"/>
  <c r="Z133" i="12"/>
  <c r="F35" i="10"/>
  <c r="Z133" i="2"/>
  <c r="F35" i="1" s="1"/>
  <c r="B124" i="12"/>
  <c r="B36" i="10" s="1"/>
  <c r="B124" i="2"/>
  <c r="C186" i="2" s="1"/>
  <c r="D124" i="2"/>
  <c r="H124" i="12"/>
  <c r="C36" i="10" s="1"/>
  <c r="H124" i="2"/>
  <c r="H186" i="2" s="1"/>
  <c r="C36" i="1" s="1"/>
  <c r="J124" i="2"/>
  <c r="N124" i="12"/>
  <c r="D36" i="10" s="1"/>
  <c r="N124" i="2"/>
  <c r="O186" i="2" s="1"/>
  <c r="P124" i="2"/>
  <c r="T124" i="12"/>
  <c r="E36" i="10" s="1"/>
  <c r="T124" i="2"/>
  <c r="T186" i="2" s="1"/>
  <c r="E36" i="1" s="1"/>
  <c r="V124" i="2"/>
  <c r="Z124" i="12"/>
  <c r="F36" i="10" s="1"/>
  <c r="Z124" i="2"/>
  <c r="Z186" i="2" s="1"/>
  <c r="F36" i="1" s="1"/>
  <c r="AB124" i="2"/>
  <c r="B129" i="12"/>
  <c r="B49" i="10" s="1"/>
  <c r="B129" i="2"/>
  <c r="B191" i="2" s="1"/>
  <c r="B49" i="1" s="1"/>
  <c r="D129" i="2"/>
  <c r="H129" i="12"/>
  <c r="C49" i="10" s="1"/>
  <c r="H129" i="2"/>
  <c r="I191" i="2" s="1"/>
  <c r="J129" i="2"/>
  <c r="N129" i="12"/>
  <c r="D49" i="10" s="1"/>
  <c r="N129" i="2"/>
  <c r="O191" i="2" s="1"/>
  <c r="P129" i="2"/>
  <c r="T129" i="12"/>
  <c r="E49" i="10" s="1"/>
  <c r="T129" i="2"/>
  <c r="U191" i="2" s="1"/>
  <c r="V129" i="2"/>
  <c r="Z129" i="12"/>
  <c r="F49" i="10" s="1"/>
  <c r="Z129" i="2"/>
  <c r="Z191" i="2" s="1"/>
  <c r="F49" i="1" s="1"/>
  <c r="AB129" i="2"/>
  <c r="B130" i="12"/>
  <c r="B67" i="10" s="1"/>
  <c r="B130" i="2"/>
  <c r="B192" i="2" s="1"/>
  <c r="B67" i="1" s="1"/>
  <c r="D130" i="2"/>
  <c r="H130" i="12"/>
  <c r="C67" i="10" s="1"/>
  <c r="H130" i="2"/>
  <c r="H192" i="2" s="1"/>
  <c r="C67" i="1" s="1"/>
  <c r="J130" i="2"/>
  <c r="N130" i="12"/>
  <c r="D67" i="10" s="1"/>
  <c r="N130" i="2"/>
  <c r="N192" i="2" s="1"/>
  <c r="D67" i="1" s="1"/>
  <c r="P130" i="2"/>
  <c r="T130" i="12"/>
  <c r="E67" i="10" s="1"/>
  <c r="T130" i="2"/>
  <c r="T192" i="2" s="1"/>
  <c r="E67" i="1" s="1"/>
  <c r="V130" i="2"/>
  <c r="Z130" i="12"/>
  <c r="F67" i="10" s="1"/>
  <c r="Z130" i="2"/>
  <c r="Z192" i="2" s="1"/>
  <c r="F67" i="1" s="1"/>
  <c r="AB130" i="2"/>
  <c r="B131" i="12"/>
  <c r="B81" i="10" s="1"/>
  <c r="B131" i="2"/>
  <c r="D131" i="2"/>
  <c r="H131" i="12"/>
  <c r="C81" i="10" s="1"/>
  <c r="H131" i="2"/>
  <c r="H193" i="2" s="1"/>
  <c r="C81" i="1" s="1"/>
  <c r="J131" i="2"/>
  <c r="N131" i="12"/>
  <c r="D81" i="10" s="1"/>
  <c r="N131" i="2"/>
  <c r="N193" i="2" s="1"/>
  <c r="D81" i="1" s="1"/>
  <c r="P131" i="2"/>
  <c r="T131" i="12"/>
  <c r="E81" i="10" s="1"/>
  <c r="T131" i="2"/>
  <c r="V131" i="2"/>
  <c r="Z131" i="12"/>
  <c r="F81" i="10" s="1"/>
  <c r="Z131" i="2"/>
  <c r="Z193" i="2" s="1"/>
  <c r="F81" i="1" s="1"/>
  <c r="AB131" i="2"/>
  <c r="C127" i="1"/>
  <c r="F127" i="1"/>
  <c r="B116" i="14"/>
  <c r="B4" i="13" s="1"/>
  <c r="B129" i="13" s="1"/>
  <c r="B118" i="14"/>
  <c r="B8" i="13" s="1"/>
  <c r="B119" i="14"/>
  <c r="B9" i="13" s="1"/>
  <c r="B120" i="14"/>
  <c r="B14" i="13" s="1"/>
  <c r="B121" i="14"/>
  <c r="B18" i="13" s="1"/>
  <c r="B122" i="14"/>
  <c r="B22" i="13" s="1"/>
  <c r="B123" i="14"/>
  <c r="B27" i="13" s="1"/>
  <c r="B124" i="14"/>
  <c r="B36" i="13" s="1"/>
  <c r="B128" i="14"/>
  <c r="B30" i="13" s="1"/>
  <c r="B127" i="14"/>
  <c r="B31" i="13" s="1"/>
  <c r="B132" i="14"/>
  <c r="B34" i="13" s="1"/>
  <c r="B133" i="14"/>
  <c r="B35" i="13" s="1"/>
  <c r="B129" i="14"/>
  <c r="B49" i="13" s="1"/>
  <c r="B130" i="14"/>
  <c r="B67" i="13" s="1"/>
  <c r="B131" i="14"/>
  <c r="B81" i="13" s="1"/>
  <c r="B127" i="11"/>
  <c r="X7" i="1"/>
  <c r="Y7" i="1" s="1"/>
  <c r="X6" i="1"/>
  <c r="Y6" i="1" s="1"/>
  <c r="X8" i="1"/>
  <c r="Y8" i="1" s="1"/>
  <c r="B130" i="17"/>
  <c r="L9" i="17"/>
  <c r="M9" i="17" s="1"/>
  <c r="C130" i="17"/>
  <c r="C129" i="17"/>
  <c r="J15" i="16"/>
  <c r="F22" i="17" s="1"/>
  <c r="R15" i="16"/>
  <c r="H22" i="17"/>
  <c r="R16" i="16"/>
  <c r="H23" i="17"/>
  <c r="J46" i="7"/>
  <c r="N46" i="7"/>
  <c r="H24" i="17"/>
  <c r="J24" i="17" s="1"/>
  <c r="J71" i="15"/>
  <c r="J75" i="15" s="1"/>
  <c r="R71" i="15"/>
  <c r="R75" i="15"/>
  <c r="H25" i="17"/>
  <c r="J43" i="15"/>
  <c r="J44" i="15"/>
  <c r="J45" i="15"/>
  <c r="J46" i="15"/>
  <c r="J47" i="15"/>
  <c r="J48" i="15"/>
  <c r="J49" i="15"/>
  <c r="J51" i="15"/>
  <c r="J52" i="15"/>
  <c r="J53" i="15"/>
  <c r="J54" i="15"/>
  <c r="J55" i="15"/>
  <c r="J56" i="15"/>
  <c r="J57" i="15"/>
  <c r="J60" i="15"/>
  <c r="J61" i="15"/>
  <c r="J63" i="15"/>
  <c r="J64" i="15"/>
  <c r="J65" i="15"/>
  <c r="J67" i="15"/>
  <c r="J68" i="15"/>
  <c r="J69" i="15"/>
  <c r="J70" i="15"/>
  <c r="N41" i="15"/>
  <c r="N43" i="15"/>
  <c r="N44" i="15"/>
  <c r="N45" i="15"/>
  <c r="N46" i="15"/>
  <c r="N47" i="15"/>
  <c r="N48" i="15"/>
  <c r="N49" i="15"/>
  <c r="N51" i="15"/>
  <c r="N52" i="15"/>
  <c r="N53" i="15"/>
  <c r="N54" i="15"/>
  <c r="N55" i="15"/>
  <c r="N56" i="15"/>
  <c r="N57" i="15"/>
  <c r="N60" i="15"/>
  <c r="N61" i="15"/>
  <c r="N63" i="15"/>
  <c r="N64" i="15"/>
  <c r="N65" i="15"/>
  <c r="N67" i="15"/>
  <c r="N68" i="15"/>
  <c r="N69" i="15"/>
  <c r="R41" i="15"/>
  <c r="R43" i="15"/>
  <c r="R44" i="15"/>
  <c r="R45" i="15"/>
  <c r="R46" i="15"/>
  <c r="R47" i="15"/>
  <c r="R48" i="15"/>
  <c r="R49" i="15"/>
  <c r="R51" i="15"/>
  <c r="R52" i="15"/>
  <c r="R53" i="15"/>
  <c r="R54" i="15"/>
  <c r="R55" i="15"/>
  <c r="R56" i="15"/>
  <c r="R57" i="15"/>
  <c r="R60" i="15"/>
  <c r="R61" i="15"/>
  <c r="R63" i="15"/>
  <c r="R64" i="15"/>
  <c r="R65" i="15"/>
  <c r="R67" i="15"/>
  <c r="R68" i="15"/>
  <c r="R69" i="15"/>
  <c r="R70" i="15"/>
  <c r="J4" i="9"/>
  <c r="K4" i="9"/>
  <c r="J9" i="9"/>
  <c r="N4" i="9"/>
  <c r="O4" i="9"/>
  <c r="N9" i="9"/>
  <c r="R4" i="9"/>
  <c r="S4" i="9"/>
  <c r="R9" i="9"/>
  <c r="B3" i="18"/>
  <c r="D27" i="17" s="1"/>
  <c r="F3" i="18"/>
  <c r="E27" i="17" s="1"/>
  <c r="J3" i="18"/>
  <c r="J8" i="18" s="1"/>
  <c r="N3" i="18"/>
  <c r="N8" i="18" s="1"/>
  <c r="R3" i="18"/>
  <c r="H27" i="17"/>
  <c r="N116" i="14"/>
  <c r="D4" i="13" s="1"/>
  <c r="D129" i="13" s="1"/>
  <c r="N118" i="14"/>
  <c r="N119" i="14"/>
  <c r="D9" i="13" s="1"/>
  <c r="N120" i="14"/>
  <c r="D14" i="13" s="1"/>
  <c r="N121" i="14"/>
  <c r="D18" i="13" s="1"/>
  <c r="N122" i="14"/>
  <c r="D22" i="13" s="1"/>
  <c r="N123" i="14"/>
  <c r="D27" i="13" s="1"/>
  <c r="N124" i="14"/>
  <c r="D36" i="13" s="1"/>
  <c r="N128" i="14"/>
  <c r="D30" i="13" s="1"/>
  <c r="N127" i="14"/>
  <c r="D31" i="13" s="1"/>
  <c r="N132" i="14"/>
  <c r="D34" i="13"/>
  <c r="N133" i="14"/>
  <c r="D35" i="13" s="1"/>
  <c r="N129" i="14"/>
  <c r="D49" i="13" s="1"/>
  <c r="N130" i="14"/>
  <c r="D67" i="13" s="1"/>
  <c r="N131" i="14"/>
  <c r="D81" i="13" s="1"/>
  <c r="F10" i="17"/>
  <c r="D127" i="11" s="1"/>
  <c r="R129" i="17"/>
  <c r="H116" i="14"/>
  <c r="C4" i="13" s="1"/>
  <c r="C129" i="13" s="1"/>
  <c r="I121" i="2"/>
  <c r="H118" i="14"/>
  <c r="C8" i="13" s="1"/>
  <c r="H119" i="14"/>
  <c r="C9" i="13" s="1"/>
  <c r="H120" i="14"/>
  <c r="C14" i="13" s="1"/>
  <c r="H121" i="14"/>
  <c r="C18" i="13" s="1"/>
  <c r="H122" i="14"/>
  <c r="C22" i="13" s="1"/>
  <c r="H123" i="14"/>
  <c r="C27" i="13" s="1"/>
  <c r="H124" i="14"/>
  <c r="C36" i="13" s="1"/>
  <c r="H128" i="14"/>
  <c r="C30" i="13" s="1"/>
  <c r="H127" i="14"/>
  <c r="C31" i="13" s="1"/>
  <c r="H129" i="14"/>
  <c r="C49" i="13" s="1"/>
  <c r="H130" i="14"/>
  <c r="C67" i="13" s="1"/>
  <c r="H131" i="14"/>
  <c r="C81" i="13" s="1"/>
  <c r="H132" i="14"/>
  <c r="C34" i="13" s="1"/>
  <c r="H133" i="14"/>
  <c r="C35" i="13" s="1"/>
  <c r="J8" i="9"/>
  <c r="B204" i="14"/>
  <c r="B108" i="13" s="1"/>
  <c r="H204" i="14"/>
  <c r="C108" i="13" s="1"/>
  <c r="N204" i="14"/>
  <c r="D108" i="13" s="1"/>
  <c r="T204" i="14"/>
  <c r="E108" i="13" s="1"/>
  <c r="Z204" i="14"/>
  <c r="F108" i="13" s="1"/>
  <c r="B213" i="14"/>
  <c r="B112" i="13" s="1"/>
  <c r="H213" i="14"/>
  <c r="C112" i="13" s="1"/>
  <c r="N213" i="14"/>
  <c r="D112" i="13" s="1"/>
  <c r="T213" i="14"/>
  <c r="E112" i="13" s="1"/>
  <c r="Z213" i="14"/>
  <c r="F112" i="13"/>
  <c r="G10" i="17"/>
  <c r="E127" i="11" s="1"/>
  <c r="H10" i="17"/>
  <c r="F127" i="11" s="1"/>
  <c r="I7" i="17"/>
  <c r="T116" i="14"/>
  <c r="E4" i="13" s="1"/>
  <c r="E129" i="13" s="1"/>
  <c r="Z116" i="14"/>
  <c r="F4" i="13" s="1"/>
  <c r="C119" i="2"/>
  <c r="D125" i="2"/>
  <c r="D134" i="2"/>
  <c r="D136" i="2"/>
  <c r="C123" i="2"/>
  <c r="V125" i="2"/>
  <c r="V134" i="2"/>
  <c r="V136" i="2"/>
  <c r="U121" i="2"/>
  <c r="T118" i="14"/>
  <c r="E8" i="13" s="1"/>
  <c r="T119" i="14"/>
  <c r="E9" i="13" s="1"/>
  <c r="T120" i="14"/>
  <c r="E14" i="13" s="1"/>
  <c r="T121" i="14"/>
  <c r="E18" i="13" s="1"/>
  <c r="T122" i="14"/>
  <c r="E22" i="13" s="1"/>
  <c r="T123" i="14"/>
  <c r="E27" i="13" s="1"/>
  <c r="T124" i="14"/>
  <c r="E36" i="13" s="1"/>
  <c r="AA122" i="2"/>
  <c r="AA123" i="2"/>
  <c r="Z118" i="14"/>
  <c r="F8" i="13" s="1"/>
  <c r="Z119" i="14"/>
  <c r="F9" i="13"/>
  <c r="Z120" i="14"/>
  <c r="F14" i="13" s="1"/>
  <c r="Z121" i="14"/>
  <c r="F18" i="13" s="1"/>
  <c r="Z122" i="14"/>
  <c r="F22" i="13"/>
  <c r="Z123" i="14"/>
  <c r="F27" i="13" s="1"/>
  <c r="Z124" i="14"/>
  <c r="F36" i="13" s="1"/>
  <c r="C128" i="2"/>
  <c r="U127" i="2"/>
  <c r="T128" i="14"/>
  <c r="E30" i="13" s="1"/>
  <c r="T127" i="14"/>
  <c r="E31" i="13" s="1"/>
  <c r="T132" i="14"/>
  <c r="E34" i="13" s="1"/>
  <c r="T133" i="14"/>
  <c r="E35" i="13" s="1"/>
  <c r="T129" i="14"/>
  <c r="E49" i="13" s="1"/>
  <c r="T130" i="14"/>
  <c r="E67" i="13" s="1"/>
  <c r="T131" i="14"/>
  <c r="E81" i="13" s="1"/>
  <c r="Z128" i="14"/>
  <c r="F30" i="13" s="1"/>
  <c r="Z127" i="14"/>
  <c r="F31" i="13" s="1"/>
  <c r="Z132" i="14"/>
  <c r="F34" i="13"/>
  <c r="Z133" i="14"/>
  <c r="F35" i="13" s="1"/>
  <c r="Z129" i="14"/>
  <c r="F49" i="13" s="1"/>
  <c r="Z130" i="14"/>
  <c r="F67" i="13" s="1"/>
  <c r="Z131" i="14"/>
  <c r="F81" i="13" s="1"/>
  <c r="L129" i="17"/>
  <c r="L130" i="17"/>
  <c r="D131" i="17"/>
  <c r="E131" i="17"/>
  <c r="F4" i="9"/>
  <c r="H244" i="14"/>
  <c r="C5" i="13" s="1"/>
  <c r="H158" i="14"/>
  <c r="C6" i="13" s="1"/>
  <c r="H202" i="14"/>
  <c r="C7" i="13" s="1"/>
  <c r="H174" i="14"/>
  <c r="C10" i="13" s="1"/>
  <c r="H148" i="14"/>
  <c r="C11" i="13" s="1"/>
  <c r="H197" i="14"/>
  <c r="C12" i="13" s="1"/>
  <c r="H210" i="14"/>
  <c r="C13" i="13" s="1"/>
  <c r="H176" i="14"/>
  <c r="C15" i="13" s="1"/>
  <c r="H143" i="14"/>
  <c r="C16" i="13" s="1"/>
  <c r="H234" i="14"/>
  <c r="C17" i="13" s="1"/>
  <c r="H189" i="14"/>
  <c r="C19" i="13" s="1"/>
  <c r="H222" i="14"/>
  <c r="C20" i="13" s="1"/>
  <c r="H230" i="14"/>
  <c r="C21" i="13" s="1"/>
  <c r="H166" i="14"/>
  <c r="C23" i="13" s="1"/>
  <c r="H173" i="14"/>
  <c r="C24" i="13" s="1"/>
  <c r="H215" i="14"/>
  <c r="C25" i="13" s="1"/>
  <c r="H233" i="14"/>
  <c r="C26" i="13" s="1"/>
  <c r="H187" i="14"/>
  <c r="C28" i="13" s="1"/>
  <c r="H178" i="14"/>
  <c r="C29" i="13" s="1"/>
  <c r="H142" i="14"/>
  <c r="C32" i="13" s="1"/>
  <c r="H211" i="14"/>
  <c r="C33" i="13" s="1"/>
  <c r="H155" i="14"/>
  <c r="C37" i="13" s="1"/>
  <c r="H164" i="14"/>
  <c r="C38" i="13" s="1"/>
  <c r="H165" i="14"/>
  <c r="C39" i="13" s="1"/>
  <c r="H171" i="14"/>
  <c r="C40" i="13" s="1"/>
  <c r="H184" i="14"/>
  <c r="C41" i="13" s="1"/>
  <c r="H195" i="14"/>
  <c r="C42" i="13" s="1"/>
  <c r="H196" i="14"/>
  <c r="C43" i="13" s="1"/>
  <c r="H200" i="14"/>
  <c r="C44" i="13" s="1"/>
  <c r="H221" i="14"/>
  <c r="C45" i="13" s="1"/>
  <c r="H223" i="14"/>
  <c r="C46" i="13" s="1"/>
  <c r="H227" i="14"/>
  <c r="C47" i="13" s="1"/>
  <c r="H228" i="14"/>
  <c r="C48" i="13" s="1"/>
  <c r="H140" i="14"/>
  <c r="C50" i="13" s="1"/>
  <c r="H149" i="14"/>
  <c r="C51" i="13" s="1"/>
  <c r="H151" i="14"/>
  <c r="C52" i="13" s="1"/>
  <c r="H153" i="14"/>
  <c r="C53" i="13" s="1"/>
  <c r="H161" i="14"/>
  <c r="C54" i="13" s="1"/>
  <c r="H162" i="14"/>
  <c r="C55" i="13" s="1"/>
  <c r="H163" i="14"/>
  <c r="C56" i="13" s="1"/>
  <c r="H168" i="14"/>
  <c r="C57" i="13" s="1"/>
  <c r="H169" i="14"/>
  <c r="C58" i="13" s="1"/>
  <c r="H170" i="14"/>
  <c r="C59" i="13" s="1"/>
  <c r="H180" i="14"/>
  <c r="C60" i="13" s="1"/>
  <c r="H182" i="14"/>
  <c r="C61" i="13" s="1"/>
  <c r="H212" i="14"/>
  <c r="C62" i="13" s="1"/>
  <c r="H216" i="14"/>
  <c r="C63" i="13" s="1"/>
  <c r="H218" i="14"/>
  <c r="C64" i="13" s="1"/>
  <c r="H219" i="14"/>
  <c r="C65" i="13" s="1"/>
  <c r="H246" i="14"/>
  <c r="C66" i="13" s="1"/>
  <c r="H154" i="14"/>
  <c r="C68" i="13" s="1"/>
  <c r="H157" i="14"/>
  <c r="C69" i="13" s="1"/>
  <c r="H183" i="14"/>
  <c r="C70" i="13" s="1"/>
  <c r="H194" i="14"/>
  <c r="C71" i="13" s="1"/>
  <c r="H198" i="14"/>
  <c r="C72" i="13" s="1"/>
  <c r="H199" i="14"/>
  <c r="C73" i="13" s="1"/>
  <c r="H205" i="14"/>
  <c r="C74" i="13" s="1"/>
  <c r="H220" i="14"/>
  <c r="C75" i="13" s="1"/>
  <c r="H226" i="14"/>
  <c r="C76" i="13" s="1"/>
  <c r="H231" i="14"/>
  <c r="C77" i="13" s="1"/>
  <c r="H235" i="14"/>
  <c r="C78" i="13" s="1"/>
  <c r="H237" i="14"/>
  <c r="C79" i="13" s="1"/>
  <c r="H247" i="14"/>
  <c r="C80" i="13" s="1"/>
  <c r="H138" i="14"/>
  <c r="C82" i="13" s="1"/>
  <c r="H139" i="14"/>
  <c r="C83" i="13" s="1"/>
  <c r="H141" i="14"/>
  <c r="C84" i="13" s="1"/>
  <c r="H144" i="14"/>
  <c r="C85" i="13" s="1"/>
  <c r="H145" i="14"/>
  <c r="C86" i="13" s="1"/>
  <c r="H146" i="14"/>
  <c r="C87" i="13" s="1"/>
  <c r="H147" i="14"/>
  <c r="C88" i="13" s="1"/>
  <c r="H150" i="14"/>
  <c r="C89" i="13" s="1"/>
  <c r="H152" i="14"/>
  <c r="C90" i="13" s="1"/>
  <c r="H156" i="14"/>
  <c r="C91" i="13" s="1"/>
  <c r="H159" i="14"/>
  <c r="C92" i="13" s="1"/>
  <c r="H160" i="14"/>
  <c r="C93" i="13" s="1"/>
  <c r="H167" i="14"/>
  <c r="C94" i="13" s="1"/>
  <c r="H172" i="14"/>
  <c r="C95" i="13" s="1"/>
  <c r="H175" i="14"/>
  <c r="C96" i="13" s="1"/>
  <c r="H177" i="14"/>
  <c r="C97" i="13" s="1"/>
  <c r="H179" i="14"/>
  <c r="C98" i="13" s="1"/>
  <c r="H181" i="14"/>
  <c r="C99" i="13" s="1"/>
  <c r="H185" i="14"/>
  <c r="C100" i="13" s="1"/>
  <c r="H186" i="14"/>
  <c r="C101" i="13" s="1"/>
  <c r="H188" i="14"/>
  <c r="C102" i="13" s="1"/>
  <c r="H191" i="14"/>
  <c r="C103" i="13" s="1"/>
  <c r="H192" i="14"/>
  <c r="C104" i="13" s="1"/>
  <c r="H193" i="14"/>
  <c r="C105" i="13" s="1"/>
  <c r="H201" i="14"/>
  <c r="C106" i="13" s="1"/>
  <c r="H203" i="14"/>
  <c r="C107" i="13" s="1"/>
  <c r="H207" i="14"/>
  <c r="C109" i="13" s="1"/>
  <c r="H208" i="14"/>
  <c r="C110" i="13" s="1"/>
  <c r="H209" i="14"/>
  <c r="C111" i="13" s="1"/>
  <c r="H214" i="14"/>
  <c r="C113" i="13" s="1"/>
  <c r="H217" i="14"/>
  <c r="C114" i="13" s="1"/>
  <c r="H225" i="14"/>
  <c r="C115" i="13" s="1"/>
  <c r="H229" i="14"/>
  <c r="C116" i="13" s="1"/>
  <c r="H232" i="14"/>
  <c r="C117" i="13" s="1"/>
  <c r="H236" i="14"/>
  <c r="C118" i="13" s="1"/>
  <c r="H238" i="14"/>
  <c r="C119" i="13" s="1"/>
  <c r="H240" i="14"/>
  <c r="C120" i="13" s="1"/>
  <c r="H241" i="14"/>
  <c r="C121" i="13" s="1"/>
  <c r="H242" i="14"/>
  <c r="C122" i="13" s="1"/>
  <c r="H245" i="14"/>
  <c r="C123" i="13" s="1"/>
  <c r="H248" i="14"/>
  <c r="C124" i="13" s="1"/>
  <c r="H249" i="14"/>
  <c r="C125" i="13" s="1"/>
  <c r="B244" i="12"/>
  <c r="B5" i="10" s="1"/>
  <c r="H244" i="12"/>
  <c r="C5" i="10" s="1"/>
  <c r="T244" i="12"/>
  <c r="E5" i="10" s="1"/>
  <c r="Z244" i="12"/>
  <c r="F5" i="10" s="1"/>
  <c r="B158" i="12"/>
  <c r="B6" i="10" s="1"/>
  <c r="H158" i="12"/>
  <c r="C6" i="10" s="1"/>
  <c r="T158" i="12"/>
  <c r="E6" i="10" s="1"/>
  <c r="Z158" i="12"/>
  <c r="F6" i="10" s="1"/>
  <c r="B202" i="12"/>
  <c r="B7" i="10" s="1"/>
  <c r="H202" i="12"/>
  <c r="C7" i="10" s="1"/>
  <c r="T202" i="12"/>
  <c r="E7" i="10" s="1"/>
  <c r="Z202" i="12"/>
  <c r="F7" i="10" s="1"/>
  <c r="B174" i="12"/>
  <c r="B10" i="10" s="1"/>
  <c r="H174" i="12"/>
  <c r="C10" i="10" s="1"/>
  <c r="T174" i="12"/>
  <c r="E10" i="10" s="1"/>
  <c r="Z174" i="12"/>
  <c r="F10" i="10"/>
  <c r="B148" i="12"/>
  <c r="B11" i="10" s="1"/>
  <c r="H148" i="12"/>
  <c r="C11" i="10" s="1"/>
  <c r="T148" i="12"/>
  <c r="E11" i="10" s="1"/>
  <c r="Z148" i="12"/>
  <c r="F11" i="10" s="1"/>
  <c r="B197" i="12"/>
  <c r="B12" i="10" s="1"/>
  <c r="H197" i="12"/>
  <c r="C12" i="10" s="1"/>
  <c r="T197" i="12"/>
  <c r="E12" i="10" s="1"/>
  <c r="Z197" i="12"/>
  <c r="F12" i="10" s="1"/>
  <c r="B210" i="12"/>
  <c r="B13" i="10" s="1"/>
  <c r="H210" i="12"/>
  <c r="C13" i="10" s="1"/>
  <c r="T210" i="12"/>
  <c r="E13" i="10" s="1"/>
  <c r="Z210" i="12"/>
  <c r="F13" i="10" s="1"/>
  <c r="B176" i="12"/>
  <c r="B15" i="10" s="1"/>
  <c r="H176" i="12"/>
  <c r="C15" i="10" s="1"/>
  <c r="T176" i="12"/>
  <c r="E15" i="10" s="1"/>
  <c r="Z176" i="12"/>
  <c r="F15" i="10" s="1"/>
  <c r="B143" i="12"/>
  <c r="B16" i="10" s="1"/>
  <c r="H143" i="12"/>
  <c r="C16" i="10" s="1"/>
  <c r="T143" i="12"/>
  <c r="E16" i="10" s="1"/>
  <c r="Z143" i="12"/>
  <c r="F16" i="10" s="1"/>
  <c r="B234" i="12"/>
  <c r="B17" i="10" s="1"/>
  <c r="H234" i="12"/>
  <c r="C17" i="10" s="1"/>
  <c r="T234" i="12"/>
  <c r="E17" i="10" s="1"/>
  <c r="Z234" i="12"/>
  <c r="F17" i="10" s="1"/>
  <c r="B189" i="12"/>
  <c r="B19" i="10" s="1"/>
  <c r="H189" i="12"/>
  <c r="C19" i="10" s="1"/>
  <c r="T189" i="12"/>
  <c r="E19" i="10" s="1"/>
  <c r="Z189" i="12"/>
  <c r="F19" i="10" s="1"/>
  <c r="B222" i="12"/>
  <c r="B20" i="10" s="1"/>
  <c r="H222" i="12"/>
  <c r="C20" i="10" s="1"/>
  <c r="T222" i="12"/>
  <c r="E20" i="10" s="1"/>
  <c r="Z222" i="12"/>
  <c r="F20" i="10" s="1"/>
  <c r="B230" i="12"/>
  <c r="B21" i="10" s="1"/>
  <c r="H230" i="12"/>
  <c r="C21" i="10" s="1"/>
  <c r="T230" i="12"/>
  <c r="E21" i="10" s="1"/>
  <c r="Z230" i="12"/>
  <c r="F21" i="10" s="1"/>
  <c r="B166" i="12"/>
  <c r="B23" i="10" s="1"/>
  <c r="H166" i="12"/>
  <c r="C23" i="10" s="1"/>
  <c r="T166" i="12"/>
  <c r="E23" i="10" s="1"/>
  <c r="Z166" i="12"/>
  <c r="F23" i="10" s="1"/>
  <c r="B173" i="12"/>
  <c r="B24" i="10" s="1"/>
  <c r="H173" i="12"/>
  <c r="C24" i="10" s="1"/>
  <c r="T173" i="12"/>
  <c r="E24" i="10" s="1"/>
  <c r="Z173" i="12"/>
  <c r="F24" i="10"/>
  <c r="B215" i="12"/>
  <c r="B25" i="10" s="1"/>
  <c r="H215" i="12"/>
  <c r="C25" i="10" s="1"/>
  <c r="T215" i="12"/>
  <c r="E25" i="10" s="1"/>
  <c r="Z215" i="12"/>
  <c r="F25" i="10" s="1"/>
  <c r="B233" i="12"/>
  <c r="B26" i="10" s="1"/>
  <c r="H233" i="12"/>
  <c r="C26" i="10" s="1"/>
  <c r="T233" i="12"/>
  <c r="E26" i="10" s="1"/>
  <c r="Z233" i="12"/>
  <c r="F26" i="10" s="1"/>
  <c r="B187" i="12"/>
  <c r="B28" i="10" s="1"/>
  <c r="H187" i="12"/>
  <c r="C28" i="10" s="1"/>
  <c r="T187" i="12"/>
  <c r="E28" i="10" s="1"/>
  <c r="Z187" i="12"/>
  <c r="F28" i="10" s="1"/>
  <c r="B178" i="12"/>
  <c r="B29" i="10" s="1"/>
  <c r="H178" i="12"/>
  <c r="C29" i="10" s="1"/>
  <c r="T178" i="12"/>
  <c r="E29" i="10" s="1"/>
  <c r="Z178" i="12"/>
  <c r="F29" i="10" s="1"/>
  <c r="B142" i="12"/>
  <c r="B32" i="10" s="1"/>
  <c r="H142" i="12"/>
  <c r="C32" i="10" s="1"/>
  <c r="T142" i="12"/>
  <c r="E32" i="10" s="1"/>
  <c r="Z142" i="12"/>
  <c r="F32" i="10" s="1"/>
  <c r="B211" i="12"/>
  <c r="B33" i="10" s="1"/>
  <c r="H211" i="12"/>
  <c r="C33" i="10" s="1"/>
  <c r="T211" i="12"/>
  <c r="E33" i="10" s="1"/>
  <c r="Z211" i="12"/>
  <c r="F33" i="10" s="1"/>
  <c r="B155" i="12"/>
  <c r="B37" i="10" s="1"/>
  <c r="H155" i="12"/>
  <c r="C37" i="10" s="1"/>
  <c r="T155" i="12"/>
  <c r="E37" i="10" s="1"/>
  <c r="Z155" i="12"/>
  <c r="F37" i="10" s="1"/>
  <c r="B164" i="12"/>
  <c r="B38" i="10" s="1"/>
  <c r="H164" i="12"/>
  <c r="C38" i="10" s="1"/>
  <c r="T164" i="12"/>
  <c r="E38" i="10" s="1"/>
  <c r="Z164" i="12"/>
  <c r="F38" i="10" s="1"/>
  <c r="B165" i="12"/>
  <c r="B39" i="10" s="1"/>
  <c r="H165" i="12"/>
  <c r="C39" i="10" s="1"/>
  <c r="T165" i="12"/>
  <c r="E39" i="10" s="1"/>
  <c r="Z165" i="12"/>
  <c r="F39" i="10" s="1"/>
  <c r="B171" i="12"/>
  <c r="B40" i="10" s="1"/>
  <c r="H171" i="12"/>
  <c r="C40" i="10" s="1"/>
  <c r="T171" i="12"/>
  <c r="E40" i="10" s="1"/>
  <c r="Z171" i="12"/>
  <c r="F40" i="10" s="1"/>
  <c r="B184" i="12"/>
  <c r="B41" i="10" s="1"/>
  <c r="H184" i="12"/>
  <c r="C41" i="10" s="1"/>
  <c r="T184" i="12"/>
  <c r="E41" i="10" s="1"/>
  <c r="Z184" i="12"/>
  <c r="F41" i="10" s="1"/>
  <c r="B195" i="12"/>
  <c r="B42" i="10" s="1"/>
  <c r="H195" i="12"/>
  <c r="C42" i="10" s="1"/>
  <c r="T195" i="12"/>
  <c r="E42" i="10" s="1"/>
  <c r="Z195" i="12"/>
  <c r="F42" i="10" s="1"/>
  <c r="B196" i="12"/>
  <c r="B43" i="10" s="1"/>
  <c r="H196" i="12"/>
  <c r="C43" i="10" s="1"/>
  <c r="T196" i="12"/>
  <c r="E43" i="10" s="1"/>
  <c r="Z196" i="12"/>
  <c r="F43" i="10" s="1"/>
  <c r="B200" i="12"/>
  <c r="B44" i="10" s="1"/>
  <c r="H200" i="12"/>
  <c r="C44" i="10" s="1"/>
  <c r="T200" i="12"/>
  <c r="E44" i="10" s="1"/>
  <c r="Z200" i="12"/>
  <c r="F44" i="10" s="1"/>
  <c r="B221" i="12"/>
  <c r="B45" i="10" s="1"/>
  <c r="H221" i="12"/>
  <c r="C45" i="10" s="1"/>
  <c r="T221" i="12"/>
  <c r="E45" i="10" s="1"/>
  <c r="Z221" i="12"/>
  <c r="F45" i="10" s="1"/>
  <c r="B223" i="12"/>
  <c r="B46" i="10" s="1"/>
  <c r="H223" i="12"/>
  <c r="C46" i="10" s="1"/>
  <c r="T223" i="12"/>
  <c r="E46" i="10" s="1"/>
  <c r="Z223" i="12"/>
  <c r="F46" i="10" s="1"/>
  <c r="B227" i="12"/>
  <c r="B47" i="10" s="1"/>
  <c r="H227" i="12"/>
  <c r="C47" i="10" s="1"/>
  <c r="H288" i="2"/>
  <c r="C47" i="1" s="1"/>
  <c r="T227" i="12"/>
  <c r="E47" i="10" s="1"/>
  <c r="Z227" i="12"/>
  <c r="F47" i="10" s="1"/>
  <c r="B228" i="12"/>
  <c r="B48" i="10" s="1"/>
  <c r="H228" i="12"/>
  <c r="C48" i="10" s="1"/>
  <c r="T228" i="12"/>
  <c r="E48" i="10" s="1"/>
  <c r="Z228" i="12"/>
  <c r="F48" i="10" s="1"/>
  <c r="B140" i="12"/>
  <c r="B50" i="10" s="1"/>
  <c r="H140" i="12"/>
  <c r="C50" i="10" s="1"/>
  <c r="T140" i="12"/>
  <c r="E50" i="10" s="1"/>
  <c r="Z140" i="12"/>
  <c r="F50" i="10" s="1"/>
  <c r="B149" i="12"/>
  <c r="B51" i="10" s="1"/>
  <c r="H149" i="12"/>
  <c r="C51" i="10" s="1"/>
  <c r="T149" i="12"/>
  <c r="E51" i="10" s="1"/>
  <c r="Z149" i="12"/>
  <c r="F51" i="10" s="1"/>
  <c r="B151" i="12"/>
  <c r="B52" i="10" s="1"/>
  <c r="H151" i="12"/>
  <c r="C52" i="10" s="1"/>
  <c r="T151" i="12"/>
  <c r="E52" i="10" s="1"/>
  <c r="Z151" i="12"/>
  <c r="F52" i="10" s="1"/>
  <c r="B153" i="12"/>
  <c r="B53" i="10" s="1"/>
  <c r="H153" i="12"/>
  <c r="C53" i="10" s="1"/>
  <c r="T153" i="12"/>
  <c r="E53" i="10" s="1"/>
  <c r="Z153" i="12"/>
  <c r="F53" i="10" s="1"/>
  <c r="B161" i="12"/>
  <c r="B54" i="10" s="1"/>
  <c r="H161" i="12"/>
  <c r="C54" i="10" s="1"/>
  <c r="T161" i="12"/>
  <c r="E54" i="10" s="1"/>
  <c r="Z161" i="12"/>
  <c r="F54" i="10" s="1"/>
  <c r="B162" i="12"/>
  <c r="B55" i="10" s="1"/>
  <c r="H162" i="12"/>
  <c r="C55" i="10" s="1"/>
  <c r="N162" i="12"/>
  <c r="D55" i="10" s="1"/>
  <c r="T162" i="12"/>
  <c r="E55" i="10" s="1"/>
  <c r="Z162" i="12"/>
  <c r="F55" i="10" s="1"/>
  <c r="B163" i="12"/>
  <c r="B56" i="10" s="1"/>
  <c r="H163" i="12"/>
  <c r="C56" i="10" s="1"/>
  <c r="T163" i="12"/>
  <c r="E56" i="10" s="1"/>
  <c r="Z163" i="12"/>
  <c r="F56" i="10" s="1"/>
  <c r="B168" i="12"/>
  <c r="B57" i="10" s="1"/>
  <c r="H168" i="12"/>
  <c r="C57" i="10" s="1"/>
  <c r="T168" i="12"/>
  <c r="E57" i="10" s="1"/>
  <c r="Z168" i="12"/>
  <c r="F57" i="10" s="1"/>
  <c r="B169" i="12"/>
  <c r="B58" i="10" s="1"/>
  <c r="H169" i="12"/>
  <c r="C58" i="10" s="1"/>
  <c r="T169" i="12"/>
  <c r="E58" i="10" s="1"/>
  <c r="Z169" i="12"/>
  <c r="F58" i="10" s="1"/>
  <c r="B170" i="12"/>
  <c r="B59" i="10" s="1"/>
  <c r="H170" i="12"/>
  <c r="C59" i="10" s="1"/>
  <c r="T170" i="12"/>
  <c r="E59" i="10" s="1"/>
  <c r="Z170" i="12"/>
  <c r="F59" i="10" s="1"/>
  <c r="B180" i="12"/>
  <c r="B60" i="10" s="1"/>
  <c r="H180" i="12"/>
  <c r="C60" i="10" s="1"/>
  <c r="T180" i="12"/>
  <c r="E60" i="10" s="1"/>
  <c r="Z180" i="12"/>
  <c r="F60" i="10" s="1"/>
  <c r="B182" i="12"/>
  <c r="B61" i="10" s="1"/>
  <c r="H182" i="12"/>
  <c r="C61" i="10" s="1"/>
  <c r="T182" i="12"/>
  <c r="E61" i="10" s="1"/>
  <c r="Z182" i="12"/>
  <c r="F61" i="10" s="1"/>
  <c r="B212" i="12"/>
  <c r="B62" i="10" s="1"/>
  <c r="H212" i="12"/>
  <c r="C62" i="10" s="1"/>
  <c r="T212" i="12"/>
  <c r="E62" i="10" s="1"/>
  <c r="Z212" i="12"/>
  <c r="F62" i="10" s="1"/>
  <c r="B216" i="12"/>
  <c r="B63" i="10" s="1"/>
  <c r="H216" i="12"/>
  <c r="C63" i="10" s="1"/>
  <c r="T216" i="12"/>
  <c r="E63" i="10" s="1"/>
  <c r="Z216" i="12"/>
  <c r="F63" i="10" s="1"/>
  <c r="B218" i="12"/>
  <c r="B64" i="10" s="1"/>
  <c r="H218" i="12"/>
  <c r="C64" i="10" s="1"/>
  <c r="T218" i="12"/>
  <c r="E64" i="10" s="1"/>
  <c r="Z218" i="12"/>
  <c r="F64" i="10" s="1"/>
  <c r="B219" i="12"/>
  <c r="B65" i="10" s="1"/>
  <c r="H219" i="12"/>
  <c r="C65" i="10" s="1"/>
  <c r="T219" i="12"/>
  <c r="E65" i="10" s="1"/>
  <c r="Z219" i="12"/>
  <c r="F65" i="10" s="1"/>
  <c r="B246" i="12"/>
  <c r="B66" i="10" s="1"/>
  <c r="H246" i="12"/>
  <c r="C66" i="10" s="1"/>
  <c r="T246" i="12"/>
  <c r="E66" i="10" s="1"/>
  <c r="Z246" i="12"/>
  <c r="F66" i="10" s="1"/>
  <c r="B154" i="12"/>
  <c r="B68" i="10" s="1"/>
  <c r="H154" i="12"/>
  <c r="C68" i="10" s="1"/>
  <c r="T154" i="12"/>
  <c r="E68" i="10" s="1"/>
  <c r="Z154" i="12"/>
  <c r="F68" i="10" s="1"/>
  <c r="B157" i="12"/>
  <c r="B69" i="10" s="1"/>
  <c r="H157" i="12"/>
  <c r="C69" i="10" s="1"/>
  <c r="T157" i="12"/>
  <c r="E69" i="10" s="1"/>
  <c r="Z157" i="12"/>
  <c r="F69" i="10" s="1"/>
  <c r="B183" i="12"/>
  <c r="B70" i="10" s="1"/>
  <c r="H183" i="12"/>
  <c r="C70" i="10" s="1"/>
  <c r="T183" i="12"/>
  <c r="E70" i="10" s="1"/>
  <c r="Z183" i="12"/>
  <c r="F70" i="10" s="1"/>
  <c r="B194" i="12"/>
  <c r="B71" i="10" s="1"/>
  <c r="H194" i="12"/>
  <c r="C71" i="10" s="1"/>
  <c r="T194" i="12"/>
  <c r="E71" i="10" s="1"/>
  <c r="Z194" i="12"/>
  <c r="F71" i="10" s="1"/>
  <c r="B198" i="12"/>
  <c r="B72" i="10" s="1"/>
  <c r="H198" i="12"/>
  <c r="C72" i="10" s="1"/>
  <c r="T198" i="12"/>
  <c r="E72" i="10" s="1"/>
  <c r="Z198" i="12"/>
  <c r="F72" i="10" s="1"/>
  <c r="B199" i="12"/>
  <c r="B73" i="10" s="1"/>
  <c r="H199" i="12"/>
  <c r="C73" i="10" s="1"/>
  <c r="T199" i="12"/>
  <c r="E73" i="10" s="1"/>
  <c r="Z199" i="12"/>
  <c r="F73" i="10" s="1"/>
  <c r="B205" i="12"/>
  <c r="B74" i="10" s="1"/>
  <c r="H205" i="12"/>
  <c r="C74" i="10" s="1"/>
  <c r="T205" i="12"/>
  <c r="E74" i="10" s="1"/>
  <c r="Z205" i="12"/>
  <c r="F74" i="10" s="1"/>
  <c r="B220" i="12"/>
  <c r="B75" i="10" s="1"/>
  <c r="H220" i="12"/>
  <c r="C75" i="10" s="1"/>
  <c r="T220" i="12"/>
  <c r="E75" i="10" s="1"/>
  <c r="Z220" i="12"/>
  <c r="F75" i="10" s="1"/>
  <c r="B226" i="12"/>
  <c r="B76" i="10" s="1"/>
  <c r="H226" i="12"/>
  <c r="C76" i="10" s="1"/>
  <c r="T226" i="12"/>
  <c r="E76" i="10" s="1"/>
  <c r="Z226" i="12"/>
  <c r="F76" i="10" s="1"/>
  <c r="B231" i="12"/>
  <c r="B77" i="10" s="1"/>
  <c r="H231" i="12"/>
  <c r="C77" i="10" s="1"/>
  <c r="T231" i="12"/>
  <c r="E77" i="10" s="1"/>
  <c r="Z231" i="12"/>
  <c r="F77" i="10" s="1"/>
  <c r="B235" i="12"/>
  <c r="B78" i="10" s="1"/>
  <c r="H235" i="12"/>
  <c r="C78" i="10" s="1"/>
  <c r="T235" i="12"/>
  <c r="E78" i="10" s="1"/>
  <c r="Z235" i="12"/>
  <c r="F78" i="10" s="1"/>
  <c r="B237" i="12"/>
  <c r="B79" i="10" s="1"/>
  <c r="H237" i="12"/>
  <c r="C79" i="10" s="1"/>
  <c r="T237" i="12"/>
  <c r="E79" i="10" s="1"/>
  <c r="Z237" i="12"/>
  <c r="F79" i="10" s="1"/>
  <c r="B247" i="12"/>
  <c r="B80" i="10" s="1"/>
  <c r="H247" i="12"/>
  <c r="C80" i="10" s="1"/>
  <c r="T247" i="12"/>
  <c r="E80" i="10" s="1"/>
  <c r="Z247" i="12"/>
  <c r="F80" i="10" s="1"/>
  <c r="B138" i="12"/>
  <c r="B82" i="10" s="1"/>
  <c r="H138" i="12"/>
  <c r="C82" i="10" s="1"/>
  <c r="T138" i="12"/>
  <c r="E82" i="10" s="1"/>
  <c r="Z138" i="12"/>
  <c r="F82" i="10" s="1"/>
  <c r="B139" i="12"/>
  <c r="B83" i="10" s="1"/>
  <c r="H139" i="12"/>
  <c r="C83" i="10" s="1"/>
  <c r="T139" i="12"/>
  <c r="E83" i="10" s="1"/>
  <c r="Z139" i="12"/>
  <c r="F83" i="10" s="1"/>
  <c r="B141" i="12"/>
  <c r="B84" i="10" s="1"/>
  <c r="H141" i="12"/>
  <c r="C84" i="10" s="1"/>
  <c r="T141" i="12"/>
  <c r="E84" i="10" s="1"/>
  <c r="Z141" i="12"/>
  <c r="F84" i="10" s="1"/>
  <c r="B144" i="12"/>
  <c r="B85" i="10" s="1"/>
  <c r="H144" i="12"/>
  <c r="C85" i="10" s="1"/>
  <c r="T144" i="12"/>
  <c r="E85" i="10" s="1"/>
  <c r="Z144" i="12"/>
  <c r="F85" i="10"/>
  <c r="B145" i="12"/>
  <c r="B86" i="10" s="1"/>
  <c r="H145" i="12"/>
  <c r="C86" i="10" s="1"/>
  <c r="T145" i="12"/>
  <c r="E86" i="10" s="1"/>
  <c r="N145" i="12"/>
  <c r="D86" i="10" s="1"/>
  <c r="Z145" i="12"/>
  <c r="F86" i="10" s="1"/>
  <c r="B146" i="12"/>
  <c r="B87" i="10" s="1"/>
  <c r="H146" i="12"/>
  <c r="C87" i="10" s="1"/>
  <c r="N146" i="12"/>
  <c r="D87" i="10" s="1"/>
  <c r="T146" i="12"/>
  <c r="E87" i="10" s="1"/>
  <c r="Z146" i="12"/>
  <c r="F87" i="10"/>
  <c r="B147" i="12"/>
  <c r="B88" i="10" s="1"/>
  <c r="H147" i="12"/>
  <c r="C88" i="10" s="1"/>
  <c r="T147" i="12"/>
  <c r="E88" i="10" s="1"/>
  <c r="Z147" i="12"/>
  <c r="F88" i="10" s="1"/>
  <c r="B150" i="12"/>
  <c r="B89" i="10" s="1"/>
  <c r="H150" i="12"/>
  <c r="C89" i="10" s="1"/>
  <c r="T150" i="12"/>
  <c r="E89" i="10" s="1"/>
  <c r="Z150" i="12"/>
  <c r="F89" i="10" s="1"/>
  <c r="B152" i="12"/>
  <c r="B90" i="10" s="1"/>
  <c r="H152" i="12"/>
  <c r="C90" i="10" s="1"/>
  <c r="T152" i="12"/>
  <c r="E90" i="10" s="1"/>
  <c r="Z152" i="12"/>
  <c r="F90" i="10" s="1"/>
  <c r="B156" i="12"/>
  <c r="B91" i="10" s="1"/>
  <c r="H156" i="12"/>
  <c r="C91" i="10" s="1"/>
  <c r="T156" i="12"/>
  <c r="E91" i="10" s="1"/>
  <c r="Z156" i="12"/>
  <c r="F91" i="10" s="1"/>
  <c r="B159" i="12"/>
  <c r="B92" i="10" s="1"/>
  <c r="H159" i="12"/>
  <c r="C92" i="10" s="1"/>
  <c r="T159" i="12"/>
  <c r="E92" i="10" s="1"/>
  <c r="Z159" i="12"/>
  <c r="F92" i="10" s="1"/>
  <c r="B160" i="12"/>
  <c r="B93" i="10" s="1"/>
  <c r="H160" i="12"/>
  <c r="C93" i="10" s="1"/>
  <c r="T160" i="12"/>
  <c r="E93" i="10" s="1"/>
  <c r="Z160" i="12"/>
  <c r="F93" i="10" s="1"/>
  <c r="B167" i="12"/>
  <c r="B94" i="10" s="1"/>
  <c r="H167" i="12"/>
  <c r="C94" i="10" s="1"/>
  <c r="T167" i="12"/>
  <c r="E94" i="10" s="1"/>
  <c r="Z167" i="12"/>
  <c r="F94" i="10" s="1"/>
  <c r="B172" i="12"/>
  <c r="B95" i="10" s="1"/>
  <c r="H172" i="12"/>
  <c r="C95" i="10" s="1"/>
  <c r="T172" i="12"/>
  <c r="E95" i="10" s="1"/>
  <c r="Z172" i="12"/>
  <c r="F95" i="10" s="1"/>
  <c r="B175" i="12"/>
  <c r="B96" i="10" s="1"/>
  <c r="H175" i="12"/>
  <c r="C96" i="10" s="1"/>
  <c r="T175" i="12"/>
  <c r="E96" i="10" s="1"/>
  <c r="Z175" i="12"/>
  <c r="F96" i="10" s="1"/>
  <c r="B177" i="12"/>
  <c r="B97" i="10" s="1"/>
  <c r="H177" i="12"/>
  <c r="C97" i="10" s="1"/>
  <c r="T177" i="12"/>
  <c r="E97" i="10" s="1"/>
  <c r="Z177" i="12"/>
  <c r="F97" i="10" s="1"/>
  <c r="B179" i="12"/>
  <c r="B98" i="10" s="1"/>
  <c r="H179" i="12"/>
  <c r="C98" i="10" s="1"/>
  <c r="T179" i="12"/>
  <c r="E98" i="10" s="1"/>
  <c r="Z179" i="12"/>
  <c r="F98" i="10" s="1"/>
  <c r="B181" i="12"/>
  <c r="B99" i="10" s="1"/>
  <c r="H181" i="12"/>
  <c r="C99" i="10" s="1"/>
  <c r="T181" i="12"/>
  <c r="E99" i="10" s="1"/>
  <c r="Z181" i="12"/>
  <c r="F99" i="10" s="1"/>
  <c r="B185" i="12"/>
  <c r="B100" i="10" s="1"/>
  <c r="H185" i="12"/>
  <c r="C100" i="10" s="1"/>
  <c r="T185" i="12"/>
  <c r="E100" i="10" s="1"/>
  <c r="Z185" i="12"/>
  <c r="F100" i="10" s="1"/>
  <c r="B186" i="12"/>
  <c r="B101" i="10" s="1"/>
  <c r="H186" i="12"/>
  <c r="C101" i="10" s="1"/>
  <c r="T186" i="12"/>
  <c r="E101" i="10" s="1"/>
  <c r="Z186" i="12"/>
  <c r="F101" i="10" s="1"/>
  <c r="B188" i="12"/>
  <c r="B102" i="10" s="1"/>
  <c r="H188" i="12"/>
  <c r="C102" i="10" s="1"/>
  <c r="T188" i="12"/>
  <c r="E102" i="10" s="1"/>
  <c r="Z188" i="12"/>
  <c r="F102" i="10" s="1"/>
  <c r="B191" i="12"/>
  <c r="B103" i="10" s="1"/>
  <c r="H191" i="12"/>
  <c r="C103" i="10" s="1"/>
  <c r="T191" i="12"/>
  <c r="E103" i="10" s="1"/>
  <c r="Z191" i="12"/>
  <c r="F103" i="10" s="1"/>
  <c r="B192" i="12"/>
  <c r="B104" i="10" s="1"/>
  <c r="H192" i="12"/>
  <c r="C104" i="10" s="1"/>
  <c r="T192" i="12"/>
  <c r="E104" i="10" s="1"/>
  <c r="Z192" i="12"/>
  <c r="F104" i="10" s="1"/>
  <c r="B193" i="12"/>
  <c r="B105" i="10" s="1"/>
  <c r="H193" i="12"/>
  <c r="C105" i="10" s="1"/>
  <c r="T193" i="12"/>
  <c r="E105" i="10" s="1"/>
  <c r="Z193" i="12"/>
  <c r="F105" i="10" s="1"/>
  <c r="B201" i="12"/>
  <c r="B106" i="10" s="1"/>
  <c r="H201" i="12"/>
  <c r="C106" i="10" s="1"/>
  <c r="T201" i="12"/>
  <c r="E106" i="10" s="1"/>
  <c r="Z201" i="12"/>
  <c r="F106" i="10"/>
  <c r="B203" i="12"/>
  <c r="B107" i="10" s="1"/>
  <c r="H203" i="12"/>
  <c r="C107" i="10" s="1"/>
  <c r="T203" i="12"/>
  <c r="E107" i="10" s="1"/>
  <c r="Z203" i="12"/>
  <c r="F107" i="10" s="1"/>
  <c r="B204" i="12"/>
  <c r="B108" i="10" s="1"/>
  <c r="H204" i="12"/>
  <c r="C108" i="10" s="1"/>
  <c r="T204" i="12"/>
  <c r="E108" i="10" s="1"/>
  <c r="Z204" i="12"/>
  <c r="F108" i="10" s="1"/>
  <c r="B207" i="12"/>
  <c r="B109" i="10" s="1"/>
  <c r="H207" i="12"/>
  <c r="C109" i="10" s="1"/>
  <c r="T207" i="12"/>
  <c r="E109" i="10" s="1"/>
  <c r="Z207" i="12"/>
  <c r="F109" i="10" s="1"/>
  <c r="B208" i="12"/>
  <c r="B110" i="10" s="1"/>
  <c r="H208" i="12"/>
  <c r="C110" i="10" s="1"/>
  <c r="T208" i="12"/>
  <c r="E110" i="10" s="1"/>
  <c r="Z208" i="12"/>
  <c r="F110" i="10" s="1"/>
  <c r="B209" i="12"/>
  <c r="B111" i="10" s="1"/>
  <c r="H209" i="12"/>
  <c r="C111" i="10" s="1"/>
  <c r="T209" i="12"/>
  <c r="E111" i="10" s="1"/>
  <c r="Z209" i="12"/>
  <c r="F111" i="10" s="1"/>
  <c r="B213" i="12"/>
  <c r="B112" i="10" s="1"/>
  <c r="H213" i="12"/>
  <c r="C112" i="10" s="1"/>
  <c r="T213" i="12"/>
  <c r="E112" i="10" s="1"/>
  <c r="Z213" i="12"/>
  <c r="F112" i="10" s="1"/>
  <c r="B214" i="12"/>
  <c r="B113" i="10" s="1"/>
  <c r="H214" i="12"/>
  <c r="C113" i="10" s="1"/>
  <c r="T214" i="12"/>
  <c r="E113" i="10" s="1"/>
  <c r="Z214" i="12"/>
  <c r="F113" i="10" s="1"/>
  <c r="B217" i="12"/>
  <c r="B114" i="10" s="1"/>
  <c r="H217" i="12"/>
  <c r="C114" i="10" s="1"/>
  <c r="T217" i="12"/>
  <c r="E114" i="10" s="1"/>
  <c r="Z217" i="12"/>
  <c r="F114" i="10" s="1"/>
  <c r="B225" i="12"/>
  <c r="B115" i="10" s="1"/>
  <c r="H225" i="12"/>
  <c r="C115" i="10" s="1"/>
  <c r="T225" i="12"/>
  <c r="E115" i="10" s="1"/>
  <c r="Z225" i="12"/>
  <c r="F115" i="10" s="1"/>
  <c r="B229" i="12"/>
  <c r="B116" i="10" s="1"/>
  <c r="H229" i="12"/>
  <c r="C116" i="10" s="1"/>
  <c r="T229" i="12"/>
  <c r="E116" i="10" s="1"/>
  <c r="Z229" i="12"/>
  <c r="F116" i="10" s="1"/>
  <c r="B232" i="12"/>
  <c r="B117" i="10" s="1"/>
  <c r="H232" i="12"/>
  <c r="C117" i="10" s="1"/>
  <c r="T232" i="12"/>
  <c r="E117" i="10" s="1"/>
  <c r="Z232" i="12"/>
  <c r="F117" i="10" s="1"/>
  <c r="B236" i="12"/>
  <c r="B118" i="10" s="1"/>
  <c r="H236" i="12"/>
  <c r="C118" i="10" s="1"/>
  <c r="T236" i="12"/>
  <c r="E118" i="10" s="1"/>
  <c r="Z236" i="12"/>
  <c r="F118" i="10" s="1"/>
  <c r="B238" i="12"/>
  <c r="B119" i="10" s="1"/>
  <c r="H238" i="12"/>
  <c r="C119" i="10" s="1"/>
  <c r="T238" i="12"/>
  <c r="E119" i="10" s="1"/>
  <c r="Z238" i="12"/>
  <c r="F119" i="10" s="1"/>
  <c r="B240" i="12"/>
  <c r="B120" i="10" s="1"/>
  <c r="H240" i="12"/>
  <c r="C120" i="10" s="1"/>
  <c r="T240" i="12"/>
  <c r="E120" i="10" s="1"/>
  <c r="Z240" i="12"/>
  <c r="F120" i="10" s="1"/>
  <c r="B241" i="12"/>
  <c r="B121" i="10" s="1"/>
  <c r="H241" i="12"/>
  <c r="C121" i="10" s="1"/>
  <c r="T241" i="12"/>
  <c r="E121" i="10" s="1"/>
  <c r="Z241" i="12"/>
  <c r="F121" i="10" s="1"/>
  <c r="B242" i="12"/>
  <c r="B122" i="10" s="1"/>
  <c r="H242" i="12"/>
  <c r="C122" i="10" s="1"/>
  <c r="T242" i="12"/>
  <c r="E122" i="10" s="1"/>
  <c r="Z242" i="12"/>
  <c r="F122" i="10" s="1"/>
  <c r="B245" i="12"/>
  <c r="B123" i="10" s="1"/>
  <c r="H245" i="12"/>
  <c r="C123" i="10" s="1"/>
  <c r="N245" i="12"/>
  <c r="D123" i="10" s="1"/>
  <c r="T245" i="12"/>
  <c r="E123" i="10" s="1"/>
  <c r="Z245" i="12"/>
  <c r="F123" i="10" s="1"/>
  <c r="B248" i="12"/>
  <c r="B124" i="10" s="1"/>
  <c r="H248" i="12"/>
  <c r="C124" i="10" s="1"/>
  <c r="T248" i="12"/>
  <c r="E124" i="10" s="1"/>
  <c r="Z248" i="12"/>
  <c r="F124" i="10" s="1"/>
  <c r="B249" i="12"/>
  <c r="B125" i="10" s="1"/>
  <c r="H249" i="12"/>
  <c r="C125" i="10" s="1"/>
  <c r="T249" i="12"/>
  <c r="E125" i="10" s="1"/>
  <c r="Z249" i="12"/>
  <c r="F125" i="10" s="1"/>
  <c r="B305" i="2"/>
  <c r="B5" i="1" s="1"/>
  <c r="T305" i="2"/>
  <c r="E5" i="1" s="1"/>
  <c r="Z305" i="2"/>
  <c r="F5" i="1" s="1"/>
  <c r="B219" i="2"/>
  <c r="B6" i="1" s="1"/>
  <c r="H219" i="2"/>
  <c r="C6" i="1" s="1"/>
  <c r="T219" i="2"/>
  <c r="E6" i="1" s="1"/>
  <c r="Z219" i="2"/>
  <c r="F6" i="1" s="1"/>
  <c r="B263" i="2"/>
  <c r="B7" i="1" s="1"/>
  <c r="H263" i="2"/>
  <c r="C7" i="1" s="1"/>
  <c r="T263" i="2"/>
  <c r="E7" i="1" s="1"/>
  <c r="Z263" i="2"/>
  <c r="F7" i="1" s="1"/>
  <c r="B235" i="2"/>
  <c r="B10" i="1" s="1"/>
  <c r="H235" i="2"/>
  <c r="C10" i="1" s="1"/>
  <c r="T235" i="2"/>
  <c r="E10" i="1" s="1"/>
  <c r="Z235" i="2"/>
  <c r="F10" i="1" s="1"/>
  <c r="B209" i="2"/>
  <c r="B11" i="1" s="1"/>
  <c r="H209" i="2"/>
  <c r="C11" i="1" s="1"/>
  <c r="T209" i="2"/>
  <c r="E11" i="1" s="1"/>
  <c r="Z209" i="2"/>
  <c r="F11" i="1" s="1"/>
  <c r="B258" i="2"/>
  <c r="B12" i="1" s="1"/>
  <c r="H258" i="2"/>
  <c r="C12" i="1" s="1"/>
  <c r="T258" i="2"/>
  <c r="E12" i="1" s="1"/>
  <c r="Z258" i="2"/>
  <c r="F12" i="1" s="1"/>
  <c r="B271" i="2"/>
  <c r="B13" i="1" s="1"/>
  <c r="H271" i="2"/>
  <c r="C13" i="1" s="1"/>
  <c r="T271" i="2"/>
  <c r="E13" i="1" s="1"/>
  <c r="Z271" i="2"/>
  <c r="F13" i="1"/>
  <c r="B237" i="2"/>
  <c r="B15" i="1" s="1"/>
  <c r="H237" i="2"/>
  <c r="C15" i="1" s="1"/>
  <c r="T237" i="2"/>
  <c r="E15" i="1" s="1"/>
  <c r="Z237" i="2"/>
  <c r="F15" i="1" s="1"/>
  <c r="B204" i="2"/>
  <c r="B16" i="1" s="1"/>
  <c r="H204" i="2"/>
  <c r="C16" i="1" s="1"/>
  <c r="T204" i="2"/>
  <c r="E16" i="1" s="1"/>
  <c r="Z204" i="2"/>
  <c r="F16" i="1" s="1"/>
  <c r="B295" i="2"/>
  <c r="B17" i="1" s="1"/>
  <c r="H295" i="2"/>
  <c r="C17" i="1" s="1"/>
  <c r="T295" i="2"/>
  <c r="E17" i="1" s="1"/>
  <c r="Z295" i="2"/>
  <c r="F17" i="1" s="1"/>
  <c r="B250" i="2"/>
  <c r="B19" i="1" s="1"/>
  <c r="H250" i="2"/>
  <c r="C19" i="1" s="1"/>
  <c r="T250" i="2"/>
  <c r="E19" i="1" s="1"/>
  <c r="Z250" i="2"/>
  <c r="F19" i="1" s="1"/>
  <c r="B283" i="2"/>
  <c r="B20" i="1" s="1"/>
  <c r="H283" i="2"/>
  <c r="C20" i="1" s="1"/>
  <c r="T283" i="2"/>
  <c r="E20" i="1" s="1"/>
  <c r="Z283" i="2"/>
  <c r="F20" i="1" s="1"/>
  <c r="B291" i="2"/>
  <c r="B21" i="1" s="1"/>
  <c r="H291" i="2"/>
  <c r="C21" i="1" s="1"/>
  <c r="T291" i="2"/>
  <c r="E21" i="1" s="1"/>
  <c r="Z291" i="2"/>
  <c r="F21" i="1" s="1"/>
  <c r="B227" i="2"/>
  <c r="B23" i="1" s="1"/>
  <c r="H227" i="2"/>
  <c r="C23" i="1" s="1"/>
  <c r="T227" i="2"/>
  <c r="E23" i="1" s="1"/>
  <c r="Z227" i="2"/>
  <c r="F23" i="1" s="1"/>
  <c r="B234" i="2"/>
  <c r="B24" i="1" s="1"/>
  <c r="H234" i="2"/>
  <c r="C24" i="1" s="1"/>
  <c r="T234" i="2"/>
  <c r="E24" i="1" s="1"/>
  <c r="Z234" i="2"/>
  <c r="F24" i="1" s="1"/>
  <c r="B276" i="2"/>
  <c r="B25" i="1" s="1"/>
  <c r="H276" i="2"/>
  <c r="C25" i="1" s="1"/>
  <c r="T276" i="2"/>
  <c r="E25" i="1" s="1"/>
  <c r="Z276" i="2"/>
  <c r="F25" i="1" s="1"/>
  <c r="B294" i="2"/>
  <c r="B26" i="1" s="1"/>
  <c r="H294" i="2"/>
  <c r="C26" i="1" s="1"/>
  <c r="T294" i="2"/>
  <c r="E26" i="1" s="1"/>
  <c r="Z294" i="2"/>
  <c r="F26" i="1" s="1"/>
  <c r="B248" i="2"/>
  <c r="B28" i="1" s="1"/>
  <c r="H248" i="2"/>
  <c r="C28" i="1" s="1"/>
  <c r="T248" i="2"/>
  <c r="E28" i="1" s="1"/>
  <c r="Z248" i="2"/>
  <c r="F28" i="1" s="1"/>
  <c r="B239" i="2"/>
  <c r="B29" i="1" s="1"/>
  <c r="H239" i="2"/>
  <c r="C29" i="1" s="1"/>
  <c r="T239" i="2"/>
  <c r="E29" i="1" s="1"/>
  <c r="Z239" i="2"/>
  <c r="F29" i="1" s="1"/>
  <c r="B203" i="2"/>
  <c r="B32" i="1" s="1"/>
  <c r="H203" i="2"/>
  <c r="C32" i="1" s="1"/>
  <c r="T203" i="2"/>
  <c r="E32" i="1" s="1"/>
  <c r="Z203" i="2"/>
  <c r="F32" i="1" s="1"/>
  <c r="B272" i="2"/>
  <c r="B33" i="1" s="1"/>
  <c r="H272" i="2"/>
  <c r="C33" i="1" s="1"/>
  <c r="T272" i="2"/>
  <c r="E33" i="1" s="1"/>
  <c r="Z272" i="2"/>
  <c r="F33" i="1" s="1"/>
  <c r="B216" i="2"/>
  <c r="B37" i="1" s="1"/>
  <c r="H216" i="2"/>
  <c r="C37" i="1" s="1"/>
  <c r="T216" i="2"/>
  <c r="E37" i="1" s="1"/>
  <c r="Z216" i="2"/>
  <c r="F37" i="1" s="1"/>
  <c r="B225" i="2"/>
  <c r="B38" i="1" s="1"/>
  <c r="H225" i="2"/>
  <c r="C38" i="1" s="1"/>
  <c r="T225" i="2"/>
  <c r="E38" i="1" s="1"/>
  <c r="Z225" i="2"/>
  <c r="F38" i="1" s="1"/>
  <c r="B226" i="2"/>
  <c r="B39" i="1" s="1"/>
  <c r="H226" i="2"/>
  <c r="C39" i="1" s="1"/>
  <c r="T226" i="2"/>
  <c r="E39" i="1" s="1"/>
  <c r="Z226" i="2"/>
  <c r="F39" i="1" s="1"/>
  <c r="B232" i="2"/>
  <c r="B40" i="1" s="1"/>
  <c r="H232" i="2"/>
  <c r="C40" i="1" s="1"/>
  <c r="T232" i="2"/>
  <c r="E40" i="1" s="1"/>
  <c r="Z232" i="2"/>
  <c r="F40" i="1" s="1"/>
  <c r="B245" i="2"/>
  <c r="B41" i="1" s="1"/>
  <c r="H245" i="2"/>
  <c r="C41" i="1" s="1"/>
  <c r="T245" i="2"/>
  <c r="E41" i="1" s="1"/>
  <c r="Z245" i="2"/>
  <c r="F41" i="1" s="1"/>
  <c r="B256" i="2"/>
  <c r="B42" i="1" s="1"/>
  <c r="H256" i="2"/>
  <c r="C42" i="1" s="1"/>
  <c r="T256" i="2"/>
  <c r="E42" i="1" s="1"/>
  <c r="Z256" i="2"/>
  <c r="F42" i="1" s="1"/>
  <c r="B257" i="2"/>
  <c r="B43" i="1" s="1"/>
  <c r="H257" i="2"/>
  <c r="C43" i="1" s="1"/>
  <c r="T257" i="2"/>
  <c r="E43" i="1" s="1"/>
  <c r="Z257" i="2"/>
  <c r="F43" i="1" s="1"/>
  <c r="B261" i="2"/>
  <c r="B44" i="1" s="1"/>
  <c r="H261" i="2"/>
  <c r="C44" i="1" s="1"/>
  <c r="T261" i="2"/>
  <c r="E44" i="1" s="1"/>
  <c r="Z261" i="2"/>
  <c r="F44" i="1" s="1"/>
  <c r="B282" i="2"/>
  <c r="B45" i="1" s="1"/>
  <c r="H282" i="2"/>
  <c r="C45" i="1" s="1"/>
  <c r="T282" i="2"/>
  <c r="E45" i="1" s="1"/>
  <c r="Z282" i="2"/>
  <c r="F45" i="1" s="1"/>
  <c r="B284" i="2"/>
  <c r="B46" i="1" s="1"/>
  <c r="H284" i="2"/>
  <c r="C46" i="1" s="1"/>
  <c r="T284" i="2"/>
  <c r="E46" i="1" s="1"/>
  <c r="Z284" i="2"/>
  <c r="F46" i="1" s="1"/>
  <c r="B288" i="2"/>
  <c r="B47" i="1" s="1"/>
  <c r="T288" i="2"/>
  <c r="E47" i="1" s="1"/>
  <c r="Z288" i="2"/>
  <c r="F47" i="1" s="1"/>
  <c r="B289" i="2"/>
  <c r="B48" i="1" s="1"/>
  <c r="H289" i="2"/>
  <c r="C48" i="1" s="1"/>
  <c r="T289" i="2"/>
  <c r="E48" i="1" s="1"/>
  <c r="Z289" i="2"/>
  <c r="F48" i="1" s="1"/>
  <c r="B201" i="2"/>
  <c r="B50" i="1" s="1"/>
  <c r="H201" i="2"/>
  <c r="C50" i="1" s="1"/>
  <c r="T201" i="2"/>
  <c r="E50" i="1" s="1"/>
  <c r="Z201" i="2"/>
  <c r="F50" i="1" s="1"/>
  <c r="B210" i="2"/>
  <c r="B51" i="1" s="1"/>
  <c r="H210" i="2"/>
  <c r="C51" i="1" s="1"/>
  <c r="T210" i="2"/>
  <c r="E51" i="1" s="1"/>
  <c r="Z210" i="2"/>
  <c r="F51" i="1" s="1"/>
  <c r="B212" i="2"/>
  <c r="B52" i="1" s="1"/>
  <c r="H212" i="2"/>
  <c r="C52" i="1" s="1"/>
  <c r="T212" i="2"/>
  <c r="E52" i="1" s="1"/>
  <c r="Z212" i="2"/>
  <c r="F52" i="1" s="1"/>
  <c r="B214" i="2"/>
  <c r="B53" i="1" s="1"/>
  <c r="H214" i="2"/>
  <c r="C53" i="1" s="1"/>
  <c r="T214" i="2"/>
  <c r="E53" i="1" s="1"/>
  <c r="Z214" i="2"/>
  <c r="F53" i="1" s="1"/>
  <c r="B222" i="2"/>
  <c r="B54" i="1" s="1"/>
  <c r="H222" i="2"/>
  <c r="C54" i="1" s="1"/>
  <c r="T222" i="2"/>
  <c r="E54" i="1" s="1"/>
  <c r="Z222" i="2"/>
  <c r="F54" i="1" s="1"/>
  <c r="B223" i="2"/>
  <c r="B55" i="1" s="1"/>
  <c r="H223" i="2"/>
  <c r="C55" i="1" s="1"/>
  <c r="T223" i="2"/>
  <c r="E55" i="1" s="1"/>
  <c r="Z223" i="2"/>
  <c r="F55" i="1" s="1"/>
  <c r="B224" i="2"/>
  <c r="B56" i="1" s="1"/>
  <c r="H224" i="2"/>
  <c r="C56" i="1" s="1"/>
  <c r="T224" i="2"/>
  <c r="E56" i="1" s="1"/>
  <c r="Z224" i="2"/>
  <c r="F56" i="1"/>
  <c r="B229" i="2"/>
  <c r="B57" i="1" s="1"/>
  <c r="H229" i="2"/>
  <c r="C57" i="1" s="1"/>
  <c r="T229" i="2"/>
  <c r="E57" i="1" s="1"/>
  <c r="Z229" i="2"/>
  <c r="F57" i="1" s="1"/>
  <c r="B230" i="2"/>
  <c r="B58" i="1" s="1"/>
  <c r="H230" i="2"/>
  <c r="C58" i="1" s="1"/>
  <c r="T230" i="2"/>
  <c r="E58" i="1" s="1"/>
  <c r="Z230" i="2"/>
  <c r="F58" i="1" s="1"/>
  <c r="B231" i="2"/>
  <c r="B59" i="1" s="1"/>
  <c r="H231" i="2"/>
  <c r="C59" i="1" s="1"/>
  <c r="T231" i="2"/>
  <c r="E59" i="1" s="1"/>
  <c r="Z231" i="2"/>
  <c r="F59" i="1" s="1"/>
  <c r="B241" i="2"/>
  <c r="B60" i="1" s="1"/>
  <c r="H241" i="2"/>
  <c r="C60" i="1" s="1"/>
  <c r="T241" i="2"/>
  <c r="E60" i="1" s="1"/>
  <c r="Z241" i="2"/>
  <c r="F60" i="1" s="1"/>
  <c r="B243" i="2"/>
  <c r="B61" i="1" s="1"/>
  <c r="H243" i="2"/>
  <c r="C61" i="1" s="1"/>
  <c r="T243" i="2"/>
  <c r="E61" i="1" s="1"/>
  <c r="Z243" i="2"/>
  <c r="F61" i="1" s="1"/>
  <c r="B273" i="2"/>
  <c r="B62" i="1" s="1"/>
  <c r="H273" i="2"/>
  <c r="C62" i="1" s="1"/>
  <c r="T273" i="2"/>
  <c r="E62" i="1" s="1"/>
  <c r="Z273" i="2"/>
  <c r="F62" i="1" s="1"/>
  <c r="B277" i="2"/>
  <c r="B63" i="1" s="1"/>
  <c r="H277" i="2"/>
  <c r="C63" i="1" s="1"/>
  <c r="T277" i="2"/>
  <c r="E63" i="1" s="1"/>
  <c r="Z277" i="2"/>
  <c r="F63" i="1" s="1"/>
  <c r="B279" i="2"/>
  <c r="B64" i="1" s="1"/>
  <c r="H279" i="2"/>
  <c r="C64" i="1" s="1"/>
  <c r="T279" i="2"/>
  <c r="E64" i="1" s="1"/>
  <c r="Z279" i="2"/>
  <c r="F64" i="1" s="1"/>
  <c r="B280" i="2"/>
  <c r="B65" i="1" s="1"/>
  <c r="H280" i="2"/>
  <c r="C65" i="1" s="1"/>
  <c r="T280" i="2"/>
  <c r="E65" i="1" s="1"/>
  <c r="Z280" i="2"/>
  <c r="F65" i="1" s="1"/>
  <c r="B307" i="2"/>
  <c r="B66" i="1" s="1"/>
  <c r="H307" i="2"/>
  <c r="C66" i="1" s="1"/>
  <c r="T307" i="2"/>
  <c r="E66" i="1" s="1"/>
  <c r="Z307" i="2"/>
  <c r="F66" i="1" s="1"/>
  <c r="B215" i="2"/>
  <c r="B68" i="1" s="1"/>
  <c r="H215" i="2"/>
  <c r="C68" i="1" s="1"/>
  <c r="T215" i="2"/>
  <c r="E68" i="1" s="1"/>
  <c r="Z215" i="2"/>
  <c r="F68" i="1" s="1"/>
  <c r="B218" i="2"/>
  <c r="B69" i="1" s="1"/>
  <c r="H218" i="2"/>
  <c r="C69" i="1" s="1"/>
  <c r="T218" i="2"/>
  <c r="E69" i="1" s="1"/>
  <c r="Z218" i="2"/>
  <c r="F69" i="1" s="1"/>
  <c r="B244" i="2"/>
  <c r="B70" i="1" s="1"/>
  <c r="H244" i="2"/>
  <c r="C70" i="1" s="1"/>
  <c r="T244" i="2"/>
  <c r="E70" i="1" s="1"/>
  <c r="Z244" i="2"/>
  <c r="F70" i="1" s="1"/>
  <c r="B255" i="2"/>
  <c r="B71" i="1" s="1"/>
  <c r="H255" i="2"/>
  <c r="C71" i="1" s="1"/>
  <c r="T255" i="2"/>
  <c r="E71" i="1" s="1"/>
  <c r="Z255" i="2"/>
  <c r="F71" i="1" s="1"/>
  <c r="B259" i="2"/>
  <c r="B72" i="1" s="1"/>
  <c r="H259" i="2"/>
  <c r="C72" i="1" s="1"/>
  <c r="T259" i="2"/>
  <c r="E72" i="1" s="1"/>
  <c r="Z259" i="2"/>
  <c r="F72" i="1" s="1"/>
  <c r="B260" i="2"/>
  <c r="B73" i="1" s="1"/>
  <c r="H260" i="2"/>
  <c r="C73" i="1" s="1"/>
  <c r="T260" i="2"/>
  <c r="E73" i="1" s="1"/>
  <c r="Z260" i="2"/>
  <c r="F73" i="1" s="1"/>
  <c r="B266" i="2"/>
  <c r="B74" i="1" s="1"/>
  <c r="H266" i="2"/>
  <c r="C74" i="1" s="1"/>
  <c r="T266" i="2"/>
  <c r="E74" i="1" s="1"/>
  <c r="Z266" i="2"/>
  <c r="F74" i="1" s="1"/>
  <c r="B281" i="2"/>
  <c r="B75" i="1" s="1"/>
  <c r="H281" i="2"/>
  <c r="C75" i="1" s="1"/>
  <c r="T281" i="2"/>
  <c r="E75" i="1" s="1"/>
  <c r="Z281" i="2"/>
  <c r="F75" i="1" s="1"/>
  <c r="B287" i="2"/>
  <c r="B76" i="1" s="1"/>
  <c r="H287" i="2"/>
  <c r="C76" i="1" s="1"/>
  <c r="T287" i="2"/>
  <c r="E76" i="1" s="1"/>
  <c r="Z287" i="2"/>
  <c r="F76" i="1" s="1"/>
  <c r="B292" i="2"/>
  <c r="B77" i="1" s="1"/>
  <c r="H292" i="2"/>
  <c r="C77" i="1" s="1"/>
  <c r="T292" i="2"/>
  <c r="E77" i="1" s="1"/>
  <c r="Z292" i="2"/>
  <c r="F77" i="1" s="1"/>
  <c r="B296" i="2"/>
  <c r="B78" i="1" s="1"/>
  <c r="H296" i="2"/>
  <c r="C78" i="1" s="1"/>
  <c r="T296" i="2"/>
  <c r="E78" i="1" s="1"/>
  <c r="Z296" i="2"/>
  <c r="F78" i="1" s="1"/>
  <c r="B298" i="2"/>
  <c r="B79" i="1" s="1"/>
  <c r="H298" i="2"/>
  <c r="C79" i="1" s="1"/>
  <c r="T298" i="2"/>
  <c r="E79" i="1" s="1"/>
  <c r="Z298" i="2"/>
  <c r="F79" i="1" s="1"/>
  <c r="B308" i="2"/>
  <c r="B80" i="1" s="1"/>
  <c r="H308" i="2"/>
  <c r="C80" i="1" s="1"/>
  <c r="T308" i="2"/>
  <c r="E80" i="1" s="1"/>
  <c r="Z308" i="2"/>
  <c r="F80" i="1" s="1"/>
  <c r="B199" i="2"/>
  <c r="B82" i="1" s="1"/>
  <c r="H199" i="2"/>
  <c r="C82" i="1" s="1"/>
  <c r="T199" i="2"/>
  <c r="E82" i="1" s="1"/>
  <c r="Z199" i="2"/>
  <c r="F82" i="1" s="1"/>
  <c r="B200" i="2"/>
  <c r="B83" i="1" s="1"/>
  <c r="H200" i="2"/>
  <c r="C83" i="1" s="1"/>
  <c r="T200" i="2"/>
  <c r="E83" i="1" s="1"/>
  <c r="Z200" i="2"/>
  <c r="F83" i="1" s="1"/>
  <c r="B202" i="2"/>
  <c r="B84" i="1" s="1"/>
  <c r="H202" i="2"/>
  <c r="C84" i="1" s="1"/>
  <c r="T202" i="2"/>
  <c r="E84" i="1" s="1"/>
  <c r="Z202" i="2"/>
  <c r="F84" i="1" s="1"/>
  <c r="B205" i="2"/>
  <c r="B85" i="1" s="1"/>
  <c r="H205" i="2"/>
  <c r="C85" i="1" s="1"/>
  <c r="T205" i="2"/>
  <c r="E85" i="1" s="1"/>
  <c r="Z205" i="2"/>
  <c r="F85" i="1" s="1"/>
  <c r="B206" i="2"/>
  <c r="B86" i="1" s="1"/>
  <c r="H206" i="2"/>
  <c r="C86" i="1" s="1"/>
  <c r="T206" i="2"/>
  <c r="E86" i="1" s="1"/>
  <c r="Z206" i="2"/>
  <c r="F86" i="1" s="1"/>
  <c r="B207" i="2"/>
  <c r="B87" i="1" s="1"/>
  <c r="H207" i="2"/>
  <c r="C87" i="1" s="1"/>
  <c r="T207" i="2"/>
  <c r="E87" i="1" s="1"/>
  <c r="Z207" i="2"/>
  <c r="F87" i="1" s="1"/>
  <c r="B208" i="2"/>
  <c r="B88" i="1" s="1"/>
  <c r="H208" i="2"/>
  <c r="C88" i="1" s="1"/>
  <c r="T208" i="2"/>
  <c r="E88" i="1" s="1"/>
  <c r="Z208" i="2"/>
  <c r="F88" i="1" s="1"/>
  <c r="B211" i="2"/>
  <c r="B89" i="1" s="1"/>
  <c r="H211" i="2"/>
  <c r="C89" i="1" s="1"/>
  <c r="T211" i="2"/>
  <c r="E89" i="1" s="1"/>
  <c r="Z211" i="2"/>
  <c r="F89" i="1" s="1"/>
  <c r="B213" i="2"/>
  <c r="B90" i="1" s="1"/>
  <c r="H213" i="2"/>
  <c r="C90" i="1" s="1"/>
  <c r="T213" i="2"/>
  <c r="E90" i="1" s="1"/>
  <c r="Z213" i="2"/>
  <c r="F90" i="1"/>
  <c r="B217" i="2"/>
  <c r="B91" i="1" s="1"/>
  <c r="H217" i="2"/>
  <c r="C91" i="1" s="1"/>
  <c r="T217" i="2"/>
  <c r="E91" i="1" s="1"/>
  <c r="Z217" i="2"/>
  <c r="F91" i="1" s="1"/>
  <c r="B220" i="2"/>
  <c r="B92" i="1" s="1"/>
  <c r="H220" i="2"/>
  <c r="C92" i="1" s="1"/>
  <c r="T220" i="2"/>
  <c r="E92" i="1" s="1"/>
  <c r="Z220" i="2"/>
  <c r="F92" i="1" s="1"/>
  <c r="B221" i="2"/>
  <c r="B93" i="1" s="1"/>
  <c r="H221" i="2"/>
  <c r="C93" i="1" s="1"/>
  <c r="T221" i="2"/>
  <c r="E93" i="1" s="1"/>
  <c r="Z221" i="2"/>
  <c r="F93" i="1" s="1"/>
  <c r="B228" i="2"/>
  <c r="B94" i="1" s="1"/>
  <c r="H228" i="2"/>
  <c r="C94" i="1" s="1"/>
  <c r="T228" i="2"/>
  <c r="E94" i="1" s="1"/>
  <c r="Z228" i="2"/>
  <c r="F94" i="1" s="1"/>
  <c r="B233" i="2"/>
  <c r="B95" i="1" s="1"/>
  <c r="H233" i="2"/>
  <c r="C95" i="1" s="1"/>
  <c r="T233" i="2"/>
  <c r="E95" i="1" s="1"/>
  <c r="Z233" i="2"/>
  <c r="F95" i="1" s="1"/>
  <c r="B236" i="2"/>
  <c r="B96" i="1" s="1"/>
  <c r="H236" i="2"/>
  <c r="C96" i="1" s="1"/>
  <c r="T236" i="2"/>
  <c r="E96" i="1" s="1"/>
  <c r="Z236" i="2"/>
  <c r="F96" i="1" s="1"/>
  <c r="B238" i="2"/>
  <c r="B97" i="1" s="1"/>
  <c r="H238" i="2"/>
  <c r="C97" i="1" s="1"/>
  <c r="T238" i="2"/>
  <c r="E97" i="1" s="1"/>
  <c r="Z238" i="2"/>
  <c r="F97" i="1" s="1"/>
  <c r="B240" i="2"/>
  <c r="B98" i="1" s="1"/>
  <c r="H240" i="2"/>
  <c r="C98" i="1" s="1"/>
  <c r="T240" i="2"/>
  <c r="E98" i="1" s="1"/>
  <c r="Z240" i="2"/>
  <c r="F98" i="1" s="1"/>
  <c r="B242" i="2"/>
  <c r="B99" i="1" s="1"/>
  <c r="H242" i="2"/>
  <c r="C99" i="1" s="1"/>
  <c r="T242" i="2"/>
  <c r="E99" i="1" s="1"/>
  <c r="Z242" i="2"/>
  <c r="F99" i="1" s="1"/>
  <c r="B246" i="2"/>
  <c r="B100" i="1" s="1"/>
  <c r="H246" i="2"/>
  <c r="C100" i="1" s="1"/>
  <c r="T246" i="2"/>
  <c r="E100" i="1" s="1"/>
  <c r="Z246" i="2"/>
  <c r="F100" i="1" s="1"/>
  <c r="B247" i="2"/>
  <c r="B101" i="1" s="1"/>
  <c r="H247" i="2"/>
  <c r="C101" i="1" s="1"/>
  <c r="T247" i="2"/>
  <c r="E101" i="1" s="1"/>
  <c r="Z247" i="2"/>
  <c r="F101" i="1" s="1"/>
  <c r="B249" i="2"/>
  <c r="B102" i="1" s="1"/>
  <c r="H249" i="2"/>
  <c r="C102" i="1" s="1"/>
  <c r="T249" i="2"/>
  <c r="E102" i="1" s="1"/>
  <c r="Z249" i="2"/>
  <c r="F102" i="1" s="1"/>
  <c r="B252" i="2"/>
  <c r="B103" i="1" s="1"/>
  <c r="H252" i="2"/>
  <c r="C103" i="1" s="1"/>
  <c r="T252" i="2"/>
  <c r="E103" i="1" s="1"/>
  <c r="Z252" i="2"/>
  <c r="F103" i="1" s="1"/>
  <c r="B253" i="2"/>
  <c r="B104" i="1" s="1"/>
  <c r="H253" i="2"/>
  <c r="C104" i="1" s="1"/>
  <c r="T253" i="2"/>
  <c r="E104" i="1" s="1"/>
  <c r="Z253" i="2"/>
  <c r="F104" i="1" s="1"/>
  <c r="B254" i="2"/>
  <c r="B105" i="1" s="1"/>
  <c r="H254" i="2"/>
  <c r="C105" i="1" s="1"/>
  <c r="T254" i="2"/>
  <c r="E105" i="1" s="1"/>
  <c r="Z254" i="2"/>
  <c r="F105" i="1" s="1"/>
  <c r="B262" i="2"/>
  <c r="B106" i="1" s="1"/>
  <c r="H262" i="2"/>
  <c r="C106" i="1" s="1"/>
  <c r="T262" i="2"/>
  <c r="E106" i="1" s="1"/>
  <c r="Z262" i="2"/>
  <c r="F106" i="1" s="1"/>
  <c r="B264" i="2"/>
  <c r="B107" i="1" s="1"/>
  <c r="H264" i="2"/>
  <c r="C107" i="1" s="1"/>
  <c r="T264" i="2"/>
  <c r="E107" i="1" s="1"/>
  <c r="Z264" i="2"/>
  <c r="F107" i="1" s="1"/>
  <c r="B265" i="2"/>
  <c r="B108" i="1" s="1"/>
  <c r="H265" i="2"/>
  <c r="C108" i="1" s="1"/>
  <c r="T265" i="2"/>
  <c r="E108" i="1" s="1"/>
  <c r="Z265" i="2"/>
  <c r="F108" i="1" s="1"/>
  <c r="B268" i="2"/>
  <c r="B109" i="1" s="1"/>
  <c r="H268" i="2"/>
  <c r="C109" i="1" s="1"/>
  <c r="T268" i="2"/>
  <c r="E109" i="1" s="1"/>
  <c r="Z268" i="2"/>
  <c r="F109" i="1" s="1"/>
  <c r="B269" i="2"/>
  <c r="B110" i="1" s="1"/>
  <c r="H269" i="2"/>
  <c r="C110" i="1" s="1"/>
  <c r="T269" i="2"/>
  <c r="E110" i="1" s="1"/>
  <c r="Z269" i="2"/>
  <c r="F110" i="1" s="1"/>
  <c r="B270" i="2"/>
  <c r="B111" i="1" s="1"/>
  <c r="H270" i="2"/>
  <c r="C111" i="1" s="1"/>
  <c r="T270" i="2"/>
  <c r="E111" i="1" s="1"/>
  <c r="Z270" i="2"/>
  <c r="F111" i="1" s="1"/>
  <c r="B274" i="2"/>
  <c r="B112" i="1" s="1"/>
  <c r="H274" i="2"/>
  <c r="C112" i="1" s="1"/>
  <c r="T274" i="2"/>
  <c r="E112" i="1" s="1"/>
  <c r="Z274" i="2"/>
  <c r="F112" i="1" s="1"/>
  <c r="B275" i="2"/>
  <c r="B113" i="1" s="1"/>
  <c r="H275" i="2"/>
  <c r="C113" i="1" s="1"/>
  <c r="T275" i="2"/>
  <c r="E113" i="1" s="1"/>
  <c r="Z275" i="2"/>
  <c r="F113" i="1" s="1"/>
  <c r="B278" i="2"/>
  <c r="B114" i="1" s="1"/>
  <c r="H278" i="2"/>
  <c r="C114" i="1" s="1"/>
  <c r="T278" i="2"/>
  <c r="E114" i="1" s="1"/>
  <c r="Z278" i="2"/>
  <c r="F114" i="1"/>
  <c r="B286" i="2"/>
  <c r="B115" i="1" s="1"/>
  <c r="H286" i="2"/>
  <c r="C115" i="1" s="1"/>
  <c r="T286" i="2"/>
  <c r="E115" i="1" s="1"/>
  <c r="Z286" i="2"/>
  <c r="F115" i="1" s="1"/>
  <c r="B290" i="2"/>
  <c r="B116" i="1" s="1"/>
  <c r="H290" i="2"/>
  <c r="C116" i="1" s="1"/>
  <c r="T290" i="2"/>
  <c r="E116" i="1" s="1"/>
  <c r="Z290" i="2"/>
  <c r="F116" i="1" s="1"/>
  <c r="B293" i="2"/>
  <c r="B117" i="1" s="1"/>
  <c r="H293" i="2"/>
  <c r="C117" i="1" s="1"/>
  <c r="T293" i="2"/>
  <c r="E117" i="1" s="1"/>
  <c r="Z293" i="2"/>
  <c r="F117" i="1" s="1"/>
  <c r="B297" i="2"/>
  <c r="B118" i="1" s="1"/>
  <c r="H297" i="2"/>
  <c r="C118" i="1" s="1"/>
  <c r="T297" i="2"/>
  <c r="E118" i="1" s="1"/>
  <c r="Z297" i="2"/>
  <c r="F118" i="1" s="1"/>
  <c r="B299" i="2"/>
  <c r="B119" i="1" s="1"/>
  <c r="H299" i="2"/>
  <c r="C119" i="1" s="1"/>
  <c r="T299" i="2"/>
  <c r="E119" i="1" s="1"/>
  <c r="Z299" i="2"/>
  <c r="F119" i="1" s="1"/>
  <c r="B301" i="2"/>
  <c r="B120" i="1" s="1"/>
  <c r="H301" i="2"/>
  <c r="C120" i="1" s="1"/>
  <c r="T301" i="2"/>
  <c r="E120" i="1" s="1"/>
  <c r="Z301" i="2"/>
  <c r="F120" i="1" s="1"/>
  <c r="B302" i="2"/>
  <c r="B121" i="1" s="1"/>
  <c r="H302" i="2"/>
  <c r="C121" i="1" s="1"/>
  <c r="T302" i="2"/>
  <c r="E121" i="1" s="1"/>
  <c r="Z302" i="2"/>
  <c r="F121" i="1" s="1"/>
  <c r="B303" i="2"/>
  <c r="B122" i="1" s="1"/>
  <c r="H303" i="2"/>
  <c r="C122" i="1" s="1"/>
  <c r="T303" i="2"/>
  <c r="E122" i="1" s="1"/>
  <c r="Z303" i="2"/>
  <c r="F122" i="1" s="1"/>
  <c r="B306" i="2"/>
  <c r="B123" i="1" s="1"/>
  <c r="H306" i="2"/>
  <c r="C123" i="1" s="1"/>
  <c r="T306" i="2"/>
  <c r="E123" i="1" s="1"/>
  <c r="Z306" i="2"/>
  <c r="F123" i="1" s="1"/>
  <c r="B309" i="2"/>
  <c r="B124" i="1" s="1"/>
  <c r="H309" i="2"/>
  <c r="C124" i="1" s="1"/>
  <c r="T309" i="2"/>
  <c r="E124" i="1" s="1"/>
  <c r="Z309" i="2"/>
  <c r="F124" i="1" s="1"/>
  <c r="B310" i="2"/>
  <c r="B125" i="1" s="1"/>
  <c r="H310" i="2"/>
  <c r="C125" i="1" s="1"/>
  <c r="T310" i="2"/>
  <c r="E125" i="1" s="1"/>
  <c r="Z310" i="2"/>
  <c r="F125" i="1" s="1"/>
  <c r="B114" i="2"/>
  <c r="D114" i="2"/>
  <c r="J11" i="16"/>
  <c r="J16" i="16" s="1"/>
  <c r="F23" i="17" s="1"/>
  <c r="K11" i="16"/>
  <c r="N5" i="10"/>
  <c r="N4" i="10" s="1"/>
  <c r="N5" i="1"/>
  <c r="N4" i="1"/>
  <c r="N129" i="1"/>
  <c r="V5" i="1"/>
  <c r="U6" i="1"/>
  <c r="B33" i="7"/>
  <c r="L129" i="1"/>
  <c r="B148" i="2"/>
  <c r="B4" i="9"/>
  <c r="C9" i="9" s="1"/>
  <c r="C118" i="2"/>
  <c r="O120" i="2"/>
  <c r="C120" i="2"/>
  <c r="U122" i="2"/>
  <c r="U128" i="2"/>
  <c r="U124" i="2"/>
  <c r="C124" i="2"/>
  <c r="C129" i="2"/>
  <c r="N305" i="2"/>
  <c r="D5" i="1" s="1"/>
  <c r="N219" i="2"/>
  <c r="D6" i="1" s="1"/>
  <c r="N263" i="2"/>
  <c r="D7" i="1" s="1"/>
  <c r="N235" i="2"/>
  <c r="D10" i="1" s="1"/>
  <c r="N209" i="2"/>
  <c r="D11" i="1" s="1"/>
  <c r="N258" i="2"/>
  <c r="D12" i="1" s="1"/>
  <c r="N271" i="2"/>
  <c r="D13" i="1" s="1"/>
  <c r="N237" i="2"/>
  <c r="D15" i="1" s="1"/>
  <c r="N204" i="2"/>
  <c r="D16" i="1" s="1"/>
  <c r="N295" i="2"/>
  <c r="D17" i="1" s="1"/>
  <c r="N250" i="2"/>
  <c r="D19" i="1" s="1"/>
  <c r="N283" i="2"/>
  <c r="D20" i="1" s="1"/>
  <c r="N291" i="2"/>
  <c r="D21" i="1" s="1"/>
  <c r="N227" i="2"/>
  <c r="D23" i="1" s="1"/>
  <c r="N234" i="2"/>
  <c r="D24" i="1" s="1"/>
  <c r="N276" i="2"/>
  <c r="D25" i="1" s="1"/>
  <c r="N294" i="2"/>
  <c r="D26" i="1" s="1"/>
  <c r="N248" i="2"/>
  <c r="D28" i="1" s="1"/>
  <c r="N239" i="2"/>
  <c r="D29" i="1" s="1"/>
  <c r="N203" i="2"/>
  <c r="D32" i="1" s="1"/>
  <c r="N272" i="2"/>
  <c r="D33" i="1" s="1"/>
  <c r="N216" i="2"/>
  <c r="D37" i="1" s="1"/>
  <c r="N225" i="2"/>
  <c r="D38" i="1" s="1"/>
  <c r="N226" i="2"/>
  <c r="D39" i="1" s="1"/>
  <c r="N232" i="2"/>
  <c r="D40" i="1" s="1"/>
  <c r="N245" i="2"/>
  <c r="D41" i="1" s="1"/>
  <c r="N256" i="2"/>
  <c r="D42" i="1" s="1"/>
  <c r="N257" i="2"/>
  <c r="D43" i="1" s="1"/>
  <c r="N261" i="2"/>
  <c r="D44" i="1" s="1"/>
  <c r="N282" i="2"/>
  <c r="D45" i="1" s="1"/>
  <c r="N284" i="2"/>
  <c r="D46" i="1" s="1"/>
  <c r="N288" i="2"/>
  <c r="D47" i="1" s="1"/>
  <c r="N289" i="2"/>
  <c r="D48" i="1" s="1"/>
  <c r="N201" i="2"/>
  <c r="D50" i="1" s="1"/>
  <c r="N210" i="2"/>
  <c r="D51" i="1" s="1"/>
  <c r="N212" i="2"/>
  <c r="D52" i="1" s="1"/>
  <c r="N214" i="2"/>
  <c r="D53" i="1" s="1"/>
  <c r="N222" i="2"/>
  <c r="D54" i="1" s="1"/>
  <c r="N223" i="2"/>
  <c r="D55" i="1" s="1"/>
  <c r="N224" i="2"/>
  <c r="D56" i="1" s="1"/>
  <c r="N229" i="2"/>
  <c r="D57" i="1" s="1"/>
  <c r="N230" i="2"/>
  <c r="D58" i="1" s="1"/>
  <c r="N231" i="2"/>
  <c r="D59" i="1" s="1"/>
  <c r="N241" i="2"/>
  <c r="D60" i="1" s="1"/>
  <c r="N243" i="2"/>
  <c r="D61" i="1" s="1"/>
  <c r="N273" i="2"/>
  <c r="D62" i="1" s="1"/>
  <c r="N277" i="2"/>
  <c r="D63" i="1" s="1"/>
  <c r="N279" i="2"/>
  <c r="D64" i="1" s="1"/>
  <c r="N280" i="2"/>
  <c r="D65" i="1" s="1"/>
  <c r="N307" i="2"/>
  <c r="D66" i="1" s="1"/>
  <c r="N215" i="2"/>
  <c r="D68" i="1" s="1"/>
  <c r="N218" i="2"/>
  <c r="D69" i="1" s="1"/>
  <c r="N244" i="2"/>
  <c r="D70" i="1" s="1"/>
  <c r="N255" i="2"/>
  <c r="D71" i="1" s="1"/>
  <c r="N259" i="2"/>
  <c r="D72" i="1" s="1"/>
  <c r="N260" i="2"/>
  <c r="D73" i="1" s="1"/>
  <c r="N266" i="2"/>
  <c r="D74" i="1" s="1"/>
  <c r="N281" i="2"/>
  <c r="D75" i="1" s="1"/>
  <c r="N287" i="2"/>
  <c r="D76" i="1" s="1"/>
  <c r="N292" i="2"/>
  <c r="D77" i="1" s="1"/>
  <c r="N296" i="2"/>
  <c r="D78" i="1" s="1"/>
  <c r="N298" i="2"/>
  <c r="D79" i="1" s="1"/>
  <c r="N308" i="2"/>
  <c r="D80" i="1" s="1"/>
  <c r="N199" i="2"/>
  <c r="D82" i="1" s="1"/>
  <c r="N200" i="2"/>
  <c r="D83" i="1" s="1"/>
  <c r="N202" i="2"/>
  <c r="D84" i="1" s="1"/>
  <c r="N205" i="2"/>
  <c r="D85" i="1" s="1"/>
  <c r="N206" i="2"/>
  <c r="D86" i="1" s="1"/>
  <c r="N207" i="2"/>
  <c r="D87" i="1" s="1"/>
  <c r="N208" i="2"/>
  <c r="D88" i="1" s="1"/>
  <c r="N211" i="2"/>
  <c r="D89" i="1" s="1"/>
  <c r="N213" i="2"/>
  <c r="D90" i="1" s="1"/>
  <c r="N217" i="2"/>
  <c r="D91" i="1" s="1"/>
  <c r="N220" i="2"/>
  <c r="D92" i="1" s="1"/>
  <c r="N221" i="2"/>
  <c r="D93" i="1" s="1"/>
  <c r="N228" i="2"/>
  <c r="D94" i="1" s="1"/>
  <c r="N233" i="2"/>
  <c r="D95" i="1" s="1"/>
  <c r="N236" i="2"/>
  <c r="D96" i="1" s="1"/>
  <c r="N238" i="2"/>
  <c r="D97" i="1" s="1"/>
  <c r="N240" i="2"/>
  <c r="D98" i="1" s="1"/>
  <c r="N242" i="2"/>
  <c r="D99" i="1" s="1"/>
  <c r="N246" i="2"/>
  <c r="D100" i="1" s="1"/>
  <c r="N247" i="2"/>
  <c r="D101" i="1" s="1"/>
  <c r="N249" i="2"/>
  <c r="D102" i="1" s="1"/>
  <c r="N252" i="2"/>
  <c r="D103" i="1" s="1"/>
  <c r="N253" i="2"/>
  <c r="D104" i="1" s="1"/>
  <c r="N254" i="2"/>
  <c r="D105" i="1" s="1"/>
  <c r="N262" i="2"/>
  <c r="D106" i="1" s="1"/>
  <c r="N264" i="2"/>
  <c r="D107" i="1" s="1"/>
  <c r="N265" i="2"/>
  <c r="D108" i="1" s="1"/>
  <c r="N268" i="2"/>
  <c r="D109" i="1" s="1"/>
  <c r="N269" i="2"/>
  <c r="D110" i="1" s="1"/>
  <c r="N270" i="2"/>
  <c r="D111" i="1" s="1"/>
  <c r="N274" i="2"/>
  <c r="D112" i="1" s="1"/>
  <c r="N275" i="2"/>
  <c r="D113" i="1" s="1"/>
  <c r="N278" i="2"/>
  <c r="D114" i="1" s="1"/>
  <c r="N286" i="2"/>
  <c r="D115" i="1" s="1"/>
  <c r="N290" i="2"/>
  <c r="D116" i="1" s="1"/>
  <c r="N293" i="2"/>
  <c r="D117" i="1" s="1"/>
  <c r="N297" i="2"/>
  <c r="D118" i="1" s="1"/>
  <c r="N299" i="2"/>
  <c r="D119" i="1" s="1"/>
  <c r="N301" i="2"/>
  <c r="D120" i="1" s="1"/>
  <c r="N302" i="2"/>
  <c r="D121" i="1" s="1"/>
  <c r="N303" i="2"/>
  <c r="D122" i="1" s="1"/>
  <c r="N306" i="2"/>
  <c r="D123" i="1" s="1"/>
  <c r="N309" i="2"/>
  <c r="D124" i="1" s="1"/>
  <c r="N310" i="2"/>
  <c r="D125" i="1" s="1"/>
  <c r="N249" i="12"/>
  <c r="D125" i="10" s="1"/>
  <c r="N244" i="12"/>
  <c r="D5" i="10" s="1"/>
  <c r="N248" i="12"/>
  <c r="D124" i="10" s="1"/>
  <c r="N242" i="12"/>
  <c r="D122" i="10" s="1"/>
  <c r="N241" i="12"/>
  <c r="D121" i="10" s="1"/>
  <c r="N240" i="12"/>
  <c r="D120" i="10" s="1"/>
  <c r="N238" i="12"/>
  <c r="D119" i="10" s="1"/>
  <c r="N236" i="12"/>
  <c r="D118" i="10" s="1"/>
  <c r="N232" i="12"/>
  <c r="D117" i="10" s="1"/>
  <c r="N229" i="12"/>
  <c r="D116" i="10" s="1"/>
  <c r="N225" i="12"/>
  <c r="D115" i="10" s="1"/>
  <c r="N217" i="12"/>
  <c r="D114" i="10" s="1"/>
  <c r="N214" i="12"/>
  <c r="D113" i="10" s="1"/>
  <c r="N213" i="12"/>
  <c r="D112" i="10" s="1"/>
  <c r="N209" i="12"/>
  <c r="D111" i="10" s="1"/>
  <c r="N208" i="12"/>
  <c r="D110" i="10" s="1"/>
  <c r="N207" i="12"/>
  <c r="D109" i="10" s="1"/>
  <c r="N204" i="12"/>
  <c r="D108" i="10" s="1"/>
  <c r="N203" i="12"/>
  <c r="D107" i="10" s="1"/>
  <c r="N201" i="12"/>
  <c r="D106" i="10" s="1"/>
  <c r="N193" i="12"/>
  <c r="D105" i="10" s="1"/>
  <c r="N192" i="12"/>
  <c r="D104" i="10" s="1"/>
  <c r="N191" i="12"/>
  <c r="D103" i="10" s="1"/>
  <c r="N188" i="12"/>
  <c r="D102" i="10" s="1"/>
  <c r="N186" i="12"/>
  <c r="D101" i="10" s="1"/>
  <c r="N185" i="12"/>
  <c r="D100" i="10" s="1"/>
  <c r="N181" i="12"/>
  <c r="D99" i="10" s="1"/>
  <c r="N179" i="12"/>
  <c r="D98" i="10" s="1"/>
  <c r="N177" i="12"/>
  <c r="D97" i="10" s="1"/>
  <c r="N175" i="12"/>
  <c r="D96" i="10" s="1"/>
  <c r="N172" i="12"/>
  <c r="D95" i="10" s="1"/>
  <c r="N167" i="12"/>
  <c r="D94" i="10" s="1"/>
  <c r="N160" i="12"/>
  <c r="D93" i="10" s="1"/>
  <c r="N159" i="12"/>
  <c r="D92" i="10" s="1"/>
  <c r="N156" i="12"/>
  <c r="D91" i="10" s="1"/>
  <c r="N152" i="12"/>
  <c r="D90" i="10" s="1"/>
  <c r="N150" i="12"/>
  <c r="D89" i="10" s="1"/>
  <c r="N147" i="12"/>
  <c r="D88" i="10" s="1"/>
  <c r="N144" i="12"/>
  <c r="D85" i="10" s="1"/>
  <c r="N141" i="12"/>
  <c r="D84" i="10" s="1"/>
  <c r="N139" i="12"/>
  <c r="D83" i="10" s="1"/>
  <c r="N138" i="12"/>
  <c r="D82" i="10" s="1"/>
  <c r="N247" i="12"/>
  <c r="D80" i="10" s="1"/>
  <c r="N237" i="12"/>
  <c r="D79" i="10" s="1"/>
  <c r="N235" i="12"/>
  <c r="D78" i="10" s="1"/>
  <c r="N231" i="12"/>
  <c r="D77" i="10" s="1"/>
  <c r="N226" i="12"/>
  <c r="D76" i="10" s="1"/>
  <c r="N220" i="12"/>
  <c r="D75" i="10" s="1"/>
  <c r="N205" i="12"/>
  <c r="D74" i="10" s="1"/>
  <c r="N199" i="12"/>
  <c r="D73" i="10" s="1"/>
  <c r="N198" i="12"/>
  <c r="D72" i="10" s="1"/>
  <c r="N194" i="12"/>
  <c r="D71" i="10" s="1"/>
  <c r="N183" i="12"/>
  <c r="D70" i="10" s="1"/>
  <c r="N157" i="12"/>
  <c r="D69" i="10" s="1"/>
  <c r="N154" i="12"/>
  <c r="D68" i="10" s="1"/>
  <c r="N246" i="12"/>
  <c r="D66" i="10" s="1"/>
  <c r="N219" i="12"/>
  <c r="D65" i="10" s="1"/>
  <c r="N218" i="12"/>
  <c r="D64" i="10" s="1"/>
  <c r="N216" i="12"/>
  <c r="D63" i="10" s="1"/>
  <c r="N212" i="12"/>
  <c r="D62" i="10" s="1"/>
  <c r="N182" i="12"/>
  <c r="D61" i="10" s="1"/>
  <c r="N180" i="12"/>
  <c r="D60" i="10" s="1"/>
  <c r="N170" i="12"/>
  <c r="D59" i="10" s="1"/>
  <c r="N169" i="12"/>
  <c r="D58" i="10" s="1"/>
  <c r="N168" i="12"/>
  <c r="D57" i="10" s="1"/>
  <c r="N163" i="12"/>
  <c r="D56" i="10" s="1"/>
  <c r="N161" i="12"/>
  <c r="D54" i="10" s="1"/>
  <c r="N153" i="12"/>
  <c r="D53" i="10" s="1"/>
  <c r="N151" i="12"/>
  <c r="D52" i="10" s="1"/>
  <c r="N149" i="12"/>
  <c r="D51" i="10" s="1"/>
  <c r="N140" i="12"/>
  <c r="D50" i="10" s="1"/>
  <c r="N228" i="12"/>
  <c r="D48" i="10" s="1"/>
  <c r="N227" i="12"/>
  <c r="D47" i="10" s="1"/>
  <c r="N223" i="12"/>
  <c r="D46" i="10" s="1"/>
  <c r="N221" i="12"/>
  <c r="D45" i="10" s="1"/>
  <c r="N200" i="12"/>
  <c r="D44" i="10" s="1"/>
  <c r="N196" i="12"/>
  <c r="D43" i="10" s="1"/>
  <c r="N195" i="12"/>
  <c r="D42" i="10" s="1"/>
  <c r="N184" i="12"/>
  <c r="D41" i="10" s="1"/>
  <c r="N171" i="12"/>
  <c r="D40" i="10" s="1"/>
  <c r="N165" i="12"/>
  <c r="D39" i="10" s="1"/>
  <c r="N164" i="12"/>
  <c r="D38" i="10" s="1"/>
  <c r="N155" i="12"/>
  <c r="D37" i="10" s="1"/>
  <c r="N211" i="12"/>
  <c r="D33" i="10" s="1"/>
  <c r="N142" i="12"/>
  <c r="D32" i="10" s="1"/>
  <c r="N178" i="12"/>
  <c r="D29" i="10" s="1"/>
  <c r="N187" i="12"/>
  <c r="D28" i="10" s="1"/>
  <c r="N233" i="12"/>
  <c r="D26" i="10" s="1"/>
  <c r="N215" i="12"/>
  <c r="D25" i="10" s="1"/>
  <c r="N173" i="12"/>
  <c r="D24" i="10" s="1"/>
  <c r="N166" i="12"/>
  <c r="D23" i="10" s="1"/>
  <c r="N230" i="12"/>
  <c r="D21" i="10" s="1"/>
  <c r="N222" i="12"/>
  <c r="D20" i="10" s="1"/>
  <c r="N189" i="12"/>
  <c r="D19" i="10" s="1"/>
  <c r="N234" i="12"/>
  <c r="D17" i="10" s="1"/>
  <c r="N143" i="12"/>
  <c r="D16" i="10" s="1"/>
  <c r="N176" i="12"/>
  <c r="D15" i="10" s="1"/>
  <c r="N210" i="12"/>
  <c r="D13" i="10" s="1"/>
  <c r="N197" i="12"/>
  <c r="D12" i="10" s="1"/>
  <c r="N148" i="12"/>
  <c r="D11" i="10" s="1"/>
  <c r="N174" i="12"/>
  <c r="D10" i="10" s="1"/>
  <c r="N202" i="12"/>
  <c r="D7" i="10" s="1"/>
  <c r="N158" i="12"/>
  <c r="D6" i="10" s="1"/>
  <c r="M8" i="11"/>
  <c r="M9" i="11"/>
  <c r="M14" i="11"/>
  <c r="M18" i="11"/>
  <c r="M22" i="11"/>
  <c r="M27" i="11"/>
  <c r="M30" i="11"/>
  <c r="M31" i="11"/>
  <c r="M34" i="11"/>
  <c r="M35" i="11"/>
  <c r="M36" i="11"/>
  <c r="M49" i="11"/>
  <c r="M67" i="11"/>
  <c r="M81" i="11"/>
  <c r="M127" i="11"/>
  <c r="B249" i="14"/>
  <c r="B125" i="13" s="1"/>
  <c r="N249" i="14"/>
  <c r="D125" i="13" s="1"/>
  <c r="T249" i="14"/>
  <c r="E125" i="13" s="1"/>
  <c r="Z249" i="14"/>
  <c r="F125" i="13" s="1"/>
  <c r="B248" i="14"/>
  <c r="B124" i="13" s="1"/>
  <c r="N248" i="14"/>
  <c r="D124" i="13" s="1"/>
  <c r="T248" i="14"/>
  <c r="E124" i="13" s="1"/>
  <c r="Z248" i="14"/>
  <c r="F124" i="13" s="1"/>
  <c r="B245" i="14"/>
  <c r="B123" i="13" s="1"/>
  <c r="N245" i="14"/>
  <c r="D123" i="13" s="1"/>
  <c r="T245" i="14"/>
  <c r="E123" i="13" s="1"/>
  <c r="B242" i="14"/>
  <c r="B122" i="13" s="1"/>
  <c r="N242" i="14"/>
  <c r="D122" i="13" s="1"/>
  <c r="T242" i="14"/>
  <c r="E122" i="13" s="1"/>
  <c r="B241" i="14"/>
  <c r="B121" i="13" s="1"/>
  <c r="N241" i="14"/>
  <c r="D121" i="13" s="1"/>
  <c r="T241" i="14"/>
  <c r="E121" i="13" s="1"/>
  <c r="B240" i="14"/>
  <c r="B120" i="13" s="1"/>
  <c r="N240" i="14"/>
  <c r="D120" i="13" s="1"/>
  <c r="T240" i="14"/>
  <c r="E120" i="13" s="1"/>
  <c r="Z240" i="14"/>
  <c r="F120" i="13" s="1"/>
  <c r="B238" i="14"/>
  <c r="B119" i="13" s="1"/>
  <c r="N238" i="14"/>
  <c r="D119" i="13" s="1"/>
  <c r="T238" i="14"/>
  <c r="E119" i="13" s="1"/>
  <c r="B236" i="14"/>
  <c r="B118" i="13" s="1"/>
  <c r="N236" i="14"/>
  <c r="D118" i="13" s="1"/>
  <c r="T236" i="14"/>
  <c r="E118" i="13" s="1"/>
  <c r="Z236" i="14"/>
  <c r="F118" i="13" s="1"/>
  <c r="B232" i="14"/>
  <c r="B117" i="13" s="1"/>
  <c r="N232" i="14"/>
  <c r="D117" i="13" s="1"/>
  <c r="T232" i="14"/>
  <c r="E117" i="13" s="1"/>
  <c r="Z232" i="14"/>
  <c r="F117" i="13" s="1"/>
  <c r="B229" i="14"/>
  <c r="B116" i="13" s="1"/>
  <c r="N229" i="14"/>
  <c r="D116" i="13" s="1"/>
  <c r="T229" i="14"/>
  <c r="E116" i="13" s="1"/>
  <c r="B225" i="14"/>
  <c r="B115" i="13" s="1"/>
  <c r="N225" i="14"/>
  <c r="D115" i="13" s="1"/>
  <c r="T225" i="14"/>
  <c r="E115" i="13" s="1"/>
  <c r="B217" i="14"/>
  <c r="B114" i="13" s="1"/>
  <c r="N217" i="14"/>
  <c r="D114" i="13" s="1"/>
  <c r="T217" i="14"/>
  <c r="E114" i="13" s="1"/>
  <c r="B214" i="14"/>
  <c r="B113" i="13" s="1"/>
  <c r="N214" i="14"/>
  <c r="D113" i="13" s="1"/>
  <c r="T214" i="14"/>
  <c r="E113" i="13" s="1"/>
  <c r="B209" i="14"/>
  <c r="B111" i="13" s="1"/>
  <c r="N209" i="14"/>
  <c r="D111" i="13" s="1"/>
  <c r="T209" i="14"/>
  <c r="E111" i="13" s="1"/>
  <c r="Z209" i="14"/>
  <c r="F111" i="13" s="1"/>
  <c r="B208" i="14"/>
  <c r="B110" i="13" s="1"/>
  <c r="N208" i="14"/>
  <c r="D110" i="13" s="1"/>
  <c r="T208" i="14"/>
  <c r="E110" i="13" s="1"/>
  <c r="Z208" i="14"/>
  <c r="F110" i="13" s="1"/>
  <c r="B207" i="14"/>
  <c r="B109" i="13" s="1"/>
  <c r="N207" i="14"/>
  <c r="D109" i="13" s="1"/>
  <c r="T207" i="14"/>
  <c r="E109" i="13" s="1"/>
  <c r="Z207" i="14"/>
  <c r="F109" i="13" s="1"/>
  <c r="B203" i="14"/>
  <c r="B107" i="13" s="1"/>
  <c r="N203" i="14"/>
  <c r="D107" i="13" s="1"/>
  <c r="T203" i="14"/>
  <c r="E107" i="13" s="1"/>
  <c r="Z203" i="14"/>
  <c r="F107" i="13" s="1"/>
  <c r="B201" i="14"/>
  <c r="B106" i="13" s="1"/>
  <c r="N201" i="14"/>
  <c r="D106" i="13" s="1"/>
  <c r="T201" i="14"/>
  <c r="E106" i="13" s="1"/>
  <c r="Z201" i="14"/>
  <c r="F106" i="13" s="1"/>
  <c r="B193" i="14"/>
  <c r="B105" i="13" s="1"/>
  <c r="N193" i="14"/>
  <c r="D105" i="13" s="1"/>
  <c r="T193" i="14"/>
  <c r="E105" i="13" s="1"/>
  <c r="B192" i="14"/>
  <c r="B104" i="13" s="1"/>
  <c r="N192" i="14"/>
  <c r="D104" i="13" s="1"/>
  <c r="T192" i="14"/>
  <c r="E104" i="13" s="1"/>
  <c r="Z192" i="14"/>
  <c r="F104" i="13" s="1"/>
  <c r="B191" i="14"/>
  <c r="B103" i="13" s="1"/>
  <c r="N191" i="14"/>
  <c r="D103" i="13" s="1"/>
  <c r="T191" i="14"/>
  <c r="E103" i="13" s="1"/>
  <c r="Z191" i="14"/>
  <c r="F103" i="13"/>
  <c r="B188" i="14"/>
  <c r="B102" i="13" s="1"/>
  <c r="N188" i="14"/>
  <c r="D102" i="13" s="1"/>
  <c r="T188" i="14"/>
  <c r="E102" i="13" s="1"/>
  <c r="Z188" i="14"/>
  <c r="F102" i="13" s="1"/>
  <c r="B186" i="14"/>
  <c r="B101" i="13" s="1"/>
  <c r="N186" i="14"/>
  <c r="D101" i="13" s="1"/>
  <c r="T186" i="14"/>
  <c r="E101" i="13" s="1"/>
  <c r="Z186" i="14"/>
  <c r="F101" i="13" s="1"/>
  <c r="B185" i="14"/>
  <c r="B100" i="13" s="1"/>
  <c r="N185" i="14"/>
  <c r="D100" i="13" s="1"/>
  <c r="T185" i="14"/>
  <c r="E100" i="13" s="1"/>
  <c r="B181" i="14"/>
  <c r="B99" i="13" s="1"/>
  <c r="N181" i="14"/>
  <c r="D99" i="13" s="1"/>
  <c r="T181" i="14"/>
  <c r="E99" i="13" s="1"/>
  <c r="B179" i="14"/>
  <c r="B98" i="13" s="1"/>
  <c r="N179" i="14"/>
  <c r="D98" i="13" s="1"/>
  <c r="T179" i="14"/>
  <c r="E98" i="13" s="1"/>
  <c r="B177" i="14"/>
  <c r="B97" i="13" s="1"/>
  <c r="N177" i="14"/>
  <c r="D97" i="13" s="1"/>
  <c r="T177" i="14"/>
  <c r="E97" i="13" s="1"/>
  <c r="Z177" i="14"/>
  <c r="F97" i="13" s="1"/>
  <c r="B175" i="14"/>
  <c r="B96" i="13" s="1"/>
  <c r="N175" i="14"/>
  <c r="D96" i="13" s="1"/>
  <c r="T175" i="14"/>
  <c r="E96" i="13" s="1"/>
  <c r="Z175" i="14"/>
  <c r="F96" i="13" s="1"/>
  <c r="B172" i="14"/>
  <c r="B95" i="13" s="1"/>
  <c r="N172" i="14"/>
  <c r="D95" i="13" s="1"/>
  <c r="T172" i="14"/>
  <c r="E95" i="13" s="1"/>
  <c r="Z172" i="14"/>
  <c r="F95" i="13" s="1"/>
  <c r="B167" i="14"/>
  <c r="B94" i="13" s="1"/>
  <c r="N167" i="14"/>
  <c r="D94" i="13" s="1"/>
  <c r="T167" i="14"/>
  <c r="E94" i="13" s="1"/>
  <c r="B160" i="14"/>
  <c r="B93" i="13" s="1"/>
  <c r="N160" i="14"/>
  <c r="D93" i="13" s="1"/>
  <c r="T160" i="14"/>
  <c r="E93" i="13" s="1"/>
  <c r="B159" i="14"/>
  <c r="B92" i="13" s="1"/>
  <c r="N159" i="14"/>
  <c r="D92" i="13" s="1"/>
  <c r="T159" i="14"/>
  <c r="E92" i="13" s="1"/>
  <c r="Z159" i="14"/>
  <c r="F92" i="13" s="1"/>
  <c r="B156" i="14"/>
  <c r="B91" i="13" s="1"/>
  <c r="N156" i="14"/>
  <c r="D91" i="13" s="1"/>
  <c r="T156" i="14"/>
  <c r="E91" i="13" s="1"/>
  <c r="B152" i="14"/>
  <c r="B90" i="13" s="1"/>
  <c r="N152" i="14"/>
  <c r="D90" i="13" s="1"/>
  <c r="T152" i="14"/>
  <c r="E90" i="13" s="1"/>
  <c r="B150" i="14"/>
  <c r="B89" i="13" s="1"/>
  <c r="N150" i="14"/>
  <c r="D89" i="13" s="1"/>
  <c r="T150" i="14"/>
  <c r="E89" i="13" s="1"/>
  <c r="Z150" i="14"/>
  <c r="F89" i="13" s="1"/>
  <c r="B147" i="14"/>
  <c r="B88" i="13" s="1"/>
  <c r="N147" i="14"/>
  <c r="D88" i="13" s="1"/>
  <c r="T147" i="14"/>
  <c r="E88" i="13" s="1"/>
  <c r="B146" i="14"/>
  <c r="B87" i="13" s="1"/>
  <c r="N146" i="14"/>
  <c r="D87" i="13" s="1"/>
  <c r="T146" i="14"/>
  <c r="E87" i="13" s="1"/>
  <c r="Z146" i="14"/>
  <c r="F87" i="13" s="1"/>
  <c r="B145" i="14"/>
  <c r="B86" i="13" s="1"/>
  <c r="N145" i="14"/>
  <c r="D86" i="13" s="1"/>
  <c r="T145" i="14"/>
  <c r="E86" i="13" s="1"/>
  <c r="Z145" i="14"/>
  <c r="F86" i="13"/>
  <c r="B144" i="14"/>
  <c r="B85" i="13" s="1"/>
  <c r="N144" i="14"/>
  <c r="D85" i="13" s="1"/>
  <c r="T144" i="14"/>
  <c r="E85" i="13" s="1"/>
  <c r="Z144" i="14"/>
  <c r="F85" i="13" s="1"/>
  <c r="B141" i="14"/>
  <c r="B84" i="13" s="1"/>
  <c r="N141" i="14"/>
  <c r="D84" i="13" s="1"/>
  <c r="T141" i="14"/>
  <c r="E84" i="13" s="1"/>
  <c r="B139" i="14"/>
  <c r="B83" i="13" s="1"/>
  <c r="N139" i="14"/>
  <c r="D83" i="13" s="1"/>
  <c r="T139" i="14"/>
  <c r="E83" i="13" s="1"/>
  <c r="Z139" i="14"/>
  <c r="F83" i="13" s="1"/>
  <c r="B138" i="14"/>
  <c r="B82" i="13" s="1"/>
  <c r="N138" i="14"/>
  <c r="D82" i="13" s="1"/>
  <c r="T138" i="14"/>
  <c r="E82" i="13" s="1"/>
  <c r="B247" i="14"/>
  <c r="B80" i="13" s="1"/>
  <c r="N247" i="14"/>
  <c r="D80" i="13" s="1"/>
  <c r="T247" i="14"/>
  <c r="E80" i="13" s="1"/>
  <c r="B237" i="14"/>
  <c r="B79" i="13" s="1"/>
  <c r="N237" i="14"/>
  <c r="D79" i="13" s="1"/>
  <c r="T237" i="14"/>
  <c r="E79" i="13" s="1"/>
  <c r="B235" i="14"/>
  <c r="B78" i="13" s="1"/>
  <c r="N235" i="14"/>
  <c r="D78" i="13" s="1"/>
  <c r="T235" i="14"/>
  <c r="E78" i="13" s="1"/>
  <c r="B231" i="14"/>
  <c r="B77" i="13" s="1"/>
  <c r="N231" i="14"/>
  <c r="D77" i="13" s="1"/>
  <c r="T231" i="14"/>
  <c r="E77" i="13" s="1"/>
  <c r="Z231" i="14"/>
  <c r="F77" i="13"/>
  <c r="B226" i="14"/>
  <c r="B76" i="13" s="1"/>
  <c r="N226" i="14"/>
  <c r="D76" i="13" s="1"/>
  <c r="T226" i="14"/>
  <c r="E76" i="13" s="1"/>
  <c r="B220" i="14"/>
  <c r="B75" i="13" s="1"/>
  <c r="N220" i="14"/>
  <c r="D75" i="13" s="1"/>
  <c r="T220" i="14"/>
  <c r="E75" i="13" s="1"/>
  <c r="B205" i="14"/>
  <c r="B74" i="13" s="1"/>
  <c r="N205" i="14"/>
  <c r="D74" i="13" s="1"/>
  <c r="T205" i="14"/>
  <c r="E74" i="13" s="1"/>
  <c r="B199" i="14"/>
  <c r="B73" i="13" s="1"/>
  <c r="N199" i="14"/>
  <c r="D73" i="13" s="1"/>
  <c r="T199" i="14"/>
  <c r="E73" i="13" s="1"/>
  <c r="Z199" i="14"/>
  <c r="F73" i="13" s="1"/>
  <c r="B198" i="14"/>
  <c r="B72" i="13" s="1"/>
  <c r="N198" i="14"/>
  <c r="D72" i="13" s="1"/>
  <c r="T198" i="14"/>
  <c r="E72" i="13" s="1"/>
  <c r="B194" i="14"/>
  <c r="B71" i="13" s="1"/>
  <c r="N194" i="14"/>
  <c r="D71" i="13" s="1"/>
  <c r="T194" i="14"/>
  <c r="E71" i="13" s="1"/>
  <c r="B183" i="14"/>
  <c r="B70" i="13" s="1"/>
  <c r="N183" i="14"/>
  <c r="D70" i="13" s="1"/>
  <c r="T183" i="14"/>
  <c r="E70" i="13" s="1"/>
  <c r="Z183" i="14"/>
  <c r="F70" i="13"/>
  <c r="B157" i="14"/>
  <c r="B69" i="13" s="1"/>
  <c r="N157" i="14"/>
  <c r="D69" i="13" s="1"/>
  <c r="T157" i="14"/>
  <c r="E69" i="13" s="1"/>
  <c r="B154" i="14"/>
  <c r="B68" i="13" s="1"/>
  <c r="N154" i="14"/>
  <c r="D68" i="13" s="1"/>
  <c r="T154" i="14"/>
  <c r="E68" i="13" s="1"/>
  <c r="B246" i="14"/>
  <c r="B66" i="13" s="1"/>
  <c r="N246" i="14"/>
  <c r="D66" i="13" s="1"/>
  <c r="T246" i="14"/>
  <c r="E66" i="13" s="1"/>
  <c r="Z246" i="14"/>
  <c r="F66" i="13"/>
  <c r="B219" i="14"/>
  <c r="B65" i="13" s="1"/>
  <c r="N219" i="14"/>
  <c r="D65" i="13" s="1"/>
  <c r="T219" i="14"/>
  <c r="E65" i="13" s="1"/>
  <c r="Z219" i="14"/>
  <c r="F65" i="13"/>
  <c r="B218" i="14"/>
  <c r="B64" i="13" s="1"/>
  <c r="N218" i="14"/>
  <c r="D64" i="13" s="1"/>
  <c r="T218" i="14"/>
  <c r="E64" i="13" s="1"/>
  <c r="B216" i="14"/>
  <c r="B63" i="13" s="1"/>
  <c r="N216" i="14"/>
  <c r="D63" i="13" s="1"/>
  <c r="T216" i="14"/>
  <c r="E63" i="13" s="1"/>
  <c r="B212" i="14"/>
  <c r="B62" i="13" s="1"/>
  <c r="N212" i="14"/>
  <c r="D62" i="13" s="1"/>
  <c r="T212" i="14"/>
  <c r="E62" i="13" s="1"/>
  <c r="Z212" i="14"/>
  <c r="F62" i="13"/>
  <c r="B182" i="14"/>
  <c r="B61" i="13" s="1"/>
  <c r="N182" i="14"/>
  <c r="D61" i="13" s="1"/>
  <c r="T182" i="14"/>
  <c r="E61" i="13" s="1"/>
  <c r="Z182" i="14"/>
  <c r="F61" i="13"/>
  <c r="B180" i="14"/>
  <c r="B60" i="13" s="1"/>
  <c r="N180" i="14"/>
  <c r="D60" i="13" s="1"/>
  <c r="T180" i="14"/>
  <c r="E60" i="13" s="1"/>
  <c r="B170" i="14"/>
  <c r="B59" i="13" s="1"/>
  <c r="N170" i="14"/>
  <c r="D59" i="13" s="1"/>
  <c r="T170" i="14"/>
  <c r="E59" i="13" s="1"/>
  <c r="Z170" i="14"/>
  <c r="F59" i="13"/>
  <c r="B169" i="14"/>
  <c r="B58" i="13" s="1"/>
  <c r="N169" i="14"/>
  <c r="D58" i="13" s="1"/>
  <c r="T169" i="14"/>
  <c r="E58" i="13" s="1"/>
  <c r="B168" i="14"/>
  <c r="B57" i="13" s="1"/>
  <c r="N168" i="14"/>
  <c r="D57" i="13" s="1"/>
  <c r="T168" i="14"/>
  <c r="E57" i="13" s="1"/>
  <c r="B163" i="14"/>
  <c r="B56" i="13" s="1"/>
  <c r="N163" i="14"/>
  <c r="D56" i="13" s="1"/>
  <c r="T163" i="14"/>
  <c r="E56" i="13" s="1"/>
  <c r="B162" i="14"/>
  <c r="B55" i="13" s="1"/>
  <c r="N162" i="14"/>
  <c r="D55" i="13" s="1"/>
  <c r="T162" i="14"/>
  <c r="E55" i="13" s="1"/>
  <c r="B161" i="14"/>
  <c r="B54" i="13" s="1"/>
  <c r="N161" i="14"/>
  <c r="D54" i="13" s="1"/>
  <c r="T161" i="14"/>
  <c r="E54" i="13" s="1"/>
  <c r="Z161" i="14"/>
  <c r="F54" i="13" s="1"/>
  <c r="B153" i="14"/>
  <c r="B53" i="13" s="1"/>
  <c r="N153" i="14"/>
  <c r="D53" i="13" s="1"/>
  <c r="T153" i="14"/>
  <c r="E53" i="13" s="1"/>
  <c r="Z153" i="14"/>
  <c r="F53" i="13" s="1"/>
  <c r="B151" i="14"/>
  <c r="B52" i="13" s="1"/>
  <c r="N151" i="14"/>
  <c r="D52" i="13" s="1"/>
  <c r="T151" i="14"/>
  <c r="E52" i="13" s="1"/>
  <c r="Z151" i="14"/>
  <c r="F52" i="13" s="1"/>
  <c r="B149" i="14"/>
  <c r="B51" i="13" s="1"/>
  <c r="N149" i="14"/>
  <c r="D51" i="13" s="1"/>
  <c r="T149" i="14"/>
  <c r="E51" i="13" s="1"/>
  <c r="B140" i="14"/>
  <c r="B50" i="13" s="1"/>
  <c r="N140" i="14"/>
  <c r="D50" i="13" s="1"/>
  <c r="T140" i="14"/>
  <c r="E50" i="13" s="1"/>
  <c r="Z140" i="14"/>
  <c r="F50" i="13" s="1"/>
  <c r="B228" i="14"/>
  <c r="B48" i="13" s="1"/>
  <c r="N228" i="14"/>
  <c r="D48" i="13" s="1"/>
  <c r="T228" i="14"/>
  <c r="E48" i="13" s="1"/>
  <c r="B227" i="14"/>
  <c r="B47" i="13" s="1"/>
  <c r="N227" i="14"/>
  <c r="D47" i="13" s="1"/>
  <c r="T227" i="14"/>
  <c r="E47" i="13" s="1"/>
  <c r="B223" i="14"/>
  <c r="B46" i="13" s="1"/>
  <c r="N223" i="14"/>
  <c r="D46" i="13" s="1"/>
  <c r="T223" i="14"/>
  <c r="E46" i="13" s="1"/>
  <c r="B221" i="14"/>
  <c r="B45" i="13" s="1"/>
  <c r="N221" i="14"/>
  <c r="D45" i="13" s="1"/>
  <c r="T221" i="14"/>
  <c r="E45" i="13" s="1"/>
  <c r="B200" i="14"/>
  <c r="B44" i="13" s="1"/>
  <c r="N200" i="14"/>
  <c r="D44" i="13" s="1"/>
  <c r="T200" i="14"/>
  <c r="E44" i="13" s="1"/>
  <c r="Z200" i="14"/>
  <c r="F44" i="13"/>
  <c r="B196" i="14"/>
  <c r="B43" i="13" s="1"/>
  <c r="N196" i="14"/>
  <c r="D43" i="13" s="1"/>
  <c r="T196" i="14"/>
  <c r="E43" i="13" s="1"/>
  <c r="Z196" i="14"/>
  <c r="F43" i="13" s="1"/>
  <c r="B195" i="14"/>
  <c r="B42" i="13" s="1"/>
  <c r="N195" i="14"/>
  <c r="D42" i="13" s="1"/>
  <c r="T195" i="14"/>
  <c r="E42" i="13" s="1"/>
  <c r="B184" i="14"/>
  <c r="B41" i="13" s="1"/>
  <c r="N184" i="14"/>
  <c r="D41" i="13" s="1"/>
  <c r="T184" i="14"/>
  <c r="E41" i="13" s="1"/>
  <c r="Z184" i="14"/>
  <c r="F41" i="13" s="1"/>
  <c r="B171" i="14"/>
  <c r="B40" i="13" s="1"/>
  <c r="N171" i="14"/>
  <c r="D40" i="13" s="1"/>
  <c r="T171" i="14"/>
  <c r="E40" i="13" s="1"/>
  <c r="B165" i="14"/>
  <c r="B39" i="13" s="1"/>
  <c r="N165" i="14"/>
  <c r="D39" i="13" s="1"/>
  <c r="T165" i="14"/>
  <c r="E39" i="13" s="1"/>
  <c r="B164" i="14"/>
  <c r="B38" i="13" s="1"/>
  <c r="N164" i="14"/>
  <c r="D38" i="13" s="1"/>
  <c r="T164" i="14"/>
  <c r="E38" i="13" s="1"/>
  <c r="Z164" i="14"/>
  <c r="F38" i="13" s="1"/>
  <c r="B155" i="14"/>
  <c r="B37" i="13" s="1"/>
  <c r="N155" i="14"/>
  <c r="D37" i="13" s="1"/>
  <c r="T155" i="14"/>
  <c r="E37" i="13" s="1"/>
  <c r="Z155" i="14"/>
  <c r="F37" i="13" s="1"/>
  <c r="B211" i="14"/>
  <c r="B33" i="13" s="1"/>
  <c r="N211" i="14"/>
  <c r="D33" i="13" s="1"/>
  <c r="T211" i="14"/>
  <c r="E33" i="13" s="1"/>
  <c r="B142" i="14"/>
  <c r="B32" i="13" s="1"/>
  <c r="N142" i="14"/>
  <c r="D32" i="13" s="1"/>
  <c r="T142" i="14"/>
  <c r="E32" i="13" s="1"/>
  <c r="B178" i="14"/>
  <c r="B29" i="13" s="1"/>
  <c r="N178" i="14"/>
  <c r="D29" i="13" s="1"/>
  <c r="T178" i="14"/>
  <c r="E29" i="13" s="1"/>
  <c r="Z178" i="14"/>
  <c r="F29" i="13"/>
  <c r="B187" i="14"/>
  <c r="B28" i="13" s="1"/>
  <c r="N187" i="14"/>
  <c r="D28" i="13" s="1"/>
  <c r="T187" i="14"/>
  <c r="E28" i="13" s="1"/>
  <c r="B233" i="14"/>
  <c r="B26" i="13" s="1"/>
  <c r="N233" i="14"/>
  <c r="D26" i="13" s="1"/>
  <c r="T233" i="14"/>
  <c r="E26" i="13" s="1"/>
  <c r="Z233" i="14"/>
  <c r="F26" i="13"/>
  <c r="B215" i="14"/>
  <c r="B25" i="13" s="1"/>
  <c r="N215" i="14"/>
  <c r="D25" i="13" s="1"/>
  <c r="T215" i="14"/>
  <c r="E25" i="13" s="1"/>
  <c r="Z215" i="14"/>
  <c r="F25" i="13" s="1"/>
  <c r="B173" i="14"/>
  <c r="B24" i="13" s="1"/>
  <c r="N173" i="14"/>
  <c r="D24" i="13" s="1"/>
  <c r="T173" i="14"/>
  <c r="E24" i="13" s="1"/>
  <c r="B166" i="14"/>
  <c r="B23" i="13" s="1"/>
  <c r="N166" i="14"/>
  <c r="D23" i="13" s="1"/>
  <c r="T166" i="14"/>
  <c r="E23" i="13" s="1"/>
  <c r="B230" i="14"/>
  <c r="B21" i="13" s="1"/>
  <c r="N230" i="14"/>
  <c r="D21" i="13" s="1"/>
  <c r="T230" i="14"/>
  <c r="E21" i="13" s="1"/>
  <c r="B222" i="14"/>
  <c r="B20" i="13" s="1"/>
  <c r="N222" i="14"/>
  <c r="D20" i="13" s="1"/>
  <c r="T222" i="14"/>
  <c r="E20" i="13" s="1"/>
  <c r="Z222" i="14"/>
  <c r="F20" i="13" s="1"/>
  <c r="B189" i="14"/>
  <c r="B19" i="13" s="1"/>
  <c r="N189" i="14"/>
  <c r="D19" i="13" s="1"/>
  <c r="T189" i="14"/>
  <c r="E19" i="13" s="1"/>
  <c r="Z189" i="14"/>
  <c r="F19" i="13" s="1"/>
  <c r="B234" i="14"/>
  <c r="B17" i="13" s="1"/>
  <c r="N234" i="14"/>
  <c r="D17" i="13" s="1"/>
  <c r="T234" i="14"/>
  <c r="E17" i="13" s="1"/>
  <c r="Z234" i="14"/>
  <c r="F17" i="13"/>
  <c r="B143" i="14"/>
  <c r="B16" i="13" s="1"/>
  <c r="N143" i="14"/>
  <c r="D16" i="13" s="1"/>
  <c r="T143" i="14"/>
  <c r="E16" i="13" s="1"/>
  <c r="B176" i="14"/>
  <c r="B15" i="13" s="1"/>
  <c r="N176" i="14"/>
  <c r="D15" i="13" s="1"/>
  <c r="T176" i="14"/>
  <c r="E15" i="13" s="1"/>
  <c r="B210" i="14"/>
  <c r="B13" i="13" s="1"/>
  <c r="N210" i="14"/>
  <c r="D13" i="13" s="1"/>
  <c r="T210" i="14"/>
  <c r="E13" i="13" s="1"/>
  <c r="B197" i="14"/>
  <c r="B12" i="13" s="1"/>
  <c r="N197" i="14"/>
  <c r="D12" i="13" s="1"/>
  <c r="T197" i="14"/>
  <c r="E12" i="13" s="1"/>
  <c r="B148" i="14"/>
  <c r="B11" i="13" s="1"/>
  <c r="N148" i="14"/>
  <c r="D11" i="13" s="1"/>
  <c r="T148" i="14"/>
  <c r="E11" i="13" s="1"/>
  <c r="Z148" i="14"/>
  <c r="F11" i="13" s="1"/>
  <c r="B174" i="14"/>
  <c r="B10" i="13" s="1"/>
  <c r="N174" i="14"/>
  <c r="D10" i="13" s="1"/>
  <c r="T174" i="14"/>
  <c r="E10" i="13" s="1"/>
  <c r="Z174" i="14"/>
  <c r="F10" i="13" s="1"/>
  <c r="B202" i="14"/>
  <c r="B7" i="13" s="1"/>
  <c r="N202" i="14"/>
  <c r="D7" i="13" s="1"/>
  <c r="T202" i="14"/>
  <c r="E7" i="13" s="1"/>
  <c r="Z202" i="14"/>
  <c r="F7" i="13" s="1"/>
  <c r="B158" i="14"/>
  <c r="B6" i="13" s="1"/>
  <c r="N158" i="14"/>
  <c r="D6" i="13" s="1"/>
  <c r="T158" i="14"/>
  <c r="E6" i="13" s="1"/>
  <c r="B244" i="14"/>
  <c r="B5" i="13" s="1"/>
  <c r="N244" i="14"/>
  <c r="D5" i="13" s="1"/>
  <c r="T244" i="14"/>
  <c r="E5" i="13" s="1"/>
  <c r="N127" i="13"/>
  <c r="L127" i="13"/>
  <c r="L127" i="10"/>
  <c r="Z245" i="14"/>
  <c r="F123" i="13" s="1"/>
  <c r="Z242" i="14"/>
  <c r="F122" i="13" s="1"/>
  <c r="Z241" i="14"/>
  <c r="F121" i="13"/>
  <c r="Z238" i="14"/>
  <c r="F119" i="13" s="1"/>
  <c r="Z229" i="14"/>
  <c r="F116" i="13" s="1"/>
  <c r="Z225" i="14"/>
  <c r="F115" i="13" s="1"/>
  <c r="Z217" i="14"/>
  <c r="F114" i="13" s="1"/>
  <c r="Z214" i="14"/>
  <c r="F113" i="13" s="1"/>
  <c r="Z193" i="14"/>
  <c r="F105" i="13" s="1"/>
  <c r="Z185" i="14"/>
  <c r="F100" i="13" s="1"/>
  <c r="Z181" i="14"/>
  <c r="F99" i="13" s="1"/>
  <c r="Z179" i="14"/>
  <c r="F98" i="13" s="1"/>
  <c r="Z167" i="14"/>
  <c r="F94" i="13"/>
  <c r="Z160" i="14"/>
  <c r="F93" i="13" s="1"/>
  <c r="Z156" i="14"/>
  <c r="F91" i="13" s="1"/>
  <c r="Z152" i="14"/>
  <c r="F90" i="13" s="1"/>
  <c r="Z147" i="14"/>
  <c r="F88" i="13" s="1"/>
  <c r="Z141" i="14"/>
  <c r="F84" i="13" s="1"/>
  <c r="Z138" i="14"/>
  <c r="F82" i="13"/>
  <c r="Z247" i="14"/>
  <c r="F80" i="13" s="1"/>
  <c r="Z237" i="14"/>
  <c r="F79" i="13" s="1"/>
  <c r="Z235" i="14"/>
  <c r="F78" i="13" s="1"/>
  <c r="Z226" i="14"/>
  <c r="F76" i="13"/>
  <c r="Z220" i="14"/>
  <c r="F75" i="13" s="1"/>
  <c r="Z205" i="14"/>
  <c r="F74" i="13" s="1"/>
  <c r="Z198" i="14"/>
  <c r="F72" i="13" s="1"/>
  <c r="Z194" i="14"/>
  <c r="F71" i="13" s="1"/>
  <c r="Z157" i="14"/>
  <c r="F69" i="13" s="1"/>
  <c r="Z154" i="14"/>
  <c r="F68" i="13" s="1"/>
  <c r="Z218" i="14"/>
  <c r="F64" i="13" s="1"/>
  <c r="Z216" i="14"/>
  <c r="F63" i="13" s="1"/>
  <c r="Z180" i="14"/>
  <c r="F60" i="13" s="1"/>
  <c r="Z169" i="14"/>
  <c r="F58" i="13" s="1"/>
  <c r="Z168" i="14"/>
  <c r="F57" i="13" s="1"/>
  <c r="Z163" i="14"/>
  <c r="F56" i="13" s="1"/>
  <c r="Z162" i="14"/>
  <c r="F55" i="13" s="1"/>
  <c r="Z149" i="14"/>
  <c r="F51" i="13" s="1"/>
  <c r="Z228" i="14"/>
  <c r="F48" i="13" s="1"/>
  <c r="Z227" i="14"/>
  <c r="F47" i="13"/>
  <c r="Z223" i="14"/>
  <c r="F46" i="13" s="1"/>
  <c r="Z221" i="14"/>
  <c r="F45" i="13" s="1"/>
  <c r="Z195" i="14"/>
  <c r="F42" i="13" s="1"/>
  <c r="Z171" i="14"/>
  <c r="F40" i="13" s="1"/>
  <c r="Z165" i="14"/>
  <c r="F39" i="13" s="1"/>
  <c r="Z211" i="14"/>
  <c r="F33" i="13" s="1"/>
  <c r="Z142" i="14"/>
  <c r="F32" i="13" s="1"/>
  <c r="Z187" i="14"/>
  <c r="F28" i="13"/>
  <c r="Z173" i="14"/>
  <c r="F24" i="13" s="1"/>
  <c r="Z166" i="14"/>
  <c r="F23" i="13" s="1"/>
  <c r="Z230" i="14"/>
  <c r="F21" i="13" s="1"/>
  <c r="Z143" i="14"/>
  <c r="F16" i="13" s="1"/>
  <c r="Z176" i="14"/>
  <c r="F15" i="13" s="1"/>
  <c r="Z210" i="14"/>
  <c r="F13" i="13"/>
  <c r="Z197" i="14"/>
  <c r="F12" i="13" s="1"/>
  <c r="Z158" i="14"/>
  <c r="F6" i="13"/>
  <c r="Z244" i="14"/>
  <c r="F5" i="13" s="1"/>
  <c r="M125" i="11"/>
  <c r="M124" i="11"/>
  <c r="M123" i="11"/>
  <c r="M122" i="11"/>
  <c r="M121" i="11"/>
  <c r="M120" i="11"/>
  <c r="M119" i="11"/>
  <c r="M118" i="11"/>
  <c r="M117" i="11"/>
  <c r="M116" i="11"/>
  <c r="M115" i="11"/>
  <c r="M114" i="11"/>
  <c r="M113" i="11"/>
  <c r="M112" i="11"/>
  <c r="M111" i="11"/>
  <c r="M110" i="11"/>
  <c r="M109" i="11"/>
  <c r="M108" i="11"/>
  <c r="M107" i="11"/>
  <c r="M106" i="11"/>
  <c r="M105" i="11"/>
  <c r="M104" i="11"/>
  <c r="M103" i="11"/>
  <c r="M102" i="11"/>
  <c r="M101" i="11"/>
  <c r="M100" i="11"/>
  <c r="M99" i="11"/>
  <c r="M98" i="11"/>
  <c r="M97" i="11"/>
  <c r="M96" i="11"/>
  <c r="M95" i="11"/>
  <c r="M94" i="11"/>
  <c r="M93" i="11"/>
  <c r="M92" i="11"/>
  <c r="M91" i="11"/>
  <c r="M90" i="11"/>
  <c r="M89" i="11"/>
  <c r="M88" i="11"/>
  <c r="M87" i="11"/>
  <c r="M86" i="11"/>
  <c r="M85" i="11"/>
  <c r="M84" i="11"/>
  <c r="M83" i="11"/>
  <c r="M82" i="11"/>
  <c r="M80" i="11"/>
  <c r="M79" i="11"/>
  <c r="M78" i="11"/>
  <c r="M77" i="11"/>
  <c r="M76" i="11"/>
  <c r="M75" i="11"/>
  <c r="M74" i="11"/>
  <c r="M73" i="11"/>
  <c r="M72" i="11"/>
  <c r="M71" i="11"/>
  <c r="M70" i="11"/>
  <c r="M69" i="11"/>
  <c r="M68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3" i="11"/>
  <c r="M32" i="11"/>
  <c r="M29" i="11"/>
  <c r="M28" i="11"/>
  <c r="M26" i="11"/>
  <c r="M25" i="11"/>
  <c r="M24" i="11"/>
  <c r="M23" i="11"/>
  <c r="M21" i="11"/>
  <c r="M20" i="11"/>
  <c r="M19" i="11"/>
  <c r="M17" i="11"/>
  <c r="M16" i="11"/>
  <c r="M15" i="11"/>
  <c r="M13" i="11"/>
  <c r="M12" i="11"/>
  <c r="M11" i="11"/>
  <c r="M10" i="11"/>
  <c r="M7" i="11"/>
  <c r="M6" i="11"/>
  <c r="M5" i="11"/>
  <c r="Z114" i="2"/>
  <c r="Z176" i="2" s="1"/>
  <c r="Z141" i="2"/>
  <c r="Z142" i="2"/>
  <c r="Z143" i="2"/>
  <c r="Z145" i="2"/>
  <c r="Z148" i="2"/>
  <c r="Z150" i="2"/>
  <c r="Z151" i="2"/>
  <c r="Z152" i="2"/>
  <c r="Z153" i="2"/>
  <c r="Z155" i="2"/>
  <c r="Z156" i="2"/>
  <c r="Z157" i="2"/>
  <c r="Z160" i="2"/>
  <c r="Z162" i="2"/>
  <c r="Z163" i="2"/>
  <c r="Z164" i="2"/>
  <c r="Z165" i="2"/>
  <c r="Z167" i="2"/>
  <c r="Z171" i="2"/>
  <c r="Z172" i="2"/>
  <c r="Z173" i="2"/>
  <c r="Z174" i="2"/>
  <c r="Z175" i="2"/>
  <c r="AB114" i="2"/>
  <c r="Z243" i="14"/>
  <c r="Z239" i="14"/>
  <c r="Z224" i="14"/>
  <c r="Z206" i="14"/>
  <c r="Z190" i="14"/>
  <c r="T243" i="14"/>
  <c r="T239" i="14"/>
  <c r="T224" i="14"/>
  <c r="T206" i="14"/>
  <c r="T190" i="14"/>
  <c r="N243" i="14"/>
  <c r="N239" i="14"/>
  <c r="N224" i="14"/>
  <c r="N206" i="14"/>
  <c r="N190" i="14"/>
  <c r="H243" i="14"/>
  <c r="H239" i="14"/>
  <c r="H224" i="14"/>
  <c r="H206" i="14"/>
  <c r="H190" i="14"/>
  <c r="B190" i="14"/>
  <c r="B206" i="14"/>
  <c r="B224" i="14"/>
  <c r="B239" i="14"/>
  <c r="B243" i="14"/>
  <c r="Z243" i="12"/>
  <c r="Z239" i="12"/>
  <c r="Z224" i="12"/>
  <c r="Z206" i="12"/>
  <c r="Z190" i="12"/>
  <c r="T243" i="12"/>
  <c r="T239" i="12"/>
  <c r="T224" i="12"/>
  <c r="T206" i="12"/>
  <c r="T190" i="12"/>
  <c r="N243" i="12"/>
  <c r="N239" i="12"/>
  <c r="N224" i="12"/>
  <c r="N206" i="12"/>
  <c r="N190" i="12"/>
  <c r="H243" i="12"/>
  <c r="H239" i="12"/>
  <c r="H224" i="12"/>
  <c r="H206" i="12"/>
  <c r="H190" i="12"/>
  <c r="B243" i="12"/>
  <c r="B239" i="12"/>
  <c r="B224" i="12"/>
  <c r="B206" i="12"/>
  <c r="B190" i="12"/>
  <c r="Z304" i="2"/>
  <c r="Z300" i="2"/>
  <c r="Z285" i="2"/>
  <c r="Z267" i="2"/>
  <c r="Z251" i="2"/>
  <c r="T304" i="2"/>
  <c r="T300" i="2"/>
  <c r="T285" i="2"/>
  <c r="T267" i="2"/>
  <c r="T251" i="2"/>
  <c r="N304" i="2"/>
  <c r="N300" i="2"/>
  <c r="N285" i="2"/>
  <c r="N267" i="2"/>
  <c r="N251" i="2"/>
  <c r="H304" i="2"/>
  <c r="H300" i="2"/>
  <c r="H285" i="2"/>
  <c r="H267" i="2"/>
  <c r="H251" i="2"/>
  <c r="B304" i="2"/>
  <c r="B300" i="2"/>
  <c r="B285" i="2"/>
  <c r="B267" i="2"/>
  <c r="B251" i="2"/>
  <c r="AB133" i="14"/>
  <c r="AA133" i="14"/>
  <c r="AB132" i="14"/>
  <c r="AA132" i="14"/>
  <c r="AB131" i="14"/>
  <c r="AA131" i="14"/>
  <c r="V133" i="14"/>
  <c r="U133" i="14"/>
  <c r="V132" i="14"/>
  <c r="U132" i="14"/>
  <c r="V131" i="14"/>
  <c r="U131" i="14"/>
  <c r="P133" i="14"/>
  <c r="O133" i="14"/>
  <c r="P132" i="14"/>
  <c r="O132" i="14"/>
  <c r="P131" i="14"/>
  <c r="O131" i="14"/>
  <c r="J133" i="14"/>
  <c r="I133" i="14"/>
  <c r="J132" i="14"/>
  <c r="I132" i="14"/>
  <c r="J131" i="14"/>
  <c r="I131" i="14"/>
  <c r="D133" i="14"/>
  <c r="C133" i="14"/>
  <c r="D132" i="14"/>
  <c r="C132" i="14"/>
  <c r="D131" i="14"/>
  <c r="C131" i="14"/>
  <c r="AB133" i="12"/>
  <c r="AA133" i="12"/>
  <c r="AB132" i="12"/>
  <c r="AA132" i="12"/>
  <c r="AB131" i="12"/>
  <c r="AA131" i="12"/>
  <c r="V133" i="12"/>
  <c r="U133" i="12"/>
  <c r="V132" i="12"/>
  <c r="U132" i="12"/>
  <c r="V131" i="12"/>
  <c r="U131" i="12"/>
  <c r="P133" i="12"/>
  <c r="O133" i="12"/>
  <c r="P132" i="12"/>
  <c r="O132" i="12"/>
  <c r="P131" i="12"/>
  <c r="O131" i="12"/>
  <c r="J133" i="12"/>
  <c r="I133" i="12"/>
  <c r="J132" i="12"/>
  <c r="I132" i="12"/>
  <c r="J131" i="12"/>
  <c r="I131" i="12"/>
  <c r="D133" i="12"/>
  <c r="C133" i="12"/>
  <c r="D132" i="12"/>
  <c r="C132" i="12"/>
  <c r="D131" i="12"/>
  <c r="C131" i="12"/>
  <c r="AB133" i="2"/>
  <c r="AA133" i="2"/>
  <c r="AB132" i="2"/>
  <c r="AA132" i="2"/>
  <c r="AA131" i="2"/>
  <c r="V133" i="2"/>
  <c r="U133" i="2"/>
  <c r="V132" i="2"/>
  <c r="U132" i="2"/>
  <c r="U131" i="2"/>
  <c r="P133" i="2"/>
  <c r="O133" i="2"/>
  <c r="P132" i="2"/>
  <c r="O132" i="2"/>
  <c r="O131" i="2"/>
  <c r="J133" i="2"/>
  <c r="I133" i="2"/>
  <c r="J132" i="2"/>
  <c r="I132" i="2"/>
  <c r="I131" i="2"/>
  <c r="D133" i="2"/>
  <c r="C133" i="2"/>
  <c r="D132" i="2"/>
  <c r="C132" i="2"/>
  <c r="C131" i="2"/>
  <c r="S4" i="1"/>
  <c r="S8" i="1"/>
  <c r="S9" i="1"/>
  <c r="S14" i="1"/>
  <c r="S18" i="1"/>
  <c r="S22" i="1"/>
  <c r="S27" i="1"/>
  <c r="S30" i="1"/>
  <c r="S31" i="1"/>
  <c r="S36" i="1"/>
  <c r="S49" i="1"/>
  <c r="S67" i="1"/>
  <c r="S81" i="1"/>
  <c r="S127" i="1"/>
  <c r="N11" i="16"/>
  <c r="N16" i="16" s="1"/>
  <c r="O11" i="16"/>
  <c r="S11" i="16"/>
  <c r="R11" i="16"/>
  <c r="R18" i="16" s="1"/>
  <c r="G11" i="16"/>
  <c r="R17" i="16"/>
  <c r="T114" i="2"/>
  <c r="T176" i="2" s="1"/>
  <c r="V114" i="2"/>
  <c r="R66" i="15"/>
  <c r="R62" i="15"/>
  <c r="R59" i="15"/>
  <c r="R58" i="15"/>
  <c r="R50" i="15"/>
  <c r="R42" i="15"/>
  <c r="N66" i="15"/>
  <c r="N62" i="15"/>
  <c r="N59" i="15"/>
  <c r="N58" i="15"/>
  <c r="N50" i="15"/>
  <c r="N42" i="15"/>
  <c r="J66" i="15"/>
  <c r="J62" i="15"/>
  <c r="J59" i="15"/>
  <c r="J58" i="15"/>
  <c r="J50" i="15"/>
  <c r="J42" i="15"/>
  <c r="F66" i="15"/>
  <c r="F62" i="15"/>
  <c r="F59" i="15"/>
  <c r="F58" i="15"/>
  <c r="F50" i="15"/>
  <c r="F42" i="15"/>
  <c r="B66" i="15"/>
  <c r="B62" i="15"/>
  <c r="B59" i="15"/>
  <c r="B58" i="15"/>
  <c r="B50" i="15"/>
  <c r="B42" i="15"/>
  <c r="J34" i="15"/>
  <c r="C3" i="18"/>
  <c r="G3" i="18"/>
  <c r="K3" i="18"/>
  <c r="O3" i="18"/>
  <c r="S3" i="18"/>
  <c r="C7" i="18"/>
  <c r="F7" i="18"/>
  <c r="G7" i="18"/>
  <c r="J7" i="18"/>
  <c r="K7" i="18"/>
  <c r="N7" i="18"/>
  <c r="O7" i="18"/>
  <c r="R7" i="18"/>
  <c r="S7" i="18"/>
  <c r="B11" i="16"/>
  <c r="B16" i="16" s="1"/>
  <c r="D23" i="17" s="1"/>
  <c r="C11" i="16"/>
  <c r="F11" i="16"/>
  <c r="F16" i="16" s="1"/>
  <c r="E23" i="17" s="1"/>
  <c r="C15" i="16"/>
  <c r="G15" i="16"/>
  <c r="K15" i="16"/>
  <c r="O15" i="16"/>
  <c r="S15" i="16"/>
  <c r="B34" i="15"/>
  <c r="C34" i="15"/>
  <c r="F34" i="15"/>
  <c r="G34" i="15"/>
  <c r="R34" i="15"/>
  <c r="S34" i="15"/>
  <c r="C4" i="9"/>
  <c r="G4" i="9"/>
  <c r="B8" i="9"/>
  <c r="C8" i="9"/>
  <c r="F8" i="9"/>
  <c r="G8" i="9"/>
  <c r="K8" i="9"/>
  <c r="N8" i="9"/>
  <c r="O8" i="9"/>
  <c r="R8" i="9"/>
  <c r="S8" i="9"/>
  <c r="B28" i="7"/>
  <c r="C28" i="7"/>
  <c r="F28" i="7"/>
  <c r="G28" i="7"/>
  <c r="J28" i="7"/>
  <c r="K28" i="7"/>
  <c r="N28" i="7"/>
  <c r="O28" i="7"/>
  <c r="R28" i="7"/>
  <c r="S28" i="7"/>
  <c r="B29" i="7"/>
  <c r="F29" i="7"/>
  <c r="J29" i="7"/>
  <c r="N29" i="7"/>
  <c r="R29" i="7"/>
  <c r="B30" i="7"/>
  <c r="F30" i="7"/>
  <c r="J30" i="7"/>
  <c r="N30" i="7"/>
  <c r="R30" i="7"/>
  <c r="B31" i="7"/>
  <c r="F31" i="7"/>
  <c r="J31" i="7"/>
  <c r="N31" i="7"/>
  <c r="R31" i="7"/>
  <c r="B32" i="7"/>
  <c r="F32" i="7"/>
  <c r="J32" i="7"/>
  <c r="N32" i="7"/>
  <c r="R32" i="7"/>
  <c r="F33" i="7"/>
  <c r="J33" i="7"/>
  <c r="N33" i="7"/>
  <c r="R33" i="7"/>
  <c r="B34" i="7"/>
  <c r="F34" i="7"/>
  <c r="J34" i="7"/>
  <c r="N34" i="7"/>
  <c r="R34" i="7"/>
  <c r="B35" i="7"/>
  <c r="F35" i="7"/>
  <c r="J35" i="7"/>
  <c r="N35" i="7"/>
  <c r="R35" i="7"/>
  <c r="B36" i="7"/>
  <c r="F36" i="7"/>
  <c r="J36" i="7"/>
  <c r="N36" i="7"/>
  <c r="R36" i="7"/>
  <c r="B37" i="7"/>
  <c r="F37" i="7"/>
  <c r="J37" i="7"/>
  <c r="N37" i="7"/>
  <c r="R37" i="7"/>
  <c r="B38" i="7"/>
  <c r="F38" i="7"/>
  <c r="J38" i="7"/>
  <c r="N38" i="7"/>
  <c r="R38" i="7"/>
  <c r="B39" i="7"/>
  <c r="F39" i="7"/>
  <c r="J39" i="7"/>
  <c r="N39" i="7"/>
  <c r="R39" i="7"/>
  <c r="B40" i="7"/>
  <c r="F40" i="7"/>
  <c r="J40" i="7"/>
  <c r="N40" i="7"/>
  <c r="R40" i="7"/>
  <c r="B41" i="7"/>
  <c r="F41" i="7"/>
  <c r="J41" i="7"/>
  <c r="N41" i="7"/>
  <c r="R41" i="7"/>
  <c r="B42" i="7"/>
  <c r="F42" i="7"/>
  <c r="J42" i="7"/>
  <c r="N42" i="7"/>
  <c r="R42" i="7"/>
  <c r="B43" i="7"/>
  <c r="F43" i="7"/>
  <c r="J43" i="7"/>
  <c r="N43" i="7"/>
  <c r="R43" i="7"/>
  <c r="B44" i="7"/>
  <c r="F44" i="7"/>
  <c r="J44" i="7"/>
  <c r="N44" i="7"/>
  <c r="R44" i="7"/>
  <c r="B45" i="7"/>
  <c r="F45" i="7"/>
  <c r="J45" i="7"/>
  <c r="N45" i="7"/>
  <c r="R45" i="7"/>
  <c r="E3" i="14"/>
  <c r="K3" i="14"/>
  <c r="Q3" i="14"/>
  <c r="W3" i="14"/>
  <c r="AC3" i="14"/>
  <c r="E4" i="14"/>
  <c r="K4" i="14"/>
  <c r="Q4" i="14"/>
  <c r="W4" i="14"/>
  <c r="AC4" i="14"/>
  <c r="E5" i="14"/>
  <c r="K5" i="14"/>
  <c r="Q5" i="14"/>
  <c r="W5" i="14"/>
  <c r="AC5" i="14"/>
  <c r="E9" i="14"/>
  <c r="K9" i="14"/>
  <c r="Q9" i="14"/>
  <c r="W9" i="14"/>
  <c r="AC9" i="14"/>
  <c r="E11" i="14"/>
  <c r="K11" i="14"/>
  <c r="Q11" i="14"/>
  <c r="W11" i="14"/>
  <c r="AC11" i="14"/>
  <c r="E15" i="14"/>
  <c r="K15" i="14"/>
  <c r="Q15" i="14"/>
  <c r="W15" i="14"/>
  <c r="AC15" i="14"/>
  <c r="E16" i="14"/>
  <c r="K16" i="14"/>
  <c r="Q16" i="14"/>
  <c r="W16" i="14"/>
  <c r="AC16" i="14"/>
  <c r="E17" i="14"/>
  <c r="K17" i="14"/>
  <c r="Q17" i="14"/>
  <c r="W17" i="14"/>
  <c r="AC17" i="14"/>
  <c r="E21" i="14"/>
  <c r="K21" i="14"/>
  <c r="Q21" i="14"/>
  <c r="W21" i="14"/>
  <c r="AC21" i="14"/>
  <c r="E22" i="14"/>
  <c r="K22" i="14"/>
  <c r="Q22" i="14"/>
  <c r="W22" i="14"/>
  <c r="AC22" i="14"/>
  <c r="E23" i="14"/>
  <c r="K23" i="14"/>
  <c r="Q23" i="14"/>
  <c r="W23" i="14"/>
  <c r="AC23" i="14"/>
  <c r="E24" i="14"/>
  <c r="K24" i="14"/>
  <c r="Q24" i="14"/>
  <c r="W24" i="14"/>
  <c r="AC24" i="14"/>
  <c r="E25" i="14"/>
  <c r="K25" i="14"/>
  <c r="Q25" i="14"/>
  <c r="W25" i="14"/>
  <c r="AC25" i="14"/>
  <c r="E29" i="14"/>
  <c r="K29" i="14"/>
  <c r="Q29" i="14"/>
  <c r="W29" i="14"/>
  <c r="AC29" i="14"/>
  <c r="E30" i="14"/>
  <c r="K30" i="14"/>
  <c r="Q30" i="14"/>
  <c r="W30" i="14"/>
  <c r="AC30" i="14"/>
  <c r="E31" i="14"/>
  <c r="K31" i="14"/>
  <c r="Q31" i="14"/>
  <c r="W31" i="14"/>
  <c r="AC31" i="14"/>
  <c r="E32" i="14"/>
  <c r="K32" i="14"/>
  <c r="Q32" i="14"/>
  <c r="W32" i="14"/>
  <c r="AC32" i="14"/>
  <c r="E34" i="14"/>
  <c r="K34" i="14"/>
  <c r="Q34" i="14"/>
  <c r="W34" i="14"/>
  <c r="AC34" i="14"/>
  <c r="E35" i="14"/>
  <c r="K35" i="14"/>
  <c r="Q35" i="14"/>
  <c r="W35" i="14"/>
  <c r="AC35" i="14"/>
  <c r="E36" i="14"/>
  <c r="K36" i="14"/>
  <c r="Q36" i="14"/>
  <c r="W36" i="14"/>
  <c r="AC36" i="14"/>
  <c r="E39" i="14"/>
  <c r="K39" i="14"/>
  <c r="Q39" i="14"/>
  <c r="W39" i="14"/>
  <c r="AC39" i="14"/>
  <c r="E40" i="14"/>
  <c r="K40" i="14"/>
  <c r="Q40" i="14"/>
  <c r="W40" i="14"/>
  <c r="AC40" i="14"/>
  <c r="E41" i="14"/>
  <c r="K41" i="14"/>
  <c r="Q41" i="14"/>
  <c r="W41" i="14"/>
  <c r="AC41" i="14"/>
  <c r="E42" i="14"/>
  <c r="K42" i="14"/>
  <c r="Q42" i="14"/>
  <c r="W42" i="14"/>
  <c r="AC42" i="14"/>
  <c r="E44" i="14"/>
  <c r="K44" i="14"/>
  <c r="Q44" i="14"/>
  <c r="W44" i="14"/>
  <c r="AC44" i="14"/>
  <c r="E49" i="14"/>
  <c r="K49" i="14"/>
  <c r="Q49" i="14"/>
  <c r="W49" i="14"/>
  <c r="AC49" i="14"/>
  <c r="E50" i="14"/>
  <c r="K50" i="14"/>
  <c r="Q50" i="14"/>
  <c r="W50" i="14"/>
  <c r="AC50" i="14"/>
  <c r="E51" i="14"/>
  <c r="K51" i="14"/>
  <c r="Q51" i="14"/>
  <c r="W51" i="14"/>
  <c r="AC51" i="14"/>
  <c r="E53" i="14"/>
  <c r="K53" i="14"/>
  <c r="Q53" i="14"/>
  <c r="W53" i="14"/>
  <c r="AC53" i="14"/>
  <c r="E54" i="14"/>
  <c r="K54" i="14"/>
  <c r="Q54" i="14"/>
  <c r="W54" i="14"/>
  <c r="AC54" i="14"/>
  <c r="E55" i="14"/>
  <c r="K55" i="14"/>
  <c r="Q55" i="14"/>
  <c r="W55" i="14"/>
  <c r="AC55" i="14"/>
  <c r="E57" i="14"/>
  <c r="K57" i="14"/>
  <c r="Q57" i="14"/>
  <c r="W57" i="14"/>
  <c r="AC57" i="14"/>
  <c r="E58" i="14"/>
  <c r="K58" i="14"/>
  <c r="Q58" i="14"/>
  <c r="W58" i="14"/>
  <c r="AC58" i="14"/>
  <c r="E61" i="14"/>
  <c r="K61" i="14"/>
  <c r="Q61" i="14"/>
  <c r="W61" i="14"/>
  <c r="AC61" i="14"/>
  <c r="E62" i="14"/>
  <c r="K62" i="14"/>
  <c r="Q62" i="14"/>
  <c r="W62" i="14"/>
  <c r="AC62" i="14"/>
  <c r="B114" i="14"/>
  <c r="C114" i="14"/>
  <c r="E114" i="14"/>
  <c r="D114" i="14"/>
  <c r="H114" i="14"/>
  <c r="I114" i="14"/>
  <c r="K114" i="14"/>
  <c r="J114" i="14"/>
  <c r="N114" i="14"/>
  <c r="O114" i="14"/>
  <c r="Q114" i="14"/>
  <c r="P114" i="14"/>
  <c r="T114" i="14"/>
  <c r="W114" i="14" s="1"/>
  <c r="U114" i="14"/>
  <c r="V114" i="14"/>
  <c r="Z114" i="14"/>
  <c r="AA114" i="14"/>
  <c r="AC114" i="14"/>
  <c r="AB114" i="14"/>
  <c r="C116" i="14"/>
  <c r="D116" i="14"/>
  <c r="I116" i="14"/>
  <c r="K116" i="14"/>
  <c r="J116" i="14"/>
  <c r="O116" i="14"/>
  <c r="Q116" i="14"/>
  <c r="P116" i="14"/>
  <c r="U116" i="14"/>
  <c r="V116" i="14"/>
  <c r="AA116" i="14"/>
  <c r="AC116" i="14"/>
  <c r="AB116" i="14"/>
  <c r="E117" i="14"/>
  <c r="K117" i="14"/>
  <c r="Q117" i="14"/>
  <c r="W117" i="14"/>
  <c r="AC117" i="14"/>
  <c r="C118" i="14"/>
  <c r="E118" i="14"/>
  <c r="D118" i="14"/>
  <c r="I118" i="14"/>
  <c r="K118" i="14"/>
  <c r="J118" i="14"/>
  <c r="O118" i="14"/>
  <c r="Q118" i="14"/>
  <c r="P118" i="14"/>
  <c r="U118" i="14"/>
  <c r="V118" i="14"/>
  <c r="AA118" i="14"/>
  <c r="AC118" i="14"/>
  <c r="AB118" i="14"/>
  <c r="C119" i="14"/>
  <c r="E119" i="14"/>
  <c r="D119" i="14"/>
  <c r="I119" i="14"/>
  <c r="J119" i="14"/>
  <c r="O119" i="14"/>
  <c r="Q119" i="14"/>
  <c r="P119" i="14"/>
  <c r="U119" i="14"/>
  <c r="W119" i="14"/>
  <c r="V119" i="14"/>
  <c r="AA119" i="14"/>
  <c r="AC119" i="14"/>
  <c r="AB119" i="14"/>
  <c r="C120" i="14"/>
  <c r="E120" i="14"/>
  <c r="D120" i="14"/>
  <c r="I120" i="14"/>
  <c r="K120" i="14"/>
  <c r="J120" i="14"/>
  <c r="O120" i="14"/>
  <c r="Q120" i="14"/>
  <c r="P120" i="14"/>
  <c r="P121" i="14"/>
  <c r="P122" i="14"/>
  <c r="P123" i="14"/>
  <c r="P124" i="14"/>
  <c r="P125" i="14"/>
  <c r="U120" i="14"/>
  <c r="W120" i="14"/>
  <c r="V120" i="14"/>
  <c r="AA120" i="14"/>
  <c r="AC120" i="14"/>
  <c r="AB120" i="14"/>
  <c r="C121" i="14"/>
  <c r="E121" i="14"/>
  <c r="D121" i="14"/>
  <c r="I121" i="14"/>
  <c r="K121" i="14"/>
  <c r="J121" i="14"/>
  <c r="O121" i="14"/>
  <c r="Q121" i="14"/>
  <c r="U121" i="14"/>
  <c r="W121" i="14"/>
  <c r="V121" i="14"/>
  <c r="AA121" i="14"/>
  <c r="AB121" i="14"/>
  <c r="C122" i="14"/>
  <c r="D122" i="14"/>
  <c r="I122" i="14"/>
  <c r="J122" i="14"/>
  <c r="O122" i="14"/>
  <c r="U122" i="14"/>
  <c r="V122" i="14"/>
  <c r="AA122" i="14"/>
  <c r="AB122" i="14"/>
  <c r="C123" i="14"/>
  <c r="E123" i="14"/>
  <c r="D123" i="14"/>
  <c r="I123" i="14"/>
  <c r="K123" i="14"/>
  <c r="J123" i="14"/>
  <c r="O123" i="14"/>
  <c r="Q123" i="14"/>
  <c r="U123" i="14"/>
  <c r="W123" i="14"/>
  <c r="V123" i="14"/>
  <c r="V124" i="14"/>
  <c r="V125" i="14"/>
  <c r="AA123" i="14"/>
  <c r="AC123" i="14"/>
  <c r="AB123" i="14"/>
  <c r="AB124" i="14"/>
  <c r="AB125" i="14"/>
  <c r="AB127" i="14"/>
  <c r="AB128" i="14"/>
  <c r="AB129" i="14"/>
  <c r="AB130" i="14"/>
  <c r="AB134" i="14"/>
  <c r="AB136" i="14"/>
  <c r="C124" i="14"/>
  <c r="D124" i="14"/>
  <c r="I124" i="14"/>
  <c r="J124" i="14"/>
  <c r="O124" i="14"/>
  <c r="U124" i="14"/>
  <c r="AA124" i="14"/>
  <c r="E126" i="14"/>
  <c r="K126" i="14"/>
  <c r="Q126" i="14"/>
  <c r="W126" i="14"/>
  <c r="AC126" i="14"/>
  <c r="C127" i="14"/>
  <c r="D127" i="14"/>
  <c r="D128" i="14"/>
  <c r="D129" i="14"/>
  <c r="D130" i="14"/>
  <c r="D134" i="14"/>
  <c r="E127" i="14"/>
  <c r="I127" i="14"/>
  <c r="J127" i="14"/>
  <c r="O127" i="14"/>
  <c r="P127" i="14"/>
  <c r="U127" i="14"/>
  <c r="W127" i="14"/>
  <c r="V127" i="14"/>
  <c r="V128" i="14"/>
  <c r="V129" i="14"/>
  <c r="V130" i="14"/>
  <c r="V134" i="14"/>
  <c r="V136" i="14"/>
  <c r="AA127" i="14"/>
  <c r="AC127" i="14"/>
  <c r="C128" i="14"/>
  <c r="E128" i="14"/>
  <c r="I128" i="14"/>
  <c r="K128" i="14"/>
  <c r="J128" i="14"/>
  <c r="O128" i="14"/>
  <c r="Q128" i="14"/>
  <c r="P128" i="14"/>
  <c r="U128" i="14"/>
  <c r="W128" i="14"/>
  <c r="AA128" i="14"/>
  <c r="C129" i="14"/>
  <c r="I129" i="14"/>
  <c r="J129" i="14"/>
  <c r="O129" i="14"/>
  <c r="P129" i="14"/>
  <c r="U129" i="14"/>
  <c r="U130" i="14"/>
  <c r="U134" i="14"/>
  <c r="W134" i="14"/>
  <c r="AA129" i="14"/>
  <c r="C130" i="14"/>
  <c r="I130" i="14"/>
  <c r="J130" i="14"/>
  <c r="J134" i="14"/>
  <c r="O130" i="14"/>
  <c r="P130" i="14"/>
  <c r="AA130" i="14"/>
  <c r="C134" i="14"/>
  <c r="E134" i="14"/>
  <c r="E135" i="14"/>
  <c r="K135" i="14"/>
  <c r="Q135" i="14"/>
  <c r="W135" i="14"/>
  <c r="AC135" i="14"/>
  <c r="E3" i="12"/>
  <c r="K3" i="12"/>
  <c r="Q3" i="12"/>
  <c r="W3" i="12"/>
  <c r="AC3" i="12"/>
  <c r="E4" i="12"/>
  <c r="K4" i="12"/>
  <c r="Q4" i="12"/>
  <c r="W4" i="12"/>
  <c r="AC4" i="12"/>
  <c r="E5" i="12"/>
  <c r="K5" i="12"/>
  <c r="Q5" i="12"/>
  <c r="W5" i="12"/>
  <c r="AC5" i="12"/>
  <c r="E9" i="12"/>
  <c r="K9" i="12"/>
  <c r="Q9" i="12"/>
  <c r="W9" i="12"/>
  <c r="AC9" i="12"/>
  <c r="E11" i="12"/>
  <c r="K11" i="12"/>
  <c r="Q11" i="12"/>
  <c r="W11" i="12"/>
  <c r="AC11" i="12"/>
  <c r="E15" i="12"/>
  <c r="K15" i="12"/>
  <c r="Q15" i="12"/>
  <c r="W15" i="12"/>
  <c r="AC15" i="12"/>
  <c r="E16" i="12"/>
  <c r="K16" i="12"/>
  <c r="Q16" i="12"/>
  <c r="W16" i="12"/>
  <c r="AC16" i="12"/>
  <c r="E17" i="12"/>
  <c r="K17" i="12"/>
  <c r="Q17" i="12"/>
  <c r="W17" i="12"/>
  <c r="AC17" i="12"/>
  <c r="E21" i="12"/>
  <c r="K21" i="12"/>
  <c r="Q21" i="12"/>
  <c r="W21" i="12"/>
  <c r="AC21" i="12"/>
  <c r="E22" i="12"/>
  <c r="K22" i="12"/>
  <c r="Q22" i="12"/>
  <c r="W22" i="12"/>
  <c r="AC22" i="12"/>
  <c r="E23" i="12"/>
  <c r="K23" i="12"/>
  <c r="Q23" i="12"/>
  <c r="W23" i="12"/>
  <c r="AC23" i="12"/>
  <c r="E24" i="12"/>
  <c r="K24" i="12"/>
  <c r="Q24" i="12"/>
  <c r="W24" i="12"/>
  <c r="AC24" i="12"/>
  <c r="E25" i="12"/>
  <c r="K25" i="12"/>
  <c r="Q25" i="12"/>
  <c r="W25" i="12"/>
  <c r="AC25" i="12"/>
  <c r="E29" i="12"/>
  <c r="K29" i="12"/>
  <c r="Q29" i="12"/>
  <c r="W29" i="12"/>
  <c r="AC29" i="12"/>
  <c r="E30" i="12"/>
  <c r="K30" i="12"/>
  <c r="Q30" i="12"/>
  <c r="W30" i="12"/>
  <c r="AC30" i="12"/>
  <c r="E31" i="12"/>
  <c r="K31" i="12"/>
  <c r="Q31" i="12"/>
  <c r="W31" i="12"/>
  <c r="AC31" i="12"/>
  <c r="E32" i="12"/>
  <c r="K32" i="12"/>
  <c r="Q32" i="12"/>
  <c r="W32" i="12"/>
  <c r="AC32" i="12"/>
  <c r="E34" i="12"/>
  <c r="K34" i="12"/>
  <c r="Q34" i="12"/>
  <c r="W34" i="12"/>
  <c r="AC34" i="12"/>
  <c r="E35" i="12"/>
  <c r="K35" i="12"/>
  <c r="Q35" i="12"/>
  <c r="W35" i="12"/>
  <c r="AC35" i="12"/>
  <c r="E36" i="12"/>
  <c r="K36" i="12"/>
  <c r="Q36" i="12"/>
  <c r="W36" i="12"/>
  <c r="AC36" i="12"/>
  <c r="E39" i="12"/>
  <c r="K39" i="12"/>
  <c r="Q39" i="12"/>
  <c r="W39" i="12"/>
  <c r="AC39" i="12"/>
  <c r="E40" i="12"/>
  <c r="K40" i="12"/>
  <c r="Q40" i="12"/>
  <c r="W40" i="12"/>
  <c r="AC40" i="12"/>
  <c r="E41" i="12"/>
  <c r="K41" i="12"/>
  <c r="Q41" i="12"/>
  <c r="W41" i="12"/>
  <c r="AC41" i="12"/>
  <c r="E42" i="12"/>
  <c r="K42" i="12"/>
  <c r="Q42" i="12"/>
  <c r="W42" i="12"/>
  <c r="AC42" i="12"/>
  <c r="E44" i="12"/>
  <c r="K44" i="12"/>
  <c r="Q44" i="12"/>
  <c r="W44" i="12"/>
  <c r="AC44" i="12"/>
  <c r="E49" i="12"/>
  <c r="K49" i="12"/>
  <c r="Q49" i="12"/>
  <c r="W49" i="12"/>
  <c r="AC49" i="12"/>
  <c r="E50" i="12"/>
  <c r="K50" i="12"/>
  <c r="Q50" i="12"/>
  <c r="W50" i="12"/>
  <c r="AC50" i="12"/>
  <c r="E51" i="12"/>
  <c r="K51" i="12"/>
  <c r="Q51" i="12"/>
  <c r="W51" i="12"/>
  <c r="AC51" i="12"/>
  <c r="E53" i="12"/>
  <c r="K53" i="12"/>
  <c r="Q53" i="12"/>
  <c r="W53" i="12"/>
  <c r="AC53" i="12"/>
  <c r="E54" i="12"/>
  <c r="K54" i="12"/>
  <c r="Q54" i="12"/>
  <c r="W54" i="12"/>
  <c r="AC54" i="12"/>
  <c r="E55" i="12"/>
  <c r="K55" i="12"/>
  <c r="Q55" i="12"/>
  <c r="W55" i="12"/>
  <c r="AC55" i="12"/>
  <c r="E57" i="12"/>
  <c r="K57" i="12"/>
  <c r="Q57" i="12"/>
  <c r="W57" i="12"/>
  <c r="AC57" i="12"/>
  <c r="E59" i="12"/>
  <c r="K59" i="12"/>
  <c r="Q59" i="12"/>
  <c r="W59" i="12"/>
  <c r="AC59" i="12"/>
  <c r="E62" i="12"/>
  <c r="K62" i="12"/>
  <c r="Q62" i="12"/>
  <c r="W62" i="12"/>
  <c r="AC62" i="12"/>
  <c r="E63" i="12"/>
  <c r="K63" i="12"/>
  <c r="Q63" i="12"/>
  <c r="W63" i="12"/>
  <c r="AC63" i="12"/>
  <c r="B114" i="12"/>
  <c r="C114" i="12"/>
  <c r="E114" i="12" s="1"/>
  <c r="D114" i="12"/>
  <c r="H114" i="12"/>
  <c r="I114" i="12"/>
  <c r="J114" i="12"/>
  <c r="K114" i="12"/>
  <c r="N114" i="12"/>
  <c r="O114" i="12"/>
  <c r="P114" i="12"/>
  <c r="Q114" i="12"/>
  <c r="T114" i="12"/>
  <c r="W114" i="12" s="1"/>
  <c r="U114" i="12"/>
  <c r="V114" i="12"/>
  <c r="Z114" i="12"/>
  <c r="AA114" i="12"/>
  <c r="AC114" i="12"/>
  <c r="AB114" i="12"/>
  <c r="C116" i="12"/>
  <c r="E116" i="12" s="1"/>
  <c r="D116" i="12"/>
  <c r="I116" i="12"/>
  <c r="K116" i="12"/>
  <c r="J116" i="12"/>
  <c r="O116" i="12"/>
  <c r="Q116" i="12"/>
  <c r="P116" i="12"/>
  <c r="U116" i="12"/>
  <c r="W116" i="12"/>
  <c r="V116" i="12"/>
  <c r="AA116" i="12"/>
  <c r="AC116" i="12"/>
  <c r="AB116" i="12"/>
  <c r="E117" i="12"/>
  <c r="K117" i="12"/>
  <c r="Q117" i="12"/>
  <c r="W117" i="12"/>
  <c r="AC117" i="12"/>
  <c r="C118" i="12"/>
  <c r="E118" i="12" s="1"/>
  <c r="D118" i="12"/>
  <c r="I118" i="12"/>
  <c r="J118" i="12"/>
  <c r="O118" i="12"/>
  <c r="P118" i="12"/>
  <c r="P119" i="12"/>
  <c r="P120" i="12"/>
  <c r="P121" i="12"/>
  <c r="P122" i="12"/>
  <c r="P123" i="12"/>
  <c r="P124" i="12"/>
  <c r="P125" i="12"/>
  <c r="Q118" i="12"/>
  <c r="U118" i="12"/>
  <c r="W118" i="12"/>
  <c r="V118" i="12"/>
  <c r="V119" i="12"/>
  <c r="V120" i="12"/>
  <c r="V121" i="12"/>
  <c r="V122" i="12"/>
  <c r="V123" i="12"/>
  <c r="V124" i="12"/>
  <c r="V125" i="12"/>
  <c r="AA118" i="12"/>
  <c r="AC118" i="12"/>
  <c r="AB118" i="12"/>
  <c r="C119" i="12"/>
  <c r="E119" i="12"/>
  <c r="D119" i="12"/>
  <c r="I119" i="12"/>
  <c r="J119" i="12"/>
  <c r="K119" i="12"/>
  <c r="O119" i="12"/>
  <c r="Q119" i="12"/>
  <c r="U119" i="12"/>
  <c r="W119" i="12"/>
  <c r="AA119" i="12"/>
  <c r="AC119" i="12"/>
  <c r="AB119" i="12"/>
  <c r="C120" i="12"/>
  <c r="E120" i="12" s="1"/>
  <c r="D120" i="12"/>
  <c r="I120" i="12"/>
  <c r="J120" i="12"/>
  <c r="K120" i="12"/>
  <c r="O120" i="12"/>
  <c r="Q120" i="12"/>
  <c r="U120" i="12"/>
  <c r="W120" i="12"/>
  <c r="AA120" i="12"/>
  <c r="AC120" i="12"/>
  <c r="AB120" i="12"/>
  <c r="C121" i="12"/>
  <c r="E121" i="12" s="1"/>
  <c r="D121" i="12"/>
  <c r="I121" i="12"/>
  <c r="J121" i="12"/>
  <c r="K121" i="12"/>
  <c r="O121" i="12"/>
  <c r="Q121" i="12"/>
  <c r="U121" i="12"/>
  <c r="W121" i="12"/>
  <c r="AA121" i="12"/>
  <c r="AB121" i="12"/>
  <c r="AC121" i="12"/>
  <c r="C122" i="12"/>
  <c r="C123" i="12"/>
  <c r="E123" i="12" s="1"/>
  <c r="C124" i="12"/>
  <c r="D122" i="12"/>
  <c r="I122" i="12"/>
  <c r="J122" i="12"/>
  <c r="O122" i="12"/>
  <c r="U122" i="12"/>
  <c r="AA122" i="12"/>
  <c r="AB122" i="12"/>
  <c r="D123" i="12"/>
  <c r="I123" i="12"/>
  <c r="J123" i="12"/>
  <c r="K123" i="12"/>
  <c r="O123" i="12"/>
  <c r="Q123" i="12"/>
  <c r="U123" i="12"/>
  <c r="W123" i="12"/>
  <c r="AA123" i="12"/>
  <c r="AB123" i="12"/>
  <c r="AB124" i="12"/>
  <c r="AB125" i="12"/>
  <c r="AC123" i="12"/>
  <c r="D124" i="12"/>
  <c r="I124" i="12"/>
  <c r="J124" i="12"/>
  <c r="O124" i="12"/>
  <c r="U124" i="12"/>
  <c r="AA124" i="12"/>
  <c r="E126" i="12"/>
  <c r="K126" i="12"/>
  <c r="Q126" i="12"/>
  <c r="W126" i="12"/>
  <c r="AC126" i="12"/>
  <c r="C127" i="12"/>
  <c r="E127" i="12" s="1"/>
  <c r="D127" i="12"/>
  <c r="D128" i="12"/>
  <c r="D129" i="12"/>
  <c r="D134" i="12"/>
  <c r="I127" i="12"/>
  <c r="K127" i="12"/>
  <c r="J127" i="12"/>
  <c r="O127" i="12"/>
  <c r="P127" i="12"/>
  <c r="U127" i="12"/>
  <c r="W127" i="12"/>
  <c r="V127" i="12"/>
  <c r="AA127" i="12"/>
  <c r="AB127" i="12"/>
  <c r="C128" i="12"/>
  <c r="E128" i="12" s="1"/>
  <c r="I128" i="12"/>
  <c r="K128" i="12"/>
  <c r="J128" i="12"/>
  <c r="J129" i="12"/>
  <c r="J134" i="12"/>
  <c r="J125" i="12"/>
  <c r="J136" i="12"/>
  <c r="O128" i="12"/>
  <c r="Q128" i="12"/>
  <c r="P128" i="12"/>
  <c r="U128" i="12"/>
  <c r="W128" i="12"/>
  <c r="V128" i="12"/>
  <c r="AA128" i="12"/>
  <c r="AC128" i="12"/>
  <c r="AB128" i="12"/>
  <c r="AB129" i="12"/>
  <c r="AB134" i="12"/>
  <c r="C129" i="12"/>
  <c r="I129" i="12"/>
  <c r="I134" i="12"/>
  <c r="K134" i="12"/>
  <c r="O129" i="12"/>
  <c r="P129" i="12"/>
  <c r="U129" i="12"/>
  <c r="V129" i="12"/>
  <c r="AA129" i="12"/>
  <c r="C130" i="12"/>
  <c r="D130" i="12"/>
  <c r="I130" i="12"/>
  <c r="J130" i="12"/>
  <c r="O130" i="12"/>
  <c r="P130" i="12"/>
  <c r="U130" i="12"/>
  <c r="V130" i="12"/>
  <c r="AA130" i="12"/>
  <c r="AB130" i="12"/>
  <c r="V134" i="12"/>
  <c r="E135" i="12"/>
  <c r="K135" i="12"/>
  <c r="Q135" i="12"/>
  <c r="W135" i="12"/>
  <c r="AC135" i="12"/>
  <c r="E3" i="2"/>
  <c r="E141" i="2" s="1"/>
  <c r="K3" i="2"/>
  <c r="K141" i="2" s="1"/>
  <c r="Q3" i="2"/>
  <c r="Q141" i="2" s="1"/>
  <c r="W3" i="2"/>
  <c r="W141" i="2" s="1"/>
  <c r="AC3" i="2"/>
  <c r="AC141" i="2" s="1"/>
  <c r="E4" i="2"/>
  <c r="E142" i="2" s="1"/>
  <c r="K4" i="2"/>
  <c r="K142" i="2" s="1"/>
  <c r="Q4" i="2"/>
  <c r="Q142" i="2" s="1"/>
  <c r="W4" i="2"/>
  <c r="W142" i="2" s="1"/>
  <c r="AC4" i="2"/>
  <c r="AC142" i="2" s="1"/>
  <c r="E5" i="2"/>
  <c r="E143" i="2" s="1"/>
  <c r="K5" i="2"/>
  <c r="K143" i="2" s="1"/>
  <c r="Q5" i="2"/>
  <c r="Q143" i="2" s="1"/>
  <c r="W5" i="2"/>
  <c r="W143" i="2" s="1"/>
  <c r="AC5" i="2"/>
  <c r="AC143" i="2" s="1"/>
  <c r="E9" i="2"/>
  <c r="E144" i="2" s="1"/>
  <c r="K9" i="2"/>
  <c r="K144" i="2" s="1"/>
  <c r="Q9" i="2"/>
  <c r="Q144" i="2" s="1"/>
  <c r="W9" i="2"/>
  <c r="W144" i="2" s="1"/>
  <c r="AC9" i="2"/>
  <c r="AC144" i="2" s="1"/>
  <c r="E11" i="2"/>
  <c r="E145" i="2" s="1"/>
  <c r="K11" i="2"/>
  <c r="K145" i="2" s="1"/>
  <c r="Q11" i="2"/>
  <c r="Q145" i="2" s="1"/>
  <c r="W11" i="2"/>
  <c r="W145" i="2" s="1"/>
  <c r="AC11" i="2"/>
  <c r="AC145" i="2" s="1"/>
  <c r="E15" i="2"/>
  <c r="E146" i="2" s="1"/>
  <c r="K15" i="2"/>
  <c r="K146" i="2" s="1"/>
  <c r="Q15" i="2"/>
  <c r="Q146" i="2" s="1"/>
  <c r="W15" i="2"/>
  <c r="W146" i="2" s="1"/>
  <c r="AC15" i="2"/>
  <c r="AC146" i="2" s="1"/>
  <c r="E16" i="2"/>
  <c r="E147" i="2" s="1"/>
  <c r="K16" i="2"/>
  <c r="K147" i="2" s="1"/>
  <c r="Q16" i="2"/>
  <c r="Q147" i="2" s="1"/>
  <c r="W16" i="2"/>
  <c r="W147" i="2" s="1"/>
  <c r="AC16" i="2"/>
  <c r="AC147" i="2" s="1"/>
  <c r="E17" i="2"/>
  <c r="E148" i="2" s="1"/>
  <c r="K17" i="2"/>
  <c r="K148" i="2" s="1"/>
  <c r="Q17" i="2"/>
  <c r="Q148" i="2" s="1"/>
  <c r="W17" i="2"/>
  <c r="W148" i="2" s="1"/>
  <c r="AC17" i="2"/>
  <c r="AC148" i="2" s="1"/>
  <c r="E21" i="2"/>
  <c r="E149" i="2" s="1"/>
  <c r="K21" i="2"/>
  <c r="K149" i="2" s="1"/>
  <c r="Q21" i="2"/>
  <c r="Q149" i="2" s="1"/>
  <c r="W21" i="2"/>
  <c r="W149" i="2" s="1"/>
  <c r="AC21" i="2"/>
  <c r="AC149" i="2" s="1"/>
  <c r="E22" i="2"/>
  <c r="E150" i="2" s="1"/>
  <c r="K22" i="2"/>
  <c r="K150" i="2" s="1"/>
  <c r="Q22" i="2"/>
  <c r="Q150" i="2" s="1"/>
  <c r="W22" i="2"/>
  <c r="W150" i="2" s="1"/>
  <c r="AC22" i="2"/>
  <c r="AC150" i="2" s="1"/>
  <c r="E23" i="2"/>
  <c r="E151" i="2" s="1"/>
  <c r="K23" i="2"/>
  <c r="K151" i="2" s="1"/>
  <c r="Q23" i="2"/>
  <c r="Q151" i="2" s="1"/>
  <c r="W23" i="2"/>
  <c r="W151" i="2" s="1"/>
  <c r="AC23" i="2"/>
  <c r="AC151" i="2" s="1"/>
  <c r="E24" i="2"/>
  <c r="E152" i="2" s="1"/>
  <c r="K24" i="2"/>
  <c r="K152" i="2" s="1"/>
  <c r="Q24" i="2"/>
  <c r="Q152" i="2" s="1"/>
  <c r="W24" i="2"/>
  <c r="W152" i="2" s="1"/>
  <c r="AC24" i="2"/>
  <c r="AC152" i="2" s="1"/>
  <c r="E25" i="2"/>
  <c r="E153" i="2" s="1"/>
  <c r="K25" i="2"/>
  <c r="K153" i="2" s="1"/>
  <c r="Q25" i="2"/>
  <c r="Q153" i="2" s="1"/>
  <c r="W25" i="2"/>
  <c r="W153" i="2" s="1"/>
  <c r="AC25" i="2"/>
  <c r="AC153" i="2" s="1"/>
  <c r="E29" i="2"/>
  <c r="E154" i="2" s="1"/>
  <c r="K29" i="2"/>
  <c r="K154" i="2" s="1"/>
  <c r="Q29" i="2"/>
  <c r="Q154" i="2" s="1"/>
  <c r="W29" i="2"/>
  <c r="W154" i="2" s="1"/>
  <c r="AC29" i="2"/>
  <c r="AC154" i="2" s="1"/>
  <c r="E30" i="2"/>
  <c r="E155" i="2" s="1"/>
  <c r="K30" i="2"/>
  <c r="K155" i="2" s="1"/>
  <c r="Q30" i="2"/>
  <c r="Q155" i="2" s="1"/>
  <c r="W30" i="2"/>
  <c r="W155" i="2" s="1"/>
  <c r="AC30" i="2"/>
  <c r="AC155" i="2" s="1"/>
  <c r="E31" i="2"/>
  <c r="E156" i="2" s="1"/>
  <c r="K31" i="2"/>
  <c r="K156" i="2" s="1"/>
  <c r="Q31" i="2"/>
  <c r="Q156" i="2" s="1"/>
  <c r="W31" i="2"/>
  <c r="W156" i="2" s="1"/>
  <c r="AC31" i="2"/>
  <c r="AC156" i="2" s="1"/>
  <c r="E32" i="2"/>
  <c r="E157" i="2" s="1"/>
  <c r="K32" i="2"/>
  <c r="K157" i="2" s="1"/>
  <c r="Q32" i="2"/>
  <c r="Q157" i="2" s="1"/>
  <c r="W32" i="2"/>
  <c r="W157" i="2" s="1"/>
  <c r="AC32" i="2"/>
  <c r="AC157" i="2" s="1"/>
  <c r="E34" i="2"/>
  <c r="E158" i="2" s="1"/>
  <c r="K34" i="2"/>
  <c r="K158" i="2" s="1"/>
  <c r="Q34" i="2"/>
  <c r="Q158" i="2" s="1"/>
  <c r="W34" i="2"/>
  <c r="W158" i="2" s="1"/>
  <c r="AC34" i="2"/>
  <c r="AC158" i="2" s="1"/>
  <c r="E35" i="2"/>
  <c r="E159" i="2" s="1"/>
  <c r="K35" i="2"/>
  <c r="K159" i="2" s="1"/>
  <c r="Q35" i="2"/>
  <c r="Q159" i="2" s="1"/>
  <c r="W35" i="2"/>
  <c r="W159" i="2" s="1"/>
  <c r="AC35" i="2"/>
  <c r="AC159" i="2" s="1"/>
  <c r="E36" i="2"/>
  <c r="E160" i="2" s="1"/>
  <c r="K36" i="2"/>
  <c r="K160" i="2" s="1"/>
  <c r="Q36" i="2"/>
  <c r="Q160" i="2" s="1"/>
  <c r="W36" i="2"/>
  <c r="W160" i="2" s="1"/>
  <c r="AC36" i="2"/>
  <c r="AC160" i="2" s="1"/>
  <c r="E39" i="2"/>
  <c r="E161" i="2" s="1"/>
  <c r="K39" i="2"/>
  <c r="K161" i="2" s="1"/>
  <c r="Q39" i="2"/>
  <c r="Q161" i="2" s="1"/>
  <c r="W39" i="2"/>
  <c r="W161" i="2" s="1"/>
  <c r="AC39" i="2"/>
  <c r="AC161" i="2" s="1"/>
  <c r="E40" i="2"/>
  <c r="E162" i="2" s="1"/>
  <c r="K40" i="2"/>
  <c r="K162" i="2" s="1"/>
  <c r="Q40" i="2"/>
  <c r="Q162" i="2" s="1"/>
  <c r="W40" i="2"/>
  <c r="W162" i="2" s="1"/>
  <c r="AC40" i="2"/>
  <c r="AC162" i="2" s="1"/>
  <c r="E41" i="2"/>
  <c r="E163" i="2" s="1"/>
  <c r="K41" i="2"/>
  <c r="K163" i="2" s="1"/>
  <c r="Q41" i="2"/>
  <c r="Q163" i="2" s="1"/>
  <c r="W41" i="2"/>
  <c r="W163" i="2" s="1"/>
  <c r="AC41" i="2"/>
  <c r="AC163" i="2" s="1"/>
  <c r="E42" i="2"/>
  <c r="E164" i="2" s="1"/>
  <c r="K42" i="2"/>
  <c r="K164" i="2" s="1"/>
  <c r="Q42" i="2"/>
  <c r="Q164" i="2" s="1"/>
  <c r="W42" i="2"/>
  <c r="W164" i="2" s="1"/>
  <c r="AC42" i="2"/>
  <c r="AC164" i="2" s="1"/>
  <c r="E44" i="2"/>
  <c r="E165" i="2" s="1"/>
  <c r="K44" i="2"/>
  <c r="K165" i="2" s="1"/>
  <c r="Q44" i="2"/>
  <c r="Q165" i="2" s="1"/>
  <c r="W44" i="2"/>
  <c r="W165" i="2" s="1"/>
  <c r="AC44" i="2"/>
  <c r="AC165" i="2" s="1"/>
  <c r="E49" i="2"/>
  <c r="E166" i="2" s="1"/>
  <c r="K49" i="2"/>
  <c r="K166" i="2" s="1"/>
  <c r="Q49" i="2"/>
  <c r="Q166" i="2" s="1"/>
  <c r="W49" i="2"/>
  <c r="W166" i="2" s="1"/>
  <c r="AC49" i="2"/>
  <c r="AC166" i="2" s="1"/>
  <c r="E50" i="2"/>
  <c r="E167" i="2" s="1"/>
  <c r="K50" i="2"/>
  <c r="K167" i="2" s="1"/>
  <c r="Q50" i="2"/>
  <c r="Q167" i="2" s="1"/>
  <c r="W50" i="2"/>
  <c r="W167" i="2" s="1"/>
  <c r="AC50" i="2"/>
  <c r="AC167" i="2" s="1"/>
  <c r="E51" i="2"/>
  <c r="E168" i="2" s="1"/>
  <c r="K51" i="2"/>
  <c r="K168" i="2" s="1"/>
  <c r="Q51" i="2"/>
  <c r="Q168" i="2" s="1"/>
  <c r="W51" i="2"/>
  <c r="W168" i="2" s="1"/>
  <c r="AC51" i="2"/>
  <c r="AC168" i="2" s="1"/>
  <c r="E53" i="2"/>
  <c r="E169" i="2" s="1"/>
  <c r="K53" i="2"/>
  <c r="K169" i="2" s="1"/>
  <c r="Q53" i="2"/>
  <c r="Q169" i="2" s="1"/>
  <c r="W53" i="2"/>
  <c r="W169" i="2" s="1"/>
  <c r="AC53" i="2"/>
  <c r="AC169" i="2" s="1"/>
  <c r="E54" i="2"/>
  <c r="E170" i="2" s="1"/>
  <c r="K54" i="2"/>
  <c r="K170" i="2" s="1"/>
  <c r="Q54" i="2"/>
  <c r="Q170" i="2" s="1"/>
  <c r="W54" i="2"/>
  <c r="W170" i="2" s="1"/>
  <c r="AC54" i="2"/>
  <c r="AC170" i="2" s="1"/>
  <c r="E55" i="2"/>
  <c r="E171" i="2" s="1"/>
  <c r="K55" i="2"/>
  <c r="K171" i="2" s="1"/>
  <c r="Q55" i="2"/>
  <c r="Q171" i="2" s="1"/>
  <c r="W55" i="2"/>
  <c r="W171" i="2" s="1"/>
  <c r="AC55" i="2"/>
  <c r="AC171" i="2" s="1"/>
  <c r="E57" i="2"/>
  <c r="E172" i="2" s="1"/>
  <c r="K57" i="2"/>
  <c r="K172" i="2" s="1"/>
  <c r="Q57" i="2"/>
  <c r="Q172" i="2" s="1"/>
  <c r="W57" i="2"/>
  <c r="W172" i="2" s="1"/>
  <c r="AC57" i="2"/>
  <c r="AC172" i="2" s="1"/>
  <c r="E59" i="2"/>
  <c r="E173" i="2" s="1"/>
  <c r="K59" i="2"/>
  <c r="K173" i="2" s="1"/>
  <c r="Q59" i="2"/>
  <c r="Q173" i="2" s="1"/>
  <c r="W59" i="2"/>
  <c r="W173" i="2" s="1"/>
  <c r="AC59" i="2"/>
  <c r="AC173" i="2" s="1"/>
  <c r="E62" i="2"/>
  <c r="E174" i="2" s="1"/>
  <c r="K62" i="2"/>
  <c r="K174" i="2" s="1"/>
  <c r="Q62" i="2"/>
  <c r="Q174" i="2" s="1"/>
  <c r="W62" i="2"/>
  <c r="W174" i="2" s="1"/>
  <c r="AC62" i="2"/>
  <c r="AC174" i="2" s="1"/>
  <c r="E63" i="2"/>
  <c r="E175" i="2" s="1"/>
  <c r="K63" i="2"/>
  <c r="K175" i="2" s="1"/>
  <c r="Q63" i="2"/>
  <c r="Q175" i="2" s="1"/>
  <c r="W63" i="2"/>
  <c r="W175" i="2" s="1"/>
  <c r="AC63" i="2"/>
  <c r="AC175" i="2" s="1"/>
  <c r="N114" i="2"/>
  <c r="N176" i="2" s="1"/>
  <c r="C114" i="2"/>
  <c r="E114" i="2" s="1"/>
  <c r="E176" i="2" s="1"/>
  <c r="I114" i="2"/>
  <c r="J114" i="2"/>
  <c r="K114" i="2"/>
  <c r="K176" i="2" s="1"/>
  <c r="O114" i="2"/>
  <c r="P114" i="2"/>
  <c r="Q114" i="2"/>
  <c r="Q176" i="2" s="1"/>
  <c r="U114" i="2"/>
  <c r="AA114" i="2"/>
  <c r="AC114" i="2"/>
  <c r="AC176" i="2" s="1"/>
  <c r="C116" i="2"/>
  <c r="I116" i="2"/>
  <c r="K116" i="2"/>
  <c r="K178" i="2" s="1"/>
  <c r="O116" i="2"/>
  <c r="U116" i="2"/>
  <c r="W116" i="2"/>
  <c r="W178" i="2" s="1"/>
  <c r="AA116" i="2"/>
  <c r="E117" i="2"/>
  <c r="K117" i="2"/>
  <c r="Q117" i="2"/>
  <c r="Q179" i="2"/>
  <c r="W117" i="2"/>
  <c r="AC117" i="2"/>
  <c r="E118" i="2"/>
  <c r="E180" i="2" s="1"/>
  <c r="I118" i="2"/>
  <c r="K118" i="2"/>
  <c r="K180" i="2" s="1"/>
  <c r="O118" i="2"/>
  <c r="U118" i="2"/>
  <c r="AA118" i="2"/>
  <c r="AC118" i="2"/>
  <c r="AC180" i="2"/>
  <c r="E119" i="2"/>
  <c r="E181" i="2" s="1"/>
  <c r="I119" i="2"/>
  <c r="O119" i="2"/>
  <c r="Q119" i="2"/>
  <c r="Q181" i="2" s="1"/>
  <c r="U119" i="2"/>
  <c r="W119" i="2"/>
  <c r="W181" i="2" s="1"/>
  <c r="AA119" i="2"/>
  <c r="AC119" i="2"/>
  <c r="AC181" i="2" s="1"/>
  <c r="I120" i="2"/>
  <c r="Q120" i="2"/>
  <c r="Q182" i="2" s="1"/>
  <c r="U120" i="2"/>
  <c r="W120" i="2"/>
  <c r="W182" i="2" s="1"/>
  <c r="AA120" i="2"/>
  <c r="C121" i="2"/>
  <c r="K121" i="2"/>
  <c r="K183" i="2" s="1"/>
  <c r="O121" i="2"/>
  <c r="Q121" i="2"/>
  <c r="Q183" i="2" s="1"/>
  <c r="W121" i="2"/>
  <c r="W183" i="2" s="1"/>
  <c r="AA121" i="2"/>
  <c r="C122" i="2"/>
  <c r="I122" i="2"/>
  <c r="O122" i="2"/>
  <c r="I123" i="2"/>
  <c r="K123" i="2"/>
  <c r="K185" i="2" s="1"/>
  <c r="O123" i="2"/>
  <c r="Q123" i="2"/>
  <c r="Q185" i="2" s="1"/>
  <c r="U123" i="2"/>
  <c r="W123" i="2"/>
  <c r="W185" i="2" s="1"/>
  <c r="AC123" i="2"/>
  <c r="AC185" i="2" s="1"/>
  <c r="I124" i="2"/>
  <c r="O124" i="2"/>
  <c r="AA124" i="2"/>
  <c r="E126" i="2"/>
  <c r="E188" i="2"/>
  <c r="K126" i="2"/>
  <c r="K188" i="2"/>
  <c r="Q126" i="2"/>
  <c r="W126" i="2"/>
  <c r="W188" i="2"/>
  <c r="AC126" i="2"/>
  <c r="AC188" i="2"/>
  <c r="C127" i="2"/>
  <c r="I127" i="2"/>
  <c r="O127" i="2"/>
  <c r="Q127" i="2"/>
  <c r="Q189" i="2" s="1"/>
  <c r="W127" i="2"/>
  <c r="W189" i="2" s="1"/>
  <c r="AA127" i="2"/>
  <c r="AC127" i="2"/>
  <c r="AC189" i="2" s="1"/>
  <c r="E128" i="2"/>
  <c r="E190" i="2" s="1"/>
  <c r="I128" i="2"/>
  <c r="K128" i="2"/>
  <c r="K190" i="2" s="1"/>
  <c r="O128" i="2"/>
  <c r="Q128" i="2"/>
  <c r="Q190" i="2" s="1"/>
  <c r="W128" i="2"/>
  <c r="W190" i="2" s="1"/>
  <c r="AA128" i="2"/>
  <c r="AC128" i="2"/>
  <c r="AC190" i="2" s="1"/>
  <c r="I129" i="2"/>
  <c r="O129" i="2"/>
  <c r="P134" i="2"/>
  <c r="U129" i="2"/>
  <c r="AA129" i="2"/>
  <c r="C130" i="2"/>
  <c r="I130" i="2"/>
  <c r="O130" i="2"/>
  <c r="U130" i="2"/>
  <c r="AA130" i="2"/>
  <c r="J134" i="2"/>
  <c r="AA134" i="2"/>
  <c r="AB134" i="2"/>
  <c r="E135" i="2"/>
  <c r="E195" i="2"/>
  <c r="K135" i="2"/>
  <c r="K195" i="2"/>
  <c r="Q135" i="2"/>
  <c r="W135" i="2"/>
  <c r="AC135" i="2"/>
  <c r="AC195" i="2"/>
  <c r="B141" i="2"/>
  <c r="C141" i="2"/>
  <c r="H141" i="2"/>
  <c r="I141" i="2"/>
  <c r="N141" i="2"/>
  <c r="O141" i="2"/>
  <c r="T141" i="2"/>
  <c r="U141" i="2"/>
  <c r="AA141" i="2"/>
  <c r="B142" i="2"/>
  <c r="C142" i="2"/>
  <c r="H142" i="2"/>
  <c r="I142" i="2"/>
  <c r="N142" i="2"/>
  <c r="O142" i="2"/>
  <c r="T142" i="2"/>
  <c r="U142" i="2"/>
  <c r="AA142" i="2"/>
  <c r="B143" i="2"/>
  <c r="C143" i="2"/>
  <c r="H143" i="2"/>
  <c r="I143" i="2"/>
  <c r="N143" i="2"/>
  <c r="O143" i="2"/>
  <c r="T143" i="2"/>
  <c r="U143" i="2"/>
  <c r="AA143" i="2"/>
  <c r="B145" i="2"/>
  <c r="C145" i="2"/>
  <c r="H145" i="2"/>
  <c r="I145" i="2"/>
  <c r="N145" i="2"/>
  <c r="O145" i="2"/>
  <c r="T145" i="2"/>
  <c r="U145" i="2"/>
  <c r="AA145" i="2"/>
  <c r="C148" i="2"/>
  <c r="H148" i="2"/>
  <c r="I148" i="2"/>
  <c r="N148" i="2"/>
  <c r="O148" i="2"/>
  <c r="T148" i="2"/>
  <c r="U148" i="2"/>
  <c r="AA148" i="2"/>
  <c r="B150" i="2"/>
  <c r="C150" i="2"/>
  <c r="H150" i="2"/>
  <c r="I150" i="2"/>
  <c r="N150" i="2"/>
  <c r="O150" i="2"/>
  <c r="T150" i="2"/>
  <c r="U150" i="2"/>
  <c r="AA150" i="2"/>
  <c r="B151" i="2"/>
  <c r="C151" i="2"/>
  <c r="H151" i="2"/>
  <c r="I151" i="2"/>
  <c r="N151" i="2"/>
  <c r="O151" i="2"/>
  <c r="T151" i="2"/>
  <c r="U151" i="2"/>
  <c r="AA151" i="2"/>
  <c r="B152" i="2"/>
  <c r="C152" i="2"/>
  <c r="H152" i="2"/>
  <c r="I152" i="2"/>
  <c r="N152" i="2"/>
  <c r="O152" i="2"/>
  <c r="T152" i="2"/>
  <c r="U152" i="2"/>
  <c r="AA152" i="2"/>
  <c r="B153" i="2"/>
  <c r="C153" i="2"/>
  <c r="H153" i="2"/>
  <c r="I153" i="2"/>
  <c r="N153" i="2"/>
  <c r="O153" i="2"/>
  <c r="T153" i="2"/>
  <c r="U153" i="2"/>
  <c r="AA153" i="2"/>
  <c r="B155" i="2"/>
  <c r="C155" i="2"/>
  <c r="H155" i="2"/>
  <c r="I155" i="2"/>
  <c r="N155" i="2"/>
  <c r="O155" i="2"/>
  <c r="T155" i="2"/>
  <c r="U155" i="2"/>
  <c r="AA155" i="2"/>
  <c r="B156" i="2"/>
  <c r="C156" i="2"/>
  <c r="H156" i="2"/>
  <c r="I156" i="2"/>
  <c r="N156" i="2"/>
  <c r="O156" i="2"/>
  <c r="T156" i="2"/>
  <c r="U156" i="2"/>
  <c r="AA156" i="2"/>
  <c r="B157" i="2"/>
  <c r="C157" i="2"/>
  <c r="H157" i="2"/>
  <c r="I157" i="2"/>
  <c r="N157" i="2"/>
  <c r="O157" i="2"/>
  <c r="T157" i="2"/>
  <c r="U157" i="2"/>
  <c r="AA157" i="2"/>
  <c r="B160" i="2"/>
  <c r="C160" i="2"/>
  <c r="H160" i="2"/>
  <c r="I160" i="2"/>
  <c r="N160" i="2"/>
  <c r="O160" i="2"/>
  <c r="T160" i="2"/>
  <c r="U160" i="2"/>
  <c r="AA160" i="2"/>
  <c r="B162" i="2"/>
  <c r="C162" i="2"/>
  <c r="H162" i="2"/>
  <c r="I162" i="2"/>
  <c r="N162" i="2"/>
  <c r="O162" i="2"/>
  <c r="T162" i="2"/>
  <c r="U162" i="2"/>
  <c r="AA162" i="2"/>
  <c r="B163" i="2"/>
  <c r="C163" i="2"/>
  <c r="H163" i="2"/>
  <c r="I163" i="2"/>
  <c r="N163" i="2"/>
  <c r="O163" i="2"/>
  <c r="T163" i="2"/>
  <c r="U163" i="2"/>
  <c r="AA163" i="2"/>
  <c r="B164" i="2"/>
  <c r="C164" i="2"/>
  <c r="H164" i="2"/>
  <c r="I164" i="2"/>
  <c r="N164" i="2"/>
  <c r="O164" i="2"/>
  <c r="T164" i="2"/>
  <c r="U164" i="2"/>
  <c r="AA164" i="2"/>
  <c r="B165" i="2"/>
  <c r="C165" i="2"/>
  <c r="H165" i="2"/>
  <c r="I165" i="2"/>
  <c r="N165" i="2"/>
  <c r="O165" i="2"/>
  <c r="T165" i="2"/>
  <c r="U165" i="2"/>
  <c r="AA165" i="2"/>
  <c r="B167" i="2"/>
  <c r="C167" i="2"/>
  <c r="H167" i="2"/>
  <c r="I167" i="2"/>
  <c r="N167" i="2"/>
  <c r="O167" i="2"/>
  <c r="T167" i="2"/>
  <c r="U167" i="2"/>
  <c r="AA167" i="2"/>
  <c r="B171" i="2"/>
  <c r="C171" i="2"/>
  <c r="H171" i="2"/>
  <c r="I171" i="2"/>
  <c r="N171" i="2"/>
  <c r="O171" i="2"/>
  <c r="T171" i="2"/>
  <c r="U171" i="2"/>
  <c r="AA171" i="2"/>
  <c r="B172" i="2"/>
  <c r="C172" i="2"/>
  <c r="H172" i="2"/>
  <c r="I172" i="2"/>
  <c r="N172" i="2"/>
  <c r="O172" i="2"/>
  <c r="T172" i="2"/>
  <c r="U172" i="2"/>
  <c r="AA172" i="2"/>
  <c r="B173" i="2"/>
  <c r="C173" i="2"/>
  <c r="H173" i="2"/>
  <c r="I173" i="2"/>
  <c r="N173" i="2"/>
  <c r="O173" i="2"/>
  <c r="T173" i="2"/>
  <c r="U173" i="2"/>
  <c r="AA173" i="2"/>
  <c r="B174" i="2"/>
  <c r="C174" i="2"/>
  <c r="H174" i="2"/>
  <c r="I174" i="2"/>
  <c r="N174" i="2"/>
  <c r="O174" i="2"/>
  <c r="T174" i="2"/>
  <c r="U174" i="2"/>
  <c r="AA174" i="2"/>
  <c r="B175" i="2"/>
  <c r="C175" i="2"/>
  <c r="H175" i="2"/>
  <c r="I175" i="2"/>
  <c r="N175" i="2"/>
  <c r="O175" i="2"/>
  <c r="T175" i="2"/>
  <c r="U175" i="2"/>
  <c r="AA175" i="2"/>
  <c r="E177" i="2"/>
  <c r="K177" i="2"/>
  <c r="Q177" i="2"/>
  <c r="W177" i="2"/>
  <c r="AC177" i="2"/>
  <c r="E179" i="2"/>
  <c r="K179" i="2"/>
  <c r="W179" i="2"/>
  <c r="AC179" i="2"/>
  <c r="Q188" i="2"/>
  <c r="Q195" i="2"/>
  <c r="W195" i="2"/>
  <c r="S8" i="18"/>
  <c r="U125" i="12"/>
  <c r="W125" i="12"/>
  <c r="U134" i="2"/>
  <c r="W134" i="2"/>
  <c r="W194" i="2" s="1"/>
  <c r="P134" i="14"/>
  <c r="P136" i="14"/>
  <c r="AB125" i="2"/>
  <c r="P125" i="2"/>
  <c r="AA125" i="14"/>
  <c r="AC125" i="14"/>
  <c r="W116" i="14"/>
  <c r="O125" i="14"/>
  <c r="Q125" i="14"/>
  <c r="AC121" i="14"/>
  <c r="AB136" i="2"/>
  <c r="P136" i="2"/>
  <c r="E123" i="2"/>
  <c r="E185" i="2" s="1"/>
  <c r="E116" i="2"/>
  <c r="E178" i="2" s="1"/>
  <c r="E120" i="2"/>
  <c r="E182" i="2" s="1"/>
  <c r="AA181" i="2"/>
  <c r="S9" i="9"/>
  <c r="K9" i="9"/>
  <c r="B9" i="9"/>
  <c r="R46" i="7"/>
  <c r="B46" i="7"/>
  <c r="R8" i="18"/>
  <c r="I76" i="11"/>
  <c r="R77" i="15"/>
  <c r="R76" i="15"/>
  <c r="H26" i="17"/>
  <c r="R73" i="15"/>
  <c r="O9" i="9"/>
  <c r="Q118" i="2"/>
  <c r="Q180" i="2" s="1"/>
  <c r="O125" i="2"/>
  <c r="O134" i="2"/>
  <c r="O136" i="2"/>
  <c r="AC116" i="2"/>
  <c r="AC178" i="2" s="1"/>
  <c r="Q127" i="14"/>
  <c r="O134" i="14"/>
  <c r="E116" i="14"/>
  <c r="G9" i="9"/>
  <c r="F9" i="9"/>
  <c r="J125" i="2"/>
  <c r="H305" i="2"/>
  <c r="C5" i="1" s="1"/>
  <c r="E127" i="2"/>
  <c r="E189" i="2" s="1"/>
  <c r="C134" i="2"/>
  <c r="D125" i="12"/>
  <c r="AB136" i="12"/>
  <c r="AC134" i="2"/>
  <c r="AC194" i="2" s="1"/>
  <c r="K127" i="2"/>
  <c r="K189" i="2" s="1"/>
  <c r="I134" i="2"/>
  <c r="AC121" i="2"/>
  <c r="AC183" i="2" s="1"/>
  <c r="AA183" i="2"/>
  <c r="U134" i="12"/>
  <c r="W134" i="12"/>
  <c r="P134" i="12"/>
  <c r="AA125" i="12"/>
  <c r="Q116" i="2"/>
  <c r="Q178" i="2" s="1"/>
  <c r="K118" i="12"/>
  <c r="I125" i="12"/>
  <c r="K125" i="12"/>
  <c r="U125" i="14"/>
  <c r="W118" i="14"/>
  <c r="K120" i="2"/>
  <c r="K182" i="2" s="1"/>
  <c r="O125" i="12"/>
  <c r="Z134" i="12"/>
  <c r="AA125" i="2"/>
  <c r="AA136" i="2"/>
  <c r="U125" i="2"/>
  <c r="W118" i="2"/>
  <c r="W180" i="2" s="1"/>
  <c r="H114" i="2"/>
  <c r="H176" i="2" s="1"/>
  <c r="E121" i="2"/>
  <c r="E183" i="2" s="1"/>
  <c r="K119" i="2"/>
  <c r="K181" i="2" s="1"/>
  <c r="I125" i="2"/>
  <c r="AA134" i="12"/>
  <c r="AC134" i="12"/>
  <c r="AC127" i="12"/>
  <c r="Q127" i="12"/>
  <c r="O134" i="12"/>
  <c r="Q134" i="12"/>
  <c r="D136" i="12"/>
  <c r="C125" i="2"/>
  <c r="C125" i="14"/>
  <c r="E125" i="14"/>
  <c r="AC120" i="2"/>
  <c r="AC182" i="2" s="1"/>
  <c r="U136" i="2"/>
  <c r="P136" i="12"/>
  <c r="K127" i="14"/>
  <c r="I134" i="14"/>
  <c r="K134" i="14"/>
  <c r="D125" i="14"/>
  <c r="D136" i="14"/>
  <c r="V136" i="12"/>
  <c r="I136" i="12"/>
  <c r="K136" i="12"/>
  <c r="AC128" i="14"/>
  <c r="AA134" i="14"/>
  <c r="AC134" i="14"/>
  <c r="K119" i="14"/>
  <c r="I125" i="14"/>
  <c r="K125" i="14"/>
  <c r="J125" i="14"/>
  <c r="J136" i="14"/>
  <c r="AA136" i="14"/>
  <c r="AC136" i="14"/>
  <c r="T6" i="1"/>
  <c r="V6" i="1"/>
  <c r="U7" i="1"/>
  <c r="AC136" i="2"/>
  <c r="AC196" i="2" s="1"/>
  <c r="Q136" i="2"/>
  <c r="Q196" i="2" s="1"/>
  <c r="E125" i="2"/>
  <c r="E187" i="2" s="1"/>
  <c r="C136" i="2"/>
  <c r="Q125" i="12"/>
  <c r="O136" i="12"/>
  <c r="Q136" i="12"/>
  <c r="J136" i="2"/>
  <c r="C136" i="14"/>
  <c r="E136" i="14"/>
  <c r="U136" i="12"/>
  <c r="W136" i="12"/>
  <c r="T7" i="1"/>
  <c r="V7" i="1"/>
  <c r="W136" i="2"/>
  <c r="W196" i="2" s="1"/>
  <c r="Q134" i="2"/>
  <c r="Q194" i="2" s="1"/>
  <c r="K125" i="2"/>
  <c r="K187" i="2" s="1"/>
  <c r="I136" i="2"/>
  <c r="W125" i="2"/>
  <c r="W187" i="2" s="1"/>
  <c r="W125" i="14"/>
  <c r="U136" i="14"/>
  <c r="W136" i="14"/>
  <c r="AA136" i="12"/>
  <c r="AC136" i="12"/>
  <c r="AC125" i="12"/>
  <c r="I136" i="14"/>
  <c r="K136" i="14"/>
  <c r="AC125" i="2"/>
  <c r="AC187" i="2" s="1"/>
  <c r="K134" i="2"/>
  <c r="K194" i="2" s="1"/>
  <c r="E134" i="2"/>
  <c r="E194" i="2" s="1"/>
  <c r="Q134" i="14"/>
  <c r="O136" i="14"/>
  <c r="Q136" i="14"/>
  <c r="Q125" i="2"/>
  <c r="Q187" i="2" s="1"/>
  <c r="E136" i="2"/>
  <c r="E196" i="2" s="1"/>
  <c r="K136" i="2"/>
  <c r="K196" i="2" s="1"/>
  <c r="D131" i="13" l="1"/>
  <c r="C134" i="12"/>
  <c r="E134" i="12" s="1"/>
  <c r="C125" i="12"/>
  <c r="E125" i="12" s="1"/>
  <c r="B193" i="2"/>
  <c r="B81" i="1" s="1"/>
  <c r="B81" i="11" s="1"/>
  <c r="C176" i="2"/>
  <c r="J22" i="17"/>
  <c r="L22" i="17" s="1"/>
  <c r="M22" i="17" s="1"/>
  <c r="S18" i="16"/>
  <c r="U186" i="2"/>
  <c r="U183" i="2"/>
  <c r="Z125" i="12"/>
  <c r="Z136" i="12" s="1"/>
  <c r="F27" i="11"/>
  <c r="F22" i="11"/>
  <c r="F131" i="10"/>
  <c r="F49" i="11"/>
  <c r="F18" i="11"/>
  <c r="F31" i="11"/>
  <c r="F30" i="11"/>
  <c r="F130" i="10"/>
  <c r="F127" i="10"/>
  <c r="AA182" i="2"/>
  <c r="AA178" i="2"/>
  <c r="AA185" i="2"/>
  <c r="AA190" i="2"/>
  <c r="AA189" i="2"/>
  <c r="AA176" i="2"/>
  <c r="Z125" i="2"/>
  <c r="Z187" i="2" s="1"/>
  <c r="AA186" i="2"/>
  <c r="F131" i="1"/>
  <c r="F4" i="11"/>
  <c r="F36" i="11"/>
  <c r="F35" i="11"/>
  <c r="F34" i="11"/>
  <c r="F9" i="11"/>
  <c r="Z180" i="2"/>
  <c r="F8" i="1" s="1"/>
  <c r="F129" i="1" s="1"/>
  <c r="AA191" i="2"/>
  <c r="AA184" i="2"/>
  <c r="F67" i="11"/>
  <c r="F14" i="11"/>
  <c r="F133" i="1"/>
  <c r="F81" i="11"/>
  <c r="Z134" i="2"/>
  <c r="Z134" i="14"/>
  <c r="F129" i="13"/>
  <c r="F127" i="13"/>
  <c r="H3" i="17"/>
  <c r="F130" i="13"/>
  <c r="Z125" i="14"/>
  <c r="F131" i="13"/>
  <c r="G23" i="17"/>
  <c r="N18" i="16"/>
  <c r="U180" i="2"/>
  <c r="G18" i="16"/>
  <c r="F73" i="15"/>
  <c r="F18" i="16"/>
  <c r="F77" i="15"/>
  <c r="I184" i="2"/>
  <c r="I186" i="2"/>
  <c r="C8" i="18"/>
  <c r="C18" i="16"/>
  <c r="O18" i="16"/>
  <c r="O8" i="18"/>
  <c r="F46" i="7"/>
  <c r="F76" i="15"/>
  <c r="J18" i="16"/>
  <c r="E131" i="13"/>
  <c r="E130" i="13"/>
  <c r="U185" i="2"/>
  <c r="U181" i="2"/>
  <c r="E131" i="10"/>
  <c r="E130" i="10"/>
  <c r="D131" i="10"/>
  <c r="D130" i="10"/>
  <c r="B73" i="15"/>
  <c r="B77" i="15"/>
  <c r="C131" i="10"/>
  <c r="C18" i="11"/>
  <c r="C130" i="10"/>
  <c r="C34" i="11"/>
  <c r="H134" i="12"/>
  <c r="F125" i="11"/>
  <c r="I183" i="2"/>
  <c r="I181" i="2"/>
  <c r="I190" i="2"/>
  <c r="H125" i="2"/>
  <c r="I187" i="2" s="1"/>
  <c r="H189" i="2"/>
  <c r="C31" i="1" s="1"/>
  <c r="C31" i="11" s="1"/>
  <c r="I182" i="2"/>
  <c r="I185" i="2"/>
  <c r="H191" i="2"/>
  <c r="C49" i="1" s="1"/>
  <c r="C49" i="11" s="1"/>
  <c r="I176" i="2"/>
  <c r="H134" i="2"/>
  <c r="I194" i="2" s="1"/>
  <c r="H125" i="14"/>
  <c r="H134" i="14"/>
  <c r="C131" i="13"/>
  <c r="C130" i="13"/>
  <c r="B76" i="15"/>
  <c r="B18" i="16"/>
  <c r="B125" i="14"/>
  <c r="B131" i="13"/>
  <c r="B130" i="13"/>
  <c r="B134" i="14"/>
  <c r="L7" i="17"/>
  <c r="M7" i="17" s="1"/>
  <c r="J10" i="17"/>
  <c r="L10" i="17" s="1"/>
  <c r="E43" i="11"/>
  <c r="B21" i="11"/>
  <c r="B25" i="11"/>
  <c r="B131" i="10"/>
  <c r="B130" i="10"/>
  <c r="E26" i="11"/>
  <c r="E32" i="11"/>
  <c r="E11" i="11"/>
  <c r="C189" i="2"/>
  <c r="B176" i="2"/>
  <c r="C184" i="2"/>
  <c r="B183" i="2"/>
  <c r="B18" i="1" s="1"/>
  <c r="B18" i="11" s="1"/>
  <c r="B182" i="2"/>
  <c r="B14" i="1" s="1"/>
  <c r="B14" i="11" s="1"/>
  <c r="B190" i="2"/>
  <c r="B30" i="1" s="1"/>
  <c r="B133" i="1" s="1"/>
  <c r="C191" i="2"/>
  <c r="B4" i="11"/>
  <c r="B131" i="1"/>
  <c r="C185" i="2"/>
  <c r="C178" i="2"/>
  <c r="N127" i="10"/>
  <c r="M4" i="11"/>
  <c r="M129" i="11" s="1"/>
  <c r="B40" i="11"/>
  <c r="B20" i="11"/>
  <c r="C131" i="17"/>
  <c r="B8" i="18"/>
  <c r="G27" i="17"/>
  <c r="B127" i="13"/>
  <c r="H12" i="13"/>
  <c r="M12" i="13" s="1"/>
  <c r="O12" i="13" s="1"/>
  <c r="P12" i="13" s="1"/>
  <c r="H32" i="13"/>
  <c r="M32" i="13" s="1"/>
  <c r="O32" i="13" s="1"/>
  <c r="P32" i="13" s="1"/>
  <c r="C127" i="13"/>
  <c r="G115" i="13"/>
  <c r="H46" i="13"/>
  <c r="J46" i="13" s="1"/>
  <c r="K46" i="13" s="1"/>
  <c r="H103" i="13"/>
  <c r="M103" i="13" s="1"/>
  <c r="O103" i="13" s="1"/>
  <c r="P103" i="13" s="1"/>
  <c r="H112" i="13"/>
  <c r="M112" i="13" s="1"/>
  <c r="O112" i="13" s="1"/>
  <c r="P112" i="13" s="1"/>
  <c r="G48" i="13"/>
  <c r="G39" i="13"/>
  <c r="H70" i="13"/>
  <c r="M70" i="13" s="1"/>
  <c r="O70" i="13" s="1"/>
  <c r="P70" i="13" s="1"/>
  <c r="G72" i="13"/>
  <c r="H80" i="13"/>
  <c r="M80" i="13" s="1"/>
  <c r="O80" i="13" s="1"/>
  <c r="P80" i="13" s="1"/>
  <c r="G84" i="13"/>
  <c r="G14" i="13"/>
  <c r="G42" i="13"/>
  <c r="H44" i="13"/>
  <c r="M44" i="13" s="1"/>
  <c r="O44" i="13" s="1"/>
  <c r="P44" i="13" s="1"/>
  <c r="H75" i="13"/>
  <c r="M75" i="13" s="1"/>
  <c r="O75" i="13" s="1"/>
  <c r="P75" i="13" s="1"/>
  <c r="G85" i="13"/>
  <c r="H90" i="13"/>
  <c r="M90" i="13" s="1"/>
  <c r="O90" i="13" s="1"/>
  <c r="P90" i="13" s="1"/>
  <c r="T125" i="14"/>
  <c r="B127" i="10"/>
  <c r="B134" i="12"/>
  <c r="B17" i="11"/>
  <c r="B49" i="11"/>
  <c r="B27" i="11"/>
  <c r="B9" i="11"/>
  <c r="C52" i="11"/>
  <c r="F51" i="11"/>
  <c r="B35" i="11"/>
  <c r="E28" i="11"/>
  <c r="B23" i="11"/>
  <c r="B125" i="12"/>
  <c r="E38" i="11"/>
  <c r="E29" i="11"/>
  <c r="B19" i="11"/>
  <c r="B16" i="11"/>
  <c r="B10" i="11"/>
  <c r="B6" i="11"/>
  <c r="B67" i="11"/>
  <c r="B34" i="11"/>
  <c r="B31" i="11"/>
  <c r="B22" i="11"/>
  <c r="C127" i="10"/>
  <c r="C55" i="11"/>
  <c r="C51" i="11"/>
  <c r="C81" i="11"/>
  <c r="C9" i="11"/>
  <c r="H125" i="12"/>
  <c r="C67" i="11"/>
  <c r="C35" i="11"/>
  <c r="C27" i="11"/>
  <c r="C22" i="11"/>
  <c r="C14" i="11"/>
  <c r="C36" i="11"/>
  <c r="C30" i="11"/>
  <c r="B125" i="11"/>
  <c r="G34" i="10"/>
  <c r="G22" i="10"/>
  <c r="N125" i="12"/>
  <c r="C125" i="11"/>
  <c r="F124" i="11"/>
  <c r="C124" i="11"/>
  <c r="F123" i="11"/>
  <c r="C54" i="11"/>
  <c r="F53" i="11"/>
  <c r="F52" i="11"/>
  <c r="F48" i="11"/>
  <c r="C48" i="11"/>
  <c r="E125" i="11"/>
  <c r="E124" i="11"/>
  <c r="E123" i="11"/>
  <c r="B44" i="11"/>
  <c r="E41" i="11"/>
  <c r="E39" i="11"/>
  <c r="B39" i="11"/>
  <c r="E37" i="11"/>
  <c r="B32" i="11"/>
  <c r="B28" i="11"/>
  <c r="E24" i="11"/>
  <c r="E21" i="11"/>
  <c r="E19" i="11"/>
  <c r="E6" i="11"/>
  <c r="E44" i="11"/>
  <c r="B47" i="11"/>
  <c r="B45" i="11"/>
  <c r="E42" i="11"/>
  <c r="E40" i="11"/>
  <c r="B33" i="11"/>
  <c r="B26" i="11"/>
  <c r="B24" i="11"/>
  <c r="E17" i="11"/>
  <c r="E15" i="11"/>
  <c r="B15" i="11"/>
  <c r="E12" i="11"/>
  <c r="B12" i="11"/>
  <c r="E7" i="11"/>
  <c r="E5" i="11"/>
  <c r="U189" i="2"/>
  <c r="U182" i="2"/>
  <c r="U190" i="2"/>
  <c r="H180" i="2"/>
  <c r="C8" i="1" s="1"/>
  <c r="H178" i="2"/>
  <c r="C4" i="1" s="1"/>
  <c r="C131" i="1" s="1"/>
  <c r="B125" i="2"/>
  <c r="B134" i="2"/>
  <c r="D102" i="11"/>
  <c r="D106" i="11"/>
  <c r="G29" i="1"/>
  <c r="C181" i="2"/>
  <c r="B186" i="2"/>
  <c r="B36" i="1" s="1"/>
  <c r="B36" i="11" s="1"/>
  <c r="B180" i="2"/>
  <c r="B8" i="1" s="1"/>
  <c r="D3" i="17"/>
  <c r="N73" i="15"/>
  <c r="I21" i="11"/>
  <c r="I77" i="11"/>
  <c r="I75" i="11"/>
  <c r="I71" i="11"/>
  <c r="T134" i="14"/>
  <c r="H42" i="13"/>
  <c r="M42" i="13" s="1"/>
  <c r="O42" i="13" s="1"/>
  <c r="P42" i="13" s="1"/>
  <c r="G102" i="13"/>
  <c r="H102" i="13"/>
  <c r="M102" i="13" s="1"/>
  <c r="O102" i="13" s="1"/>
  <c r="P102" i="13" s="1"/>
  <c r="G60" i="13"/>
  <c r="H64" i="13"/>
  <c r="M64" i="13" s="1"/>
  <c r="O64" i="13" s="1"/>
  <c r="P64" i="13" s="1"/>
  <c r="H73" i="13"/>
  <c r="M73" i="13" s="1"/>
  <c r="O73" i="13" s="1"/>
  <c r="P73" i="13" s="1"/>
  <c r="E127" i="13"/>
  <c r="H67" i="13"/>
  <c r="M67" i="13" s="1"/>
  <c r="O67" i="13" s="1"/>
  <c r="P67" i="13" s="1"/>
  <c r="H27" i="13"/>
  <c r="M27" i="13" s="1"/>
  <c r="O27" i="13" s="1"/>
  <c r="P27" i="13" s="1"/>
  <c r="G12" i="13"/>
  <c r="G65" i="13"/>
  <c r="G70" i="13"/>
  <c r="G78" i="13"/>
  <c r="H85" i="13"/>
  <c r="G105" i="13"/>
  <c r="H113" i="13"/>
  <c r="M113" i="13" s="1"/>
  <c r="O113" i="13" s="1"/>
  <c r="P113" i="13" s="1"/>
  <c r="H31" i="13"/>
  <c r="M31" i="13" s="1"/>
  <c r="O31" i="13" s="1"/>
  <c r="P31" i="13" s="1"/>
  <c r="H25" i="13"/>
  <c r="M25" i="13" s="1"/>
  <c r="O25" i="13" s="1"/>
  <c r="P25" i="13" s="1"/>
  <c r="G69" i="13"/>
  <c r="H84" i="13"/>
  <c r="M84" i="13" s="1"/>
  <c r="O84" i="13" s="1"/>
  <c r="P84" i="13" s="1"/>
  <c r="G90" i="13"/>
  <c r="G98" i="13"/>
  <c r="G120" i="13"/>
  <c r="G35" i="13"/>
  <c r="G24" i="13"/>
  <c r="H33" i="13"/>
  <c r="M33" i="13" s="1"/>
  <c r="O33" i="13" s="1"/>
  <c r="P33" i="13" s="1"/>
  <c r="H37" i="13"/>
  <c r="M37" i="13" s="1"/>
  <c r="O37" i="13" s="1"/>
  <c r="P37" i="13" s="1"/>
  <c r="G46" i="13"/>
  <c r="G55" i="13"/>
  <c r="H119" i="13"/>
  <c r="M119" i="13" s="1"/>
  <c r="O119" i="13" s="1"/>
  <c r="P119" i="13" s="1"/>
  <c r="G121" i="13"/>
  <c r="G34" i="13"/>
  <c r="G36" i="13"/>
  <c r="H14" i="13"/>
  <c r="M14" i="13" s="1"/>
  <c r="O14" i="13" s="1"/>
  <c r="P14" i="13" s="1"/>
  <c r="G44" i="13"/>
  <c r="G50" i="13"/>
  <c r="G62" i="13"/>
  <c r="G66" i="13"/>
  <c r="H77" i="13"/>
  <c r="M77" i="13" s="1"/>
  <c r="O77" i="13" s="1"/>
  <c r="P77" i="13" s="1"/>
  <c r="G86" i="13"/>
  <c r="H89" i="13"/>
  <c r="M89" i="13" s="1"/>
  <c r="O89" i="13" s="1"/>
  <c r="P89" i="13" s="1"/>
  <c r="H94" i="13"/>
  <c r="M94" i="13" s="1"/>
  <c r="O94" i="13" s="1"/>
  <c r="P94" i="13" s="1"/>
  <c r="H96" i="13"/>
  <c r="M96" i="13" s="1"/>
  <c r="O96" i="13" s="1"/>
  <c r="P96" i="13" s="1"/>
  <c r="G97" i="13"/>
  <c r="H100" i="13"/>
  <c r="M100" i="13" s="1"/>
  <c r="O100" i="13" s="1"/>
  <c r="P100" i="13" s="1"/>
  <c r="H104" i="13"/>
  <c r="J104" i="13" s="1"/>
  <c r="K104" i="13" s="1"/>
  <c r="H106" i="13"/>
  <c r="M106" i="13" s="1"/>
  <c r="O106" i="13" s="1"/>
  <c r="P106" i="13" s="1"/>
  <c r="G111" i="13"/>
  <c r="G112" i="13"/>
  <c r="G75" i="13"/>
  <c r="H26" i="13"/>
  <c r="M26" i="13" s="1"/>
  <c r="O26" i="13" s="1"/>
  <c r="P26" i="13" s="1"/>
  <c r="H39" i="13"/>
  <c r="M39" i="13" s="1"/>
  <c r="O39" i="13" s="1"/>
  <c r="P39" i="13" s="1"/>
  <c r="G43" i="13"/>
  <c r="G45" i="13"/>
  <c r="H48" i="13"/>
  <c r="M48" i="13" s="1"/>
  <c r="O48" i="13" s="1"/>
  <c r="P48" i="13" s="1"/>
  <c r="G57" i="13"/>
  <c r="H59" i="13"/>
  <c r="M59" i="13" s="1"/>
  <c r="O59" i="13" s="1"/>
  <c r="P59" i="13" s="1"/>
  <c r="H61" i="13"/>
  <c r="M61" i="13" s="1"/>
  <c r="O61" i="13" s="1"/>
  <c r="P61" i="13" s="1"/>
  <c r="G63" i="13"/>
  <c r="G103" i="13"/>
  <c r="G122" i="13"/>
  <c r="G108" i="13"/>
  <c r="G109" i="13"/>
  <c r="G32" i="13"/>
  <c r="H72" i="13"/>
  <c r="M72" i="13" s="1"/>
  <c r="O72" i="13" s="1"/>
  <c r="P72" i="13" s="1"/>
  <c r="G74" i="13"/>
  <c r="G80" i="13"/>
  <c r="H87" i="13"/>
  <c r="M87" i="13" s="1"/>
  <c r="O87" i="13" s="1"/>
  <c r="P87" i="13" s="1"/>
  <c r="G93" i="13"/>
  <c r="G101" i="13"/>
  <c r="H115" i="13"/>
  <c r="M115" i="13" s="1"/>
  <c r="O115" i="13" s="1"/>
  <c r="P115" i="13" s="1"/>
  <c r="H81" i="13"/>
  <c r="U178" i="2"/>
  <c r="T125" i="12"/>
  <c r="G69" i="10"/>
  <c r="E67" i="11"/>
  <c r="H34" i="10"/>
  <c r="M34" i="10" s="1"/>
  <c r="O34" i="10" s="1"/>
  <c r="P34" i="10" s="1"/>
  <c r="G14" i="10"/>
  <c r="H14" i="10"/>
  <c r="M14" i="10" s="1"/>
  <c r="O14" i="10" s="1"/>
  <c r="P14" i="10" s="1"/>
  <c r="H8" i="10"/>
  <c r="G8" i="10"/>
  <c r="F108" i="11"/>
  <c r="E127" i="10"/>
  <c r="E34" i="11"/>
  <c r="G31" i="10"/>
  <c r="G27" i="10"/>
  <c r="H22" i="10"/>
  <c r="M22" i="10" s="1"/>
  <c r="O22" i="10" s="1"/>
  <c r="P22" i="10" s="1"/>
  <c r="H9" i="10"/>
  <c r="M9" i="10" s="1"/>
  <c r="O9" i="10" s="1"/>
  <c r="P9" i="10" s="1"/>
  <c r="H4" i="10"/>
  <c r="E54" i="11"/>
  <c r="B54" i="11"/>
  <c r="E53" i="11"/>
  <c r="B53" i="11"/>
  <c r="E52" i="11"/>
  <c r="E51" i="11"/>
  <c r="E50" i="11"/>
  <c r="B50" i="11"/>
  <c r="E48" i="11"/>
  <c r="B48" i="11"/>
  <c r="E47" i="11"/>
  <c r="F46" i="11"/>
  <c r="C46" i="11"/>
  <c r="F45" i="11"/>
  <c r="C45" i="11"/>
  <c r="F44" i="11"/>
  <c r="C44" i="11"/>
  <c r="F43" i="11"/>
  <c r="C43" i="11"/>
  <c r="F42" i="11"/>
  <c r="F41" i="11"/>
  <c r="C41" i="11"/>
  <c r="F40" i="11"/>
  <c r="C40" i="11"/>
  <c r="F39" i="11"/>
  <c r="F38" i="11"/>
  <c r="F37" i="11"/>
  <c r="C37" i="11"/>
  <c r="F33" i="11"/>
  <c r="C33" i="11"/>
  <c r="F32" i="11"/>
  <c r="C32" i="11"/>
  <c r="F29" i="11"/>
  <c r="C29" i="11"/>
  <c r="F28" i="11"/>
  <c r="C26" i="11"/>
  <c r="F25" i="11"/>
  <c r="C25" i="11"/>
  <c r="F24" i="11"/>
  <c r="C24" i="11"/>
  <c r="C23" i="11"/>
  <c r="F21" i="11"/>
  <c r="C21" i="11"/>
  <c r="F19" i="11"/>
  <c r="C19" i="11"/>
  <c r="F17" i="11"/>
  <c r="C17" i="11"/>
  <c r="F16" i="11"/>
  <c r="C16" i="11"/>
  <c r="F15" i="11"/>
  <c r="C15" i="11"/>
  <c r="F13" i="11"/>
  <c r="C13" i="11"/>
  <c r="F12" i="11"/>
  <c r="C12" i="11"/>
  <c r="F11" i="11"/>
  <c r="F10" i="11"/>
  <c r="F7" i="11"/>
  <c r="F6" i="11"/>
  <c r="C6" i="11"/>
  <c r="F5" i="11"/>
  <c r="E36" i="11"/>
  <c r="G104" i="10"/>
  <c r="H67" i="10"/>
  <c r="M67" i="10" s="1"/>
  <c r="O67" i="10" s="1"/>
  <c r="P67" i="10" s="1"/>
  <c r="H36" i="10"/>
  <c r="M36" i="10" s="1"/>
  <c r="O36" i="10" s="1"/>
  <c r="P36" i="10" s="1"/>
  <c r="E35" i="11"/>
  <c r="G35" i="10"/>
  <c r="E31" i="11"/>
  <c r="E30" i="11"/>
  <c r="E27" i="11"/>
  <c r="E18" i="11"/>
  <c r="E14" i="11"/>
  <c r="E9" i="11"/>
  <c r="E8" i="11"/>
  <c r="C5" i="11"/>
  <c r="H7" i="10"/>
  <c r="M7" i="10" s="1"/>
  <c r="O7" i="10" s="1"/>
  <c r="P7" i="10" s="1"/>
  <c r="G24" i="10"/>
  <c r="H26" i="10"/>
  <c r="M26" i="10" s="1"/>
  <c r="O26" i="10" s="1"/>
  <c r="P26" i="10" s="1"/>
  <c r="G38" i="10"/>
  <c r="G48" i="10"/>
  <c r="G51" i="10"/>
  <c r="G53" i="10"/>
  <c r="H58" i="10"/>
  <c r="M58" i="10" s="1"/>
  <c r="O58" i="10" s="1"/>
  <c r="P58" i="10" s="1"/>
  <c r="H66" i="10"/>
  <c r="M66" i="10" s="1"/>
  <c r="O66" i="10" s="1"/>
  <c r="P66" i="10" s="1"/>
  <c r="H69" i="10"/>
  <c r="M69" i="10" s="1"/>
  <c r="O69" i="10" s="1"/>
  <c r="P69" i="10" s="1"/>
  <c r="H77" i="10"/>
  <c r="J77" i="10" s="1"/>
  <c r="K77" i="10" s="1"/>
  <c r="G82" i="10"/>
  <c r="H88" i="10"/>
  <c r="M88" i="10" s="1"/>
  <c r="O88" i="10" s="1"/>
  <c r="P88" i="10" s="1"/>
  <c r="G96" i="10"/>
  <c r="G5" i="10"/>
  <c r="C87" i="11"/>
  <c r="F86" i="11"/>
  <c r="D124" i="11"/>
  <c r="H82" i="10"/>
  <c r="M82" i="10" s="1"/>
  <c r="O82" i="10" s="1"/>
  <c r="P82" i="10" s="1"/>
  <c r="T134" i="12"/>
  <c r="H81" i="10"/>
  <c r="W114" i="2"/>
  <c r="W176" i="2" s="1"/>
  <c r="T184" i="2"/>
  <c r="E22" i="1" s="1"/>
  <c r="E22" i="11" s="1"/>
  <c r="T191" i="2"/>
  <c r="E49" i="1" s="1"/>
  <c r="E49" i="11" s="1"/>
  <c r="T125" i="2"/>
  <c r="U176" i="2"/>
  <c r="D112" i="11"/>
  <c r="D116" i="11"/>
  <c r="D120" i="11"/>
  <c r="G119" i="1"/>
  <c r="G115" i="1"/>
  <c r="H99" i="1"/>
  <c r="J99" i="1" s="1"/>
  <c r="K99" i="1" s="1"/>
  <c r="H74" i="1"/>
  <c r="M74" i="1" s="1"/>
  <c r="O74" i="1" s="1"/>
  <c r="P74" i="1" s="1"/>
  <c r="G57" i="1"/>
  <c r="H53" i="1"/>
  <c r="J53" i="1" s="1"/>
  <c r="K53" i="1" s="1"/>
  <c r="G44" i="1"/>
  <c r="G33" i="1"/>
  <c r="T134" i="2"/>
  <c r="E4" i="11"/>
  <c r="G3" i="17"/>
  <c r="T193" i="2"/>
  <c r="E81" i="1" s="1"/>
  <c r="H34" i="1"/>
  <c r="J34" i="1" s="1"/>
  <c r="K34" i="1" s="1"/>
  <c r="H121" i="1"/>
  <c r="J121" i="1" s="1"/>
  <c r="K121" i="1" s="1"/>
  <c r="G117" i="1"/>
  <c r="G89" i="1"/>
  <c r="G80" i="1"/>
  <c r="H72" i="1"/>
  <c r="M72" i="1" s="1"/>
  <c r="O72" i="1" s="1"/>
  <c r="P72" i="1" s="1"/>
  <c r="H68" i="1"/>
  <c r="M68" i="1" s="1"/>
  <c r="H120" i="1"/>
  <c r="M120" i="1" s="1"/>
  <c r="O120" i="1" s="1"/>
  <c r="P120" i="1" s="1"/>
  <c r="H112" i="1"/>
  <c r="M112" i="1" s="1"/>
  <c r="G88" i="1"/>
  <c r="G66" i="1"/>
  <c r="H41" i="1"/>
  <c r="M41" i="1" s="1"/>
  <c r="O41" i="1" s="1"/>
  <c r="P41" i="1" s="1"/>
  <c r="G37" i="1"/>
  <c r="H23" i="1"/>
  <c r="J23" i="1" s="1"/>
  <c r="K23" i="1" s="1"/>
  <c r="B122" i="11"/>
  <c r="E121" i="11"/>
  <c r="E100" i="11"/>
  <c r="B92" i="11"/>
  <c r="B91" i="11"/>
  <c r="C79" i="11"/>
  <c r="C66" i="11"/>
  <c r="C60" i="11"/>
  <c r="C56" i="11"/>
  <c r="G102" i="1"/>
  <c r="H73" i="1"/>
  <c r="M73" i="1" s="1"/>
  <c r="H64" i="1"/>
  <c r="J64" i="1" s="1"/>
  <c r="K64" i="1" s="1"/>
  <c r="H60" i="1"/>
  <c r="J60" i="1" s="1"/>
  <c r="K60" i="1" s="1"/>
  <c r="G47" i="1"/>
  <c r="H43" i="1"/>
  <c r="M43" i="1" s="1"/>
  <c r="O43" i="1" s="1"/>
  <c r="P43" i="1" s="1"/>
  <c r="H10" i="1"/>
  <c r="M10" i="1" s="1"/>
  <c r="O10" i="1" s="1"/>
  <c r="P10" i="1" s="1"/>
  <c r="C117" i="11"/>
  <c r="C112" i="11"/>
  <c r="C110" i="11"/>
  <c r="C106" i="11"/>
  <c r="C102" i="11"/>
  <c r="F88" i="11"/>
  <c r="E86" i="11"/>
  <c r="B70" i="11"/>
  <c r="E68" i="11"/>
  <c r="I8" i="17"/>
  <c r="I10" i="17" s="1"/>
  <c r="G127" i="1"/>
  <c r="H127" i="1"/>
  <c r="I22" i="17"/>
  <c r="F27" i="17"/>
  <c r="I27" i="17" s="1"/>
  <c r="K8" i="18"/>
  <c r="J73" i="15"/>
  <c r="J77" i="15"/>
  <c r="J76" i="15"/>
  <c r="L25" i="17"/>
  <c r="M25" i="17" s="1"/>
  <c r="I25" i="17"/>
  <c r="I8" i="11"/>
  <c r="I33" i="11"/>
  <c r="I95" i="11"/>
  <c r="I55" i="11"/>
  <c r="I51" i="11"/>
  <c r="I5" i="11"/>
  <c r="I50" i="11"/>
  <c r="I105" i="11"/>
  <c r="I101" i="11"/>
  <c r="I92" i="11"/>
  <c r="I72" i="11"/>
  <c r="I30" i="11"/>
  <c r="B131" i="17"/>
  <c r="G8" i="18"/>
  <c r="F8" i="18"/>
  <c r="I27" i="13"/>
  <c r="I29" i="11"/>
  <c r="I23" i="17"/>
  <c r="K18" i="16"/>
  <c r="F54" i="11"/>
  <c r="C53" i="11"/>
  <c r="F50" i="11"/>
  <c r="C50" i="11"/>
  <c r="F47" i="11"/>
  <c r="E46" i="11"/>
  <c r="E45" i="11"/>
  <c r="B43" i="11"/>
  <c r="B41" i="11"/>
  <c r="B38" i="11"/>
  <c r="E33" i="11"/>
  <c r="E25" i="11"/>
  <c r="E23" i="11"/>
  <c r="E20" i="11"/>
  <c r="E16" i="11"/>
  <c r="E13" i="11"/>
  <c r="B13" i="11"/>
  <c r="E10" i="11"/>
  <c r="B51" i="11"/>
  <c r="C47" i="11"/>
  <c r="F26" i="11"/>
  <c r="F23" i="11"/>
  <c r="F20" i="11"/>
  <c r="C20" i="11"/>
  <c r="C7" i="11"/>
  <c r="G25" i="13"/>
  <c r="H62" i="13"/>
  <c r="M62" i="13" s="1"/>
  <c r="O62" i="13" s="1"/>
  <c r="P62" i="13" s="1"/>
  <c r="G56" i="13"/>
  <c r="H56" i="13"/>
  <c r="M56" i="13" s="1"/>
  <c r="O56" i="13" s="1"/>
  <c r="P56" i="13" s="1"/>
  <c r="G76" i="13"/>
  <c r="H76" i="13"/>
  <c r="J76" i="13" s="1"/>
  <c r="K76" i="13" s="1"/>
  <c r="G119" i="13"/>
  <c r="G104" i="13"/>
  <c r="H69" i="13"/>
  <c r="J69" i="13" s="1"/>
  <c r="K69" i="13" s="1"/>
  <c r="H60" i="13"/>
  <c r="H97" i="13"/>
  <c r="M97" i="13" s="1"/>
  <c r="O97" i="13" s="1"/>
  <c r="P97" i="13" s="1"/>
  <c r="H98" i="13"/>
  <c r="J98" i="13" s="1"/>
  <c r="K98" i="13" s="1"/>
  <c r="H9" i="13"/>
  <c r="M9" i="13" s="1"/>
  <c r="O9" i="13" s="1"/>
  <c r="P9" i="13" s="1"/>
  <c r="G9" i="13"/>
  <c r="H117" i="13"/>
  <c r="M117" i="13" s="1"/>
  <c r="O117" i="13" s="1"/>
  <c r="P117" i="13" s="1"/>
  <c r="G117" i="13"/>
  <c r="H35" i="13"/>
  <c r="M35" i="13" s="1"/>
  <c r="O35" i="13" s="1"/>
  <c r="P35" i="13" s="1"/>
  <c r="G100" i="13"/>
  <c r="H36" i="13"/>
  <c r="M36" i="13" s="1"/>
  <c r="O36" i="13" s="1"/>
  <c r="P36" i="13" s="1"/>
  <c r="G87" i="13"/>
  <c r="H93" i="13"/>
  <c r="M93" i="13" s="1"/>
  <c r="O93" i="13" s="1"/>
  <c r="P93" i="13" s="1"/>
  <c r="H55" i="13"/>
  <c r="H108" i="13"/>
  <c r="M108" i="13" s="1"/>
  <c r="O108" i="13" s="1"/>
  <c r="P108" i="13" s="1"/>
  <c r="H65" i="13"/>
  <c r="H120" i="13"/>
  <c r="M120" i="13" s="1"/>
  <c r="O120" i="13" s="1"/>
  <c r="P120" i="13" s="1"/>
  <c r="H34" i="13"/>
  <c r="M34" i="13" s="1"/>
  <c r="O34" i="13" s="1"/>
  <c r="P34" i="13" s="1"/>
  <c r="H101" i="13"/>
  <c r="M101" i="13" s="1"/>
  <c r="O101" i="13" s="1"/>
  <c r="P101" i="13" s="1"/>
  <c r="H20" i="13"/>
  <c r="G20" i="13"/>
  <c r="G58" i="13"/>
  <c r="H58" i="13"/>
  <c r="M58" i="13" s="1"/>
  <c r="O58" i="13" s="1"/>
  <c r="P58" i="13" s="1"/>
  <c r="H91" i="13"/>
  <c r="G91" i="13"/>
  <c r="G123" i="13"/>
  <c r="H123" i="13"/>
  <c r="M123" i="13" s="1"/>
  <c r="O123" i="13" s="1"/>
  <c r="P123" i="13" s="1"/>
  <c r="G6" i="13"/>
  <c r="H6" i="13"/>
  <c r="J6" i="13" s="1"/>
  <c r="K6" i="13" s="1"/>
  <c r="H47" i="13"/>
  <c r="G47" i="13"/>
  <c r="G52" i="13"/>
  <c r="H52" i="13"/>
  <c r="M52" i="13" s="1"/>
  <c r="O52" i="13" s="1"/>
  <c r="P52" i="13" s="1"/>
  <c r="H71" i="13"/>
  <c r="M71" i="13" s="1"/>
  <c r="O71" i="13" s="1"/>
  <c r="P71" i="13" s="1"/>
  <c r="G71" i="13"/>
  <c r="H114" i="13"/>
  <c r="M114" i="13" s="1"/>
  <c r="O114" i="13" s="1"/>
  <c r="P114" i="13" s="1"/>
  <c r="G114" i="13"/>
  <c r="G18" i="13"/>
  <c r="H18" i="13"/>
  <c r="M18" i="13" s="1"/>
  <c r="O18" i="13" s="1"/>
  <c r="P18" i="13" s="1"/>
  <c r="G11" i="13"/>
  <c r="H11" i="13"/>
  <c r="M11" i="13" s="1"/>
  <c r="O11" i="13" s="1"/>
  <c r="P11" i="13" s="1"/>
  <c r="H41" i="13"/>
  <c r="M41" i="13" s="1"/>
  <c r="O41" i="13" s="1"/>
  <c r="P41" i="13" s="1"/>
  <c r="G41" i="13"/>
  <c r="H51" i="13"/>
  <c r="M51" i="13" s="1"/>
  <c r="O51" i="13" s="1"/>
  <c r="P51" i="13" s="1"/>
  <c r="G51" i="13"/>
  <c r="H125" i="13"/>
  <c r="M125" i="13" s="1"/>
  <c r="O125" i="13" s="1"/>
  <c r="P125" i="13" s="1"/>
  <c r="G125" i="13"/>
  <c r="H4" i="13"/>
  <c r="G4" i="13"/>
  <c r="G129" i="13" s="1"/>
  <c r="G7" i="13"/>
  <c r="H7" i="13"/>
  <c r="J7" i="13" s="1"/>
  <c r="K7" i="13" s="1"/>
  <c r="G68" i="13"/>
  <c r="H68" i="13"/>
  <c r="G99" i="13"/>
  <c r="H99" i="13"/>
  <c r="G79" i="13"/>
  <c r="H79" i="13"/>
  <c r="M79" i="13" s="1"/>
  <c r="O79" i="13" s="1"/>
  <c r="P79" i="13" s="1"/>
  <c r="H92" i="13"/>
  <c r="M92" i="13" s="1"/>
  <c r="O92" i="13" s="1"/>
  <c r="P92" i="13" s="1"/>
  <c r="G92" i="13"/>
  <c r="H124" i="13"/>
  <c r="M124" i="13" s="1"/>
  <c r="O124" i="13" s="1"/>
  <c r="P124" i="13" s="1"/>
  <c r="G124" i="13"/>
  <c r="H66" i="13"/>
  <c r="M66" i="13" s="1"/>
  <c r="O66" i="13" s="1"/>
  <c r="P66" i="13" s="1"/>
  <c r="G64" i="13"/>
  <c r="G31" i="13"/>
  <c r="H57" i="13"/>
  <c r="M57" i="13" s="1"/>
  <c r="O57" i="13" s="1"/>
  <c r="P57" i="13" s="1"/>
  <c r="G61" i="13"/>
  <c r="G94" i="13"/>
  <c r="H50" i="13"/>
  <c r="M50" i="13" s="1"/>
  <c r="O50" i="13" s="1"/>
  <c r="P50" i="13" s="1"/>
  <c r="H63" i="13"/>
  <c r="M63" i="13" s="1"/>
  <c r="O63" i="13" s="1"/>
  <c r="P63" i="13" s="1"/>
  <c r="H86" i="13"/>
  <c r="J86" i="13" s="1"/>
  <c r="K86" i="13" s="1"/>
  <c r="G113" i="13"/>
  <c r="G96" i="13"/>
  <c r="G77" i="13"/>
  <c r="H111" i="13"/>
  <c r="J111" i="13" s="1"/>
  <c r="K111" i="13" s="1"/>
  <c r="G27" i="13"/>
  <c r="H122" i="13"/>
  <c r="M122" i="13" s="1"/>
  <c r="O122" i="13" s="1"/>
  <c r="P122" i="13" s="1"/>
  <c r="G67" i="13"/>
  <c r="H5" i="13"/>
  <c r="M5" i="13" s="1"/>
  <c r="O5" i="13" s="1"/>
  <c r="P5" i="13" s="1"/>
  <c r="G5" i="13"/>
  <c r="G15" i="13"/>
  <c r="H15" i="13"/>
  <c r="M15" i="13" s="1"/>
  <c r="O15" i="13" s="1"/>
  <c r="P15" i="13" s="1"/>
  <c r="G38" i="13"/>
  <c r="H38" i="13"/>
  <c r="J38" i="13" s="1"/>
  <c r="K38" i="13" s="1"/>
  <c r="H116" i="13"/>
  <c r="M116" i="13" s="1"/>
  <c r="O116" i="13" s="1"/>
  <c r="P116" i="13" s="1"/>
  <c r="G116" i="13"/>
  <c r="G118" i="13"/>
  <c r="H118" i="13"/>
  <c r="M118" i="13" s="1"/>
  <c r="O118" i="13" s="1"/>
  <c r="P118" i="13" s="1"/>
  <c r="D8" i="13"/>
  <c r="D130" i="13" s="1"/>
  <c r="N125" i="14"/>
  <c r="G106" i="13"/>
  <c r="G26" i="13"/>
  <c r="H43" i="13"/>
  <c r="H78" i="13"/>
  <c r="H24" i="13"/>
  <c r="M24" i="13" s="1"/>
  <c r="O24" i="13" s="1"/>
  <c r="P24" i="13" s="1"/>
  <c r="G33" i="13"/>
  <c r="G73" i="13"/>
  <c r="H105" i="13"/>
  <c r="M105" i="13" s="1"/>
  <c r="O105" i="13" s="1"/>
  <c r="P105" i="13" s="1"/>
  <c r="G89" i="13"/>
  <c r="H45" i="13"/>
  <c r="M45" i="13" s="1"/>
  <c r="O45" i="13" s="1"/>
  <c r="P45" i="13" s="1"/>
  <c r="H29" i="13"/>
  <c r="G29" i="13"/>
  <c r="H53" i="13"/>
  <c r="G53" i="13"/>
  <c r="H30" i="13"/>
  <c r="M30" i="13" s="1"/>
  <c r="O30" i="13" s="1"/>
  <c r="P30" i="13" s="1"/>
  <c r="G30" i="13"/>
  <c r="H83" i="13"/>
  <c r="G83" i="13"/>
  <c r="H88" i="13"/>
  <c r="M88" i="13" s="1"/>
  <c r="O88" i="13" s="1"/>
  <c r="P88" i="13" s="1"/>
  <c r="G88" i="13"/>
  <c r="G110" i="13"/>
  <c r="H110" i="13"/>
  <c r="M110" i="13" s="1"/>
  <c r="O110" i="13" s="1"/>
  <c r="P110" i="13" s="1"/>
  <c r="H22" i="13"/>
  <c r="M22" i="13" s="1"/>
  <c r="O22" i="13" s="1"/>
  <c r="P22" i="13" s="1"/>
  <c r="G22" i="13"/>
  <c r="H109" i="13"/>
  <c r="M109" i="13" s="1"/>
  <c r="O109" i="13" s="1"/>
  <c r="P109" i="13" s="1"/>
  <c r="G81" i="13"/>
  <c r="G37" i="13"/>
  <c r="H121" i="13"/>
  <c r="M121" i="13" s="1"/>
  <c r="O121" i="13" s="1"/>
  <c r="P121" i="13" s="1"/>
  <c r="N134" i="14"/>
  <c r="G10" i="13"/>
  <c r="H10" i="13"/>
  <c r="M10" i="13" s="1"/>
  <c r="O10" i="13" s="1"/>
  <c r="P10" i="13" s="1"/>
  <c r="H21" i="13"/>
  <c r="M21" i="13" s="1"/>
  <c r="O21" i="13" s="1"/>
  <c r="P21" i="13" s="1"/>
  <c r="G21" i="13"/>
  <c r="H40" i="13"/>
  <c r="M40" i="13" s="1"/>
  <c r="O40" i="13" s="1"/>
  <c r="P40" i="13" s="1"/>
  <c r="G40" i="13"/>
  <c r="G49" i="13"/>
  <c r="H49" i="13"/>
  <c r="M49" i="13" s="1"/>
  <c r="O49" i="13" s="1"/>
  <c r="P49" i="13" s="1"/>
  <c r="G13" i="13"/>
  <c r="H13" i="13"/>
  <c r="H16" i="13"/>
  <c r="M16" i="13" s="1"/>
  <c r="O16" i="13" s="1"/>
  <c r="P16" i="13" s="1"/>
  <c r="G16" i="13"/>
  <c r="H17" i="13"/>
  <c r="G17" i="13"/>
  <c r="G19" i="13"/>
  <c r="H19" i="13"/>
  <c r="G23" i="13"/>
  <c r="H23" i="13"/>
  <c r="H28" i="13"/>
  <c r="G28" i="13"/>
  <c r="H54" i="13"/>
  <c r="M54" i="13" s="1"/>
  <c r="O54" i="13" s="1"/>
  <c r="P54" i="13" s="1"/>
  <c r="G54" i="13"/>
  <c r="G82" i="13"/>
  <c r="H82" i="13"/>
  <c r="H95" i="13"/>
  <c r="G95" i="13"/>
  <c r="G107" i="13"/>
  <c r="H107" i="13"/>
  <c r="G59" i="13"/>
  <c r="H74" i="13"/>
  <c r="G119" i="10"/>
  <c r="H15" i="10"/>
  <c r="J15" i="10" s="1"/>
  <c r="K15" i="10" s="1"/>
  <c r="G17" i="10"/>
  <c r="G20" i="10"/>
  <c r="G32" i="10"/>
  <c r="G37" i="10"/>
  <c r="G41" i="10"/>
  <c r="H45" i="10"/>
  <c r="M45" i="10" s="1"/>
  <c r="O45" i="10" s="1"/>
  <c r="P45" i="10" s="1"/>
  <c r="H47" i="10"/>
  <c r="J47" i="10" s="1"/>
  <c r="K47" i="10" s="1"/>
  <c r="G50" i="10"/>
  <c r="G52" i="10"/>
  <c r="H65" i="10"/>
  <c r="M65" i="10" s="1"/>
  <c r="O65" i="10" s="1"/>
  <c r="P65" i="10" s="1"/>
  <c r="G72" i="10"/>
  <c r="H74" i="10"/>
  <c r="M74" i="10" s="1"/>
  <c r="O74" i="10" s="1"/>
  <c r="P74" i="10" s="1"/>
  <c r="G78" i="10"/>
  <c r="H80" i="10"/>
  <c r="M80" i="10" s="1"/>
  <c r="O80" i="10" s="1"/>
  <c r="P80" i="10" s="1"/>
  <c r="B87" i="11"/>
  <c r="B5" i="11"/>
  <c r="H98" i="10"/>
  <c r="J98" i="10" s="1"/>
  <c r="K98" i="10" s="1"/>
  <c r="G70" i="10"/>
  <c r="H85" i="10"/>
  <c r="J85" i="10" s="1"/>
  <c r="K85" i="10" s="1"/>
  <c r="H91" i="10"/>
  <c r="M91" i="10" s="1"/>
  <c r="O91" i="10" s="1"/>
  <c r="P91" i="10" s="1"/>
  <c r="G55" i="10"/>
  <c r="G67" i="10"/>
  <c r="G85" i="10"/>
  <c r="C123" i="11"/>
  <c r="F122" i="11"/>
  <c r="C122" i="11"/>
  <c r="F121" i="11"/>
  <c r="C121" i="11"/>
  <c r="F120" i="11"/>
  <c r="C120" i="11"/>
  <c r="F119" i="11"/>
  <c r="C119" i="11"/>
  <c r="F118" i="11"/>
  <c r="C118" i="11"/>
  <c r="F117" i="11"/>
  <c r="F116" i="11"/>
  <c r="C116" i="11"/>
  <c r="F115" i="11"/>
  <c r="C115" i="11"/>
  <c r="F114" i="11"/>
  <c r="C114" i="11"/>
  <c r="F113" i="11"/>
  <c r="C113" i="11"/>
  <c r="F112" i="11"/>
  <c r="F111" i="11"/>
  <c r="C111" i="11"/>
  <c r="F110" i="11"/>
  <c r="F109" i="11"/>
  <c r="C109" i="11"/>
  <c r="C108" i="11"/>
  <c r="F107" i="11"/>
  <c r="C107" i="11"/>
  <c r="F106" i="11"/>
  <c r="F105" i="11"/>
  <c r="D96" i="11"/>
  <c r="C105" i="11"/>
  <c r="F104" i="11"/>
  <c r="C104" i="11"/>
  <c r="F103" i="11"/>
  <c r="C103" i="11"/>
  <c r="F102" i="11"/>
  <c r="F101" i="11"/>
  <c r="C101" i="11"/>
  <c r="F100" i="11"/>
  <c r="C100" i="11"/>
  <c r="F99" i="11"/>
  <c r="C99" i="11"/>
  <c r="F98" i="11"/>
  <c r="C98" i="11"/>
  <c r="F97" i="11"/>
  <c r="C97" i="11"/>
  <c r="F96" i="11"/>
  <c r="C96" i="11"/>
  <c r="F95" i="11"/>
  <c r="C95" i="11"/>
  <c r="F94" i="11"/>
  <c r="C94" i="11"/>
  <c r="F93" i="11"/>
  <c r="C93" i="11"/>
  <c r="F92" i="11"/>
  <c r="C92" i="11"/>
  <c r="F91" i="11"/>
  <c r="C91" i="11"/>
  <c r="F90" i="11"/>
  <c r="C90" i="11"/>
  <c r="F89" i="11"/>
  <c r="C89" i="11"/>
  <c r="C88" i="11"/>
  <c r="F87" i="11"/>
  <c r="C86" i="11"/>
  <c r="F85" i="11"/>
  <c r="C85" i="11"/>
  <c r="F84" i="11"/>
  <c r="C84" i="11"/>
  <c r="F83" i="11"/>
  <c r="C83" i="11"/>
  <c r="F82" i="11"/>
  <c r="C82" i="11"/>
  <c r="F80" i="11"/>
  <c r="C80" i="11"/>
  <c r="F79" i="11"/>
  <c r="F78" i="11"/>
  <c r="C78" i="11"/>
  <c r="F77" i="11"/>
  <c r="C77" i="11"/>
  <c r="F76" i="11"/>
  <c r="C76" i="11"/>
  <c r="F75" i="11"/>
  <c r="F74" i="11"/>
  <c r="C74" i="11"/>
  <c r="F73" i="11"/>
  <c r="C73" i="11"/>
  <c r="F72" i="11"/>
  <c r="C72" i="11"/>
  <c r="F71" i="11"/>
  <c r="C71" i="11"/>
  <c r="F70" i="11"/>
  <c r="C70" i="11"/>
  <c r="F69" i="11"/>
  <c r="C69" i="11"/>
  <c r="F68" i="11"/>
  <c r="C68" i="11"/>
  <c r="F66" i="11"/>
  <c r="F65" i="11"/>
  <c r="C65" i="11"/>
  <c r="F64" i="11"/>
  <c r="F63" i="11"/>
  <c r="C63" i="11"/>
  <c r="F62" i="11"/>
  <c r="C62" i="11"/>
  <c r="F61" i="11"/>
  <c r="C61" i="11"/>
  <c r="F60" i="11"/>
  <c r="F59" i="11"/>
  <c r="F58" i="11"/>
  <c r="C58" i="11"/>
  <c r="F57" i="11"/>
  <c r="C57" i="11"/>
  <c r="F56" i="11"/>
  <c r="F55" i="11"/>
  <c r="E91" i="11"/>
  <c r="E90" i="11"/>
  <c r="E89" i="11"/>
  <c r="B89" i="11"/>
  <c r="E88" i="11"/>
  <c r="E87" i="11"/>
  <c r="E85" i="11"/>
  <c r="B85" i="11"/>
  <c r="E84" i="11"/>
  <c r="E83" i="11"/>
  <c r="E82" i="11"/>
  <c r="B82" i="11"/>
  <c r="E80" i="11"/>
  <c r="B80" i="11"/>
  <c r="E79" i="11"/>
  <c r="B79" i="11"/>
  <c r="E78" i="11"/>
  <c r="B78" i="11"/>
  <c r="E77" i="11"/>
  <c r="E76" i="11"/>
  <c r="B76" i="11"/>
  <c r="E75" i="11"/>
  <c r="E74" i="11"/>
  <c r="B74" i="11"/>
  <c r="E73" i="11"/>
  <c r="B73" i="11"/>
  <c r="E72" i="11"/>
  <c r="B72" i="11"/>
  <c r="E71" i="11"/>
  <c r="E70" i="11"/>
  <c r="E69" i="11"/>
  <c r="B68" i="11"/>
  <c r="E66" i="11"/>
  <c r="B66" i="11"/>
  <c r="E65" i="11"/>
  <c r="B65" i="11"/>
  <c r="E64" i="11"/>
  <c r="B64" i="11"/>
  <c r="E63" i="11"/>
  <c r="B63" i="11"/>
  <c r="E62" i="11"/>
  <c r="E61" i="11"/>
  <c r="B61" i="11"/>
  <c r="E60" i="11"/>
  <c r="E59" i="11"/>
  <c r="B59" i="11"/>
  <c r="E58" i="11"/>
  <c r="E57" i="11"/>
  <c r="B57" i="11"/>
  <c r="E56" i="11"/>
  <c r="E55" i="11"/>
  <c r="G4" i="10"/>
  <c r="G129" i="10" s="1"/>
  <c r="H35" i="10"/>
  <c r="D86" i="11"/>
  <c r="G36" i="10"/>
  <c r="H31" i="10"/>
  <c r="M31" i="10" s="1"/>
  <c r="O31" i="10" s="1"/>
  <c r="P31" i="10" s="1"/>
  <c r="G9" i="10"/>
  <c r="H27" i="10"/>
  <c r="M27" i="10" s="1"/>
  <c r="O27" i="10" s="1"/>
  <c r="P27" i="10" s="1"/>
  <c r="G88" i="10"/>
  <c r="D88" i="11"/>
  <c r="D122" i="11"/>
  <c r="D118" i="11"/>
  <c r="D114" i="11"/>
  <c r="D110" i="11"/>
  <c r="D98" i="11"/>
  <c r="D94" i="11"/>
  <c r="D90" i="11"/>
  <c r="D69" i="11"/>
  <c r="D52" i="11"/>
  <c r="D39" i="11"/>
  <c r="D15" i="11"/>
  <c r="H123" i="10"/>
  <c r="M123" i="10" s="1"/>
  <c r="O123" i="10" s="1"/>
  <c r="P123" i="10" s="1"/>
  <c r="H121" i="10"/>
  <c r="M121" i="10" s="1"/>
  <c r="O121" i="10" s="1"/>
  <c r="P121" i="10" s="1"/>
  <c r="G120" i="10"/>
  <c r="H119" i="10"/>
  <c r="M119" i="10" s="1"/>
  <c r="O119" i="10" s="1"/>
  <c r="P119" i="10" s="1"/>
  <c r="G115" i="10"/>
  <c r="H104" i="10"/>
  <c r="M104" i="10" s="1"/>
  <c r="O104" i="10" s="1"/>
  <c r="P104" i="10" s="1"/>
  <c r="G98" i="10"/>
  <c r="H95" i="10"/>
  <c r="M95" i="10" s="1"/>
  <c r="O95" i="10" s="1"/>
  <c r="P95" i="10" s="1"/>
  <c r="G95" i="10"/>
  <c r="G94" i="10"/>
  <c r="H94" i="10"/>
  <c r="M94" i="10" s="1"/>
  <c r="O94" i="10" s="1"/>
  <c r="P94" i="10" s="1"/>
  <c r="H92" i="10"/>
  <c r="H90" i="10"/>
  <c r="M90" i="10" s="1"/>
  <c r="O90" i="10" s="1"/>
  <c r="P90" i="10" s="1"/>
  <c r="G89" i="10"/>
  <c r="H86" i="10"/>
  <c r="M86" i="10" s="1"/>
  <c r="O86" i="10" s="1"/>
  <c r="P86" i="10" s="1"/>
  <c r="H84" i="10"/>
  <c r="B83" i="11"/>
  <c r="H83" i="10"/>
  <c r="G76" i="10"/>
  <c r="G75" i="10"/>
  <c r="G74" i="10"/>
  <c r="G73" i="10"/>
  <c r="H70" i="10"/>
  <c r="M70" i="10" s="1"/>
  <c r="O70" i="10" s="1"/>
  <c r="P70" i="10" s="1"/>
  <c r="G64" i="10"/>
  <c r="G63" i="10"/>
  <c r="G59" i="10"/>
  <c r="B58" i="11"/>
  <c r="G58" i="10"/>
  <c r="G47" i="10"/>
  <c r="B46" i="11"/>
  <c r="G46" i="10"/>
  <c r="H44" i="10"/>
  <c r="M44" i="10" s="1"/>
  <c r="O44" i="10" s="1"/>
  <c r="P44" i="10" s="1"/>
  <c r="H43" i="10"/>
  <c r="B42" i="11"/>
  <c r="H42" i="10"/>
  <c r="J42" i="10" s="1"/>
  <c r="K42" i="10" s="1"/>
  <c r="H40" i="10"/>
  <c r="M40" i="10" s="1"/>
  <c r="O40" i="10" s="1"/>
  <c r="P40" i="10" s="1"/>
  <c r="B37" i="11"/>
  <c r="H37" i="10"/>
  <c r="M37" i="10" s="1"/>
  <c r="O37" i="10" s="1"/>
  <c r="P37" i="10" s="1"/>
  <c r="B29" i="11"/>
  <c r="H29" i="10"/>
  <c r="M29" i="10" s="1"/>
  <c r="O29" i="10" s="1"/>
  <c r="P29" i="10" s="1"/>
  <c r="G29" i="10"/>
  <c r="H28" i="10"/>
  <c r="J28" i="10" s="1"/>
  <c r="K28" i="10" s="1"/>
  <c r="G28" i="10"/>
  <c r="G25" i="10"/>
  <c r="H25" i="10"/>
  <c r="M25" i="10" s="1"/>
  <c r="O25" i="10" s="1"/>
  <c r="P25" i="10" s="1"/>
  <c r="H24" i="10"/>
  <c r="M24" i="10" s="1"/>
  <c r="O24" i="10" s="1"/>
  <c r="P24" i="10" s="1"/>
  <c r="G23" i="10"/>
  <c r="H23" i="10"/>
  <c r="M23" i="10" s="1"/>
  <c r="O23" i="10" s="1"/>
  <c r="P23" i="10" s="1"/>
  <c r="H21" i="10"/>
  <c r="M21" i="10" s="1"/>
  <c r="O21" i="10" s="1"/>
  <c r="P21" i="10" s="1"/>
  <c r="H20" i="10"/>
  <c r="H17" i="10"/>
  <c r="M17" i="10" s="1"/>
  <c r="O17" i="10" s="1"/>
  <c r="P17" i="10" s="1"/>
  <c r="H11" i="10"/>
  <c r="M11" i="10" s="1"/>
  <c r="O11" i="10" s="1"/>
  <c r="P11" i="10" s="1"/>
  <c r="B11" i="11"/>
  <c r="H10" i="10"/>
  <c r="G7" i="10"/>
  <c r="B7" i="11"/>
  <c r="G30" i="10"/>
  <c r="H30" i="10"/>
  <c r="G18" i="10"/>
  <c r="H18" i="10"/>
  <c r="M18" i="10" s="1"/>
  <c r="O18" i="10" s="1"/>
  <c r="P18" i="10" s="1"/>
  <c r="H52" i="10"/>
  <c r="J52" i="10" s="1"/>
  <c r="K52" i="10" s="1"/>
  <c r="D108" i="11"/>
  <c r="D104" i="11"/>
  <c r="D100" i="11"/>
  <c r="D92" i="11"/>
  <c r="D84" i="11"/>
  <c r="D79" i="11"/>
  <c r="D62" i="11"/>
  <c r="D28" i="11"/>
  <c r="D17" i="11"/>
  <c r="D6" i="11"/>
  <c r="G90" i="10"/>
  <c r="H89" i="10"/>
  <c r="M89" i="10" s="1"/>
  <c r="O89" i="10" s="1"/>
  <c r="P89" i="10" s="1"/>
  <c r="G86" i="10"/>
  <c r="H76" i="10"/>
  <c r="G66" i="10"/>
  <c r="G65" i="10"/>
  <c r="H64" i="10"/>
  <c r="M64" i="10" s="1"/>
  <c r="O64" i="10" s="1"/>
  <c r="P64" i="10" s="1"/>
  <c r="G56" i="10"/>
  <c r="G54" i="10"/>
  <c r="H54" i="10"/>
  <c r="M54" i="10" s="1"/>
  <c r="O54" i="10" s="1"/>
  <c r="P54" i="10" s="1"/>
  <c r="H48" i="10"/>
  <c r="M48" i="10" s="1"/>
  <c r="O48" i="10" s="1"/>
  <c r="P48" i="10" s="1"/>
  <c r="G49" i="10"/>
  <c r="H49" i="10"/>
  <c r="M49" i="10" s="1"/>
  <c r="O49" i="10" s="1"/>
  <c r="P49" i="10" s="1"/>
  <c r="D109" i="11"/>
  <c r="D93" i="11"/>
  <c r="D63" i="11"/>
  <c r="D59" i="11"/>
  <c r="H118" i="10"/>
  <c r="M118" i="10" s="1"/>
  <c r="O118" i="10" s="1"/>
  <c r="P118" i="10" s="1"/>
  <c r="G118" i="10"/>
  <c r="G117" i="10"/>
  <c r="H117" i="10"/>
  <c r="G116" i="10"/>
  <c r="H115" i="10"/>
  <c r="M115" i="10" s="1"/>
  <c r="O115" i="10" s="1"/>
  <c r="P115" i="10" s="1"/>
  <c r="G114" i="10"/>
  <c r="H114" i="10"/>
  <c r="M114" i="10" s="1"/>
  <c r="O114" i="10" s="1"/>
  <c r="P114" i="10" s="1"/>
  <c r="H113" i="10"/>
  <c r="G113" i="10"/>
  <c r="H112" i="10"/>
  <c r="M112" i="10" s="1"/>
  <c r="O112" i="10" s="1"/>
  <c r="P112" i="10" s="1"/>
  <c r="G112" i="10"/>
  <c r="G111" i="10"/>
  <c r="H110" i="10"/>
  <c r="G109" i="10"/>
  <c r="H109" i="10"/>
  <c r="B108" i="11"/>
  <c r="H108" i="10"/>
  <c r="H107" i="10"/>
  <c r="M107" i="10" s="1"/>
  <c r="O107" i="10" s="1"/>
  <c r="P107" i="10" s="1"/>
  <c r="G107" i="10"/>
  <c r="G106" i="10"/>
  <c r="G105" i="10"/>
  <c r="H105" i="10"/>
  <c r="H103" i="10"/>
  <c r="M103" i="10" s="1"/>
  <c r="O103" i="10" s="1"/>
  <c r="P103" i="10" s="1"/>
  <c r="G103" i="10"/>
  <c r="G102" i="10"/>
  <c r="H102" i="10"/>
  <c r="H101" i="10"/>
  <c r="H100" i="10"/>
  <c r="G100" i="10"/>
  <c r="H99" i="10"/>
  <c r="M99" i="10" s="1"/>
  <c r="O99" i="10" s="1"/>
  <c r="P99" i="10" s="1"/>
  <c r="G99" i="10"/>
  <c r="H97" i="10"/>
  <c r="H96" i="10"/>
  <c r="G92" i="10"/>
  <c r="G110" i="10"/>
  <c r="G108" i="10"/>
  <c r="H116" i="10"/>
  <c r="G101" i="10"/>
  <c r="N134" i="12"/>
  <c r="G122" i="10"/>
  <c r="H106" i="10"/>
  <c r="G97" i="10"/>
  <c r="H122" i="10"/>
  <c r="G123" i="10"/>
  <c r="G121" i="10"/>
  <c r="H120" i="10"/>
  <c r="G93" i="10"/>
  <c r="H93" i="10"/>
  <c r="D127" i="10"/>
  <c r="G81" i="10"/>
  <c r="H111" i="10"/>
  <c r="M111" i="10" s="1"/>
  <c r="O111" i="10" s="1"/>
  <c r="P111" i="10" s="1"/>
  <c r="B123" i="11"/>
  <c r="B121" i="11"/>
  <c r="B119" i="11"/>
  <c r="E118" i="11"/>
  <c r="E117" i="11"/>
  <c r="E116" i="11"/>
  <c r="B115" i="11"/>
  <c r="B113" i="11"/>
  <c r="E111" i="11"/>
  <c r="E110" i="11"/>
  <c r="B109" i="11"/>
  <c r="E107" i="11"/>
  <c r="E105" i="11"/>
  <c r="E104" i="11"/>
  <c r="B103" i="11"/>
  <c r="E102" i="11"/>
  <c r="E101" i="11"/>
  <c r="B99" i="11"/>
  <c r="E97" i="11"/>
  <c r="B96" i="11"/>
  <c r="B95" i="11"/>
  <c r="E93" i="11"/>
  <c r="G91" i="10"/>
  <c r="G83" i="10"/>
  <c r="G80" i="10"/>
  <c r="H79" i="10"/>
  <c r="M79" i="10" s="1"/>
  <c r="O79" i="10" s="1"/>
  <c r="P79" i="10" s="1"/>
  <c r="G79" i="10"/>
  <c r="H78" i="10"/>
  <c r="M78" i="10" s="1"/>
  <c r="O78" i="10" s="1"/>
  <c r="P78" i="10" s="1"/>
  <c r="G77" i="10"/>
  <c r="C75" i="11"/>
  <c r="H75" i="10"/>
  <c r="H73" i="10"/>
  <c r="H72" i="10"/>
  <c r="M72" i="10" s="1"/>
  <c r="O72" i="10" s="1"/>
  <c r="P72" i="10" s="1"/>
  <c r="H71" i="10"/>
  <c r="G71" i="10"/>
  <c r="H68" i="10"/>
  <c r="M68" i="10" s="1"/>
  <c r="O68" i="10" s="1"/>
  <c r="P68" i="10" s="1"/>
  <c r="G68" i="10"/>
  <c r="H63" i="10"/>
  <c r="G62" i="10"/>
  <c r="H61" i="10"/>
  <c r="H60" i="10"/>
  <c r="G60" i="10"/>
  <c r="H59" i="10"/>
  <c r="M59" i="10" s="1"/>
  <c r="O59" i="10" s="1"/>
  <c r="P59" i="10" s="1"/>
  <c r="C59" i="11"/>
  <c r="G57" i="10"/>
  <c r="H55" i="10"/>
  <c r="H53" i="10"/>
  <c r="M53" i="10" s="1"/>
  <c r="O53" i="10" s="1"/>
  <c r="P53" i="10" s="1"/>
  <c r="H51" i="10"/>
  <c r="H50" i="10"/>
  <c r="M50" i="10" s="1"/>
  <c r="O50" i="10" s="1"/>
  <c r="P50" i="10" s="1"/>
  <c r="H46" i="10"/>
  <c r="G45" i="10"/>
  <c r="G44" i="10"/>
  <c r="G43" i="10"/>
  <c r="G42" i="10"/>
  <c r="H41" i="10"/>
  <c r="M41" i="10" s="1"/>
  <c r="O41" i="10" s="1"/>
  <c r="P41" i="10" s="1"/>
  <c r="G40" i="10"/>
  <c r="H39" i="10"/>
  <c r="M39" i="10" s="1"/>
  <c r="O39" i="10" s="1"/>
  <c r="P39" i="10" s="1"/>
  <c r="G39" i="10"/>
  <c r="H38" i="10"/>
  <c r="G33" i="10"/>
  <c r="H33" i="10"/>
  <c r="H32" i="10"/>
  <c r="M32" i="10" s="1"/>
  <c r="O32" i="10" s="1"/>
  <c r="P32" i="10" s="1"/>
  <c r="G26" i="10"/>
  <c r="G21" i="10"/>
  <c r="H19" i="10"/>
  <c r="M19" i="10" s="1"/>
  <c r="O19" i="10" s="1"/>
  <c r="P19" i="10" s="1"/>
  <c r="G19" i="10"/>
  <c r="H16" i="10"/>
  <c r="M16" i="10" s="1"/>
  <c r="O16" i="10" s="1"/>
  <c r="P16" i="10" s="1"/>
  <c r="G16" i="10"/>
  <c r="G15" i="10"/>
  <c r="H13" i="10"/>
  <c r="G13" i="10"/>
  <c r="G12" i="10"/>
  <c r="H12" i="10"/>
  <c r="M12" i="10" s="1"/>
  <c r="O12" i="10" s="1"/>
  <c r="P12" i="10" s="1"/>
  <c r="G11" i="10"/>
  <c r="G10" i="10"/>
  <c r="G6" i="10"/>
  <c r="H6" i="10"/>
  <c r="M6" i="10" s="1"/>
  <c r="O6" i="10" s="1"/>
  <c r="P6" i="10" s="1"/>
  <c r="H5" i="10"/>
  <c r="E122" i="11"/>
  <c r="E120" i="11"/>
  <c r="E119" i="11"/>
  <c r="B118" i="11"/>
  <c r="B117" i="11"/>
  <c r="E115" i="11"/>
  <c r="E114" i="11"/>
  <c r="E113" i="11"/>
  <c r="E112" i="11"/>
  <c r="B111" i="11"/>
  <c r="E109" i="11"/>
  <c r="E108" i="11"/>
  <c r="E106" i="11"/>
  <c r="B105" i="11"/>
  <c r="E103" i="11"/>
  <c r="B102" i="11"/>
  <c r="B101" i="11"/>
  <c r="E99" i="11"/>
  <c r="E98" i="11"/>
  <c r="B97" i="11"/>
  <c r="E96" i="11"/>
  <c r="E95" i="11"/>
  <c r="E94" i="11"/>
  <c r="B94" i="11"/>
  <c r="E92" i="11"/>
  <c r="H125" i="10"/>
  <c r="M125" i="10" s="1"/>
  <c r="O125" i="10" s="1"/>
  <c r="P125" i="10" s="1"/>
  <c r="G125" i="10"/>
  <c r="H124" i="10"/>
  <c r="H87" i="10"/>
  <c r="M87" i="10" s="1"/>
  <c r="O87" i="10" s="1"/>
  <c r="P87" i="10" s="1"/>
  <c r="G87" i="10"/>
  <c r="G124" i="10"/>
  <c r="G61" i="10"/>
  <c r="C64" i="11"/>
  <c r="H62" i="10"/>
  <c r="M62" i="10" s="1"/>
  <c r="O62" i="10" s="1"/>
  <c r="P62" i="10" s="1"/>
  <c r="H56" i="10"/>
  <c r="M56" i="10" s="1"/>
  <c r="O56" i="10" s="1"/>
  <c r="P56" i="10" s="1"/>
  <c r="H57" i="10"/>
  <c r="D55" i="11"/>
  <c r="D46" i="11"/>
  <c r="D38" i="11"/>
  <c r="D7" i="11"/>
  <c r="G84" i="10"/>
  <c r="D111" i="11"/>
  <c r="D107" i="11"/>
  <c r="D5" i="11"/>
  <c r="O176" i="2"/>
  <c r="G5" i="1"/>
  <c r="H118" i="1"/>
  <c r="M118" i="1" s="1"/>
  <c r="O118" i="1" s="1"/>
  <c r="P118" i="1" s="1"/>
  <c r="G28" i="1"/>
  <c r="G7" i="1"/>
  <c r="H116" i="1"/>
  <c r="J116" i="1" s="1"/>
  <c r="K116" i="1" s="1"/>
  <c r="G111" i="1"/>
  <c r="G122" i="1"/>
  <c r="H71" i="1"/>
  <c r="H11" i="1"/>
  <c r="J11" i="1" s="1"/>
  <c r="K11" i="1" s="1"/>
  <c r="G73" i="1"/>
  <c r="H102" i="1"/>
  <c r="J102" i="1" s="1"/>
  <c r="K102" i="1" s="1"/>
  <c r="N185" i="2"/>
  <c r="D27" i="1" s="1"/>
  <c r="D27" i="11" s="1"/>
  <c r="N186" i="2"/>
  <c r="D36" i="1" s="1"/>
  <c r="D36" i="11" s="1"/>
  <c r="N181" i="2"/>
  <c r="D9" i="1" s="1"/>
  <c r="G9" i="1" s="1"/>
  <c r="G23" i="1"/>
  <c r="D99" i="11"/>
  <c r="G124" i="1"/>
  <c r="H124" i="1"/>
  <c r="B124" i="11"/>
  <c r="B120" i="11"/>
  <c r="G120" i="1"/>
  <c r="G118" i="1"/>
  <c r="G116" i="1"/>
  <c r="B114" i="11"/>
  <c r="H114" i="1"/>
  <c r="G114" i="1"/>
  <c r="B112" i="11"/>
  <c r="G112" i="1"/>
  <c r="B110" i="11"/>
  <c r="H110" i="1"/>
  <c r="J110" i="1" s="1"/>
  <c r="K110" i="1" s="1"/>
  <c r="G110" i="1"/>
  <c r="G108" i="1"/>
  <c r="G107" i="1"/>
  <c r="B106" i="11"/>
  <c r="H106" i="1"/>
  <c r="J106" i="1" s="1"/>
  <c r="K106" i="1" s="1"/>
  <c r="G106" i="1"/>
  <c r="B104" i="11"/>
  <c r="G104" i="1"/>
  <c r="H100" i="1"/>
  <c r="J100" i="1" s="1"/>
  <c r="K100" i="1" s="1"/>
  <c r="G100" i="1"/>
  <c r="H98" i="1"/>
  <c r="B98" i="11"/>
  <c r="H94" i="1"/>
  <c r="B93" i="11"/>
  <c r="G93" i="1"/>
  <c r="G92" i="1"/>
  <c r="H92" i="1"/>
  <c r="J92" i="1" s="1"/>
  <c r="K92" i="1" s="1"/>
  <c r="B90" i="11"/>
  <c r="G90" i="1"/>
  <c r="H90" i="1"/>
  <c r="J90" i="1" s="1"/>
  <c r="K90" i="1" s="1"/>
  <c r="B88" i="11"/>
  <c r="H88" i="1"/>
  <c r="G86" i="1"/>
  <c r="B84" i="11"/>
  <c r="G84" i="1"/>
  <c r="H83" i="1"/>
  <c r="G77" i="1"/>
  <c r="B77" i="11"/>
  <c r="B75" i="11"/>
  <c r="H75" i="1"/>
  <c r="M75" i="1" s="1"/>
  <c r="G70" i="1"/>
  <c r="H69" i="1"/>
  <c r="J69" i="1" s="1"/>
  <c r="K69" i="1" s="1"/>
  <c r="G69" i="1"/>
  <c r="H65" i="1"/>
  <c r="M65" i="1" s="1"/>
  <c r="G62" i="1"/>
  <c r="B62" i="11"/>
  <c r="B60" i="11"/>
  <c r="G60" i="1"/>
  <c r="H58" i="1"/>
  <c r="H56" i="1"/>
  <c r="H55" i="1"/>
  <c r="G55" i="1"/>
  <c r="B52" i="11"/>
  <c r="H52" i="1"/>
  <c r="H46" i="1"/>
  <c r="M46" i="1" s="1"/>
  <c r="G42" i="1"/>
  <c r="C42" i="11"/>
  <c r="G39" i="1"/>
  <c r="H39" i="1"/>
  <c r="M39" i="1" s="1"/>
  <c r="C38" i="11"/>
  <c r="H38" i="1"/>
  <c r="H33" i="1"/>
  <c r="J33" i="1" s="1"/>
  <c r="K33" i="1" s="1"/>
  <c r="C28" i="11"/>
  <c r="H28" i="1"/>
  <c r="J28" i="1" s="1"/>
  <c r="K28" i="1" s="1"/>
  <c r="G10" i="1"/>
  <c r="C10" i="11"/>
  <c r="B69" i="11"/>
  <c r="G79" i="1"/>
  <c r="C39" i="11"/>
  <c r="H104" i="1"/>
  <c r="G19" i="1"/>
  <c r="H96" i="1"/>
  <c r="G48" i="1"/>
  <c r="G98" i="1"/>
  <c r="H40" i="1"/>
  <c r="J40" i="1" s="1"/>
  <c r="K40" i="1" s="1"/>
  <c r="H84" i="1"/>
  <c r="M84" i="1" s="1"/>
  <c r="G78" i="1"/>
  <c r="B55" i="11"/>
  <c r="G64" i="1"/>
  <c r="D73" i="11"/>
  <c r="D115" i="11"/>
  <c r="B100" i="11"/>
  <c r="D121" i="11"/>
  <c r="B71" i="11"/>
  <c r="C11" i="11"/>
  <c r="H93" i="1"/>
  <c r="J93" i="1" s="1"/>
  <c r="K93" i="1" s="1"/>
  <c r="G91" i="1"/>
  <c r="D91" i="11"/>
  <c r="H77" i="1"/>
  <c r="J77" i="1" s="1"/>
  <c r="K77" i="1" s="1"/>
  <c r="D77" i="11"/>
  <c r="G58" i="1"/>
  <c r="D58" i="11"/>
  <c r="G32" i="1"/>
  <c r="D32" i="11"/>
  <c r="H20" i="1"/>
  <c r="J20" i="1" s="1"/>
  <c r="K20" i="1" s="1"/>
  <c r="D20" i="11"/>
  <c r="O190" i="2"/>
  <c r="N190" i="2"/>
  <c r="D30" i="1" s="1"/>
  <c r="G96" i="1"/>
  <c r="G46" i="1"/>
  <c r="H62" i="1"/>
  <c r="G94" i="1"/>
  <c r="B56" i="11"/>
  <c r="H47" i="1"/>
  <c r="H89" i="1"/>
  <c r="H108" i="1"/>
  <c r="H86" i="1"/>
  <c r="J86" i="1" s="1"/>
  <c r="K86" i="1" s="1"/>
  <c r="D23" i="11"/>
  <c r="B86" i="11"/>
  <c r="B116" i="11"/>
  <c r="B107" i="11"/>
  <c r="D67" i="11"/>
  <c r="H67" i="1"/>
  <c r="G67" i="1"/>
  <c r="D123" i="11"/>
  <c r="H123" i="1"/>
  <c r="J123" i="1" s="1"/>
  <c r="K123" i="1" s="1"/>
  <c r="D119" i="11"/>
  <c r="H119" i="1"/>
  <c r="J119" i="1" s="1"/>
  <c r="K119" i="1" s="1"/>
  <c r="D103" i="11"/>
  <c r="H103" i="1"/>
  <c r="D95" i="11"/>
  <c r="H95" i="1"/>
  <c r="D87" i="11"/>
  <c r="H87" i="1"/>
  <c r="D83" i="11"/>
  <c r="G83" i="1"/>
  <c r="D75" i="11"/>
  <c r="G75" i="1"/>
  <c r="G71" i="1"/>
  <c r="D71" i="11"/>
  <c r="D56" i="11"/>
  <c r="G56" i="1"/>
  <c r="H54" i="1"/>
  <c r="D54" i="11"/>
  <c r="G50" i="1"/>
  <c r="H50" i="1"/>
  <c r="G45" i="1"/>
  <c r="H45" i="1"/>
  <c r="D37" i="11"/>
  <c r="H37" i="1"/>
  <c r="J37" i="1" s="1"/>
  <c r="K37" i="1" s="1"/>
  <c r="G25" i="1"/>
  <c r="D25" i="11"/>
  <c r="H15" i="1"/>
  <c r="G15" i="1"/>
  <c r="G12" i="1"/>
  <c r="H12" i="1"/>
  <c r="J12" i="1" s="1"/>
  <c r="K12" i="1" s="1"/>
  <c r="G35" i="1"/>
  <c r="D35" i="11"/>
  <c r="O189" i="2"/>
  <c r="N134" i="2"/>
  <c r="O178" i="2"/>
  <c r="H5" i="1"/>
  <c r="H7" i="1"/>
  <c r="M7" i="1" s="1"/>
  <c r="D41" i="11"/>
  <c r="G20" i="1"/>
  <c r="G87" i="1"/>
  <c r="H91" i="1"/>
  <c r="J91" i="1" s="1"/>
  <c r="K91" i="1" s="1"/>
  <c r="H6" i="1"/>
  <c r="J6" i="1" s="1"/>
  <c r="K6" i="1" s="1"/>
  <c r="H25" i="1"/>
  <c r="J25" i="1" s="1"/>
  <c r="K25" i="1" s="1"/>
  <c r="G41" i="1"/>
  <c r="H107" i="1"/>
  <c r="M107" i="1" s="1"/>
  <c r="G99" i="1"/>
  <c r="G38" i="1"/>
  <c r="G54" i="1"/>
  <c r="H66" i="1"/>
  <c r="D12" i="11"/>
  <c r="D89" i="11"/>
  <c r="D10" i="11"/>
  <c r="D66" i="11"/>
  <c r="N184" i="2"/>
  <c r="D22" i="1" s="1"/>
  <c r="N180" i="2"/>
  <c r="D8" i="1" s="1"/>
  <c r="D125" i="11"/>
  <c r="G125" i="1"/>
  <c r="D113" i="11"/>
  <c r="G113" i="1"/>
  <c r="H113" i="1"/>
  <c r="J113" i="1" s="1"/>
  <c r="K113" i="1" s="1"/>
  <c r="H109" i="1"/>
  <c r="J109" i="1" s="1"/>
  <c r="K109" i="1" s="1"/>
  <c r="G109" i="1"/>
  <c r="D105" i="11"/>
  <c r="G105" i="1"/>
  <c r="H105" i="1"/>
  <c r="D101" i="11"/>
  <c r="H101" i="1"/>
  <c r="G101" i="1"/>
  <c r="D97" i="11"/>
  <c r="H97" i="1"/>
  <c r="J97" i="1" s="1"/>
  <c r="K97" i="1" s="1"/>
  <c r="G97" i="1"/>
  <c r="H85" i="1"/>
  <c r="G85" i="1"/>
  <c r="D85" i="11"/>
  <c r="D80" i="11"/>
  <c r="H80" i="1"/>
  <c r="H78" i="1"/>
  <c r="J78" i="1" s="1"/>
  <c r="K78" i="1" s="1"/>
  <c r="D78" i="11"/>
  <c r="D76" i="11"/>
  <c r="H76" i="1"/>
  <c r="D72" i="11"/>
  <c r="G72" i="1"/>
  <c r="D70" i="11"/>
  <c r="H70" i="1"/>
  <c r="D68" i="11"/>
  <c r="G68" i="1"/>
  <c r="H63" i="1"/>
  <c r="G63" i="1"/>
  <c r="G61" i="1"/>
  <c r="H61" i="1"/>
  <c r="J61" i="1" s="1"/>
  <c r="K61" i="1" s="1"/>
  <c r="G59" i="1"/>
  <c r="H59" i="1"/>
  <c r="J59" i="1" s="1"/>
  <c r="K59" i="1" s="1"/>
  <c r="D53" i="11"/>
  <c r="G53" i="1"/>
  <c r="D51" i="11"/>
  <c r="G51" i="1"/>
  <c r="H51" i="1"/>
  <c r="D48" i="11"/>
  <c r="H48" i="1"/>
  <c r="H42" i="1"/>
  <c r="J42" i="1" s="1"/>
  <c r="K42" i="1" s="1"/>
  <c r="D42" i="11"/>
  <c r="D40" i="11"/>
  <c r="G40" i="1"/>
  <c r="H29" i="1"/>
  <c r="M29" i="1" s="1"/>
  <c r="D29" i="11"/>
  <c r="G26" i="1"/>
  <c r="D26" i="11"/>
  <c r="D24" i="11"/>
  <c r="H24" i="1"/>
  <c r="J24" i="1" s="1"/>
  <c r="K24" i="1" s="1"/>
  <c r="G24" i="1"/>
  <c r="G21" i="1"/>
  <c r="D21" i="11"/>
  <c r="H19" i="1"/>
  <c r="J19" i="1" s="1"/>
  <c r="K19" i="1" s="1"/>
  <c r="D19" i="11"/>
  <c r="G16" i="1"/>
  <c r="H16" i="1"/>
  <c r="J16" i="1" s="1"/>
  <c r="K16" i="1" s="1"/>
  <c r="D16" i="11"/>
  <c r="H13" i="1"/>
  <c r="G13" i="1"/>
  <c r="N191" i="2"/>
  <c r="D49" i="1" s="1"/>
  <c r="N189" i="2"/>
  <c r="D31" i="1" s="1"/>
  <c r="N183" i="2"/>
  <c r="D18" i="1" s="1"/>
  <c r="N178" i="2"/>
  <c r="D4" i="1" s="1"/>
  <c r="D131" i="1" s="1"/>
  <c r="D43" i="11"/>
  <c r="H125" i="1"/>
  <c r="J125" i="1" s="1"/>
  <c r="K125" i="1" s="1"/>
  <c r="H26" i="1"/>
  <c r="H21" i="1"/>
  <c r="G76" i="1"/>
  <c r="G103" i="1"/>
  <c r="H35" i="1"/>
  <c r="J35" i="1" s="1"/>
  <c r="K35" i="1" s="1"/>
  <c r="D47" i="11"/>
  <c r="G6" i="1"/>
  <c r="D45" i="11"/>
  <c r="D117" i="11"/>
  <c r="G17" i="1"/>
  <c r="H17" i="1"/>
  <c r="H32" i="1"/>
  <c r="J32" i="1" s="1"/>
  <c r="K32" i="1" s="1"/>
  <c r="G43" i="1"/>
  <c r="H79" i="1"/>
  <c r="M79" i="1" s="1"/>
  <c r="G95" i="1"/>
  <c r="D61" i="11"/>
  <c r="G52" i="1"/>
  <c r="D64" i="11"/>
  <c r="D33" i="11"/>
  <c r="D50" i="11"/>
  <c r="D60" i="11"/>
  <c r="D13" i="11"/>
  <c r="N125" i="2"/>
  <c r="D34" i="11"/>
  <c r="G34" i="1"/>
  <c r="N182" i="2"/>
  <c r="D14" i="1" s="1"/>
  <c r="H122" i="1"/>
  <c r="J122" i="1" s="1"/>
  <c r="K122" i="1" s="1"/>
  <c r="G121" i="1"/>
  <c r="H117" i="1"/>
  <c r="D82" i="11"/>
  <c r="G82" i="1"/>
  <c r="H82" i="1"/>
  <c r="D81" i="11"/>
  <c r="D74" i="11"/>
  <c r="G74" i="1"/>
  <c r="D65" i="11"/>
  <c r="G65" i="1"/>
  <c r="D57" i="11"/>
  <c r="H57" i="1"/>
  <c r="J57" i="1" s="1"/>
  <c r="K57" i="1" s="1"/>
  <c r="D44" i="11"/>
  <c r="H44" i="1"/>
  <c r="J44" i="1" s="1"/>
  <c r="K44" i="1" s="1"/>
  <c r="D11" i="11"/>
  <c r="G11" i="1"/>
  <c r="G123" i="1"/>
  <c r="H115" i="1"/>
  <c r="J115" i="1" s="1"/>
  <c r="K115" i="1" s="1"/>
  <c r="H111" i="1"/>
  <c r="J111" i="1" s="1"/>
  <c r="K111" i="1" s="1"/>
  <c r="I31" i="13"/>
  <c r="I119" i="11"/>
  <c r="I86" i="11"/>
  <c r="I69" i="11"/>
  <c r="I12" i="11"/>
  <c r="I18" i="13"/>
  <c r="I99" i="11"/>
  <c r="I107" i="11"/>
  <c r="J107" i="10"/>
  <c r="K107" i="10" s="1"/>
  <c r="I94" i="11"/>
  <c r="I90" i="11"/>
  <c r="I73" i="11"/>
  <c r="I53" i="11"/>
  <c r="I20" i="11"/>
  <c r="I113" i="11"/>
  <c r="I36" i="13"/>
  <c r="I103" i="11"/>
  <c r="I82" i="11"/>
  <c r="I57" i="11"/>
  <c r="I16" i="11"/>
  <c r="I7" i="11"/>
  <c r="I60" i="11"/>
  <c r="I124" i="11"/>
  <c r="I120" i="11"/>
  <c r="I116" i="11"/>
  <c r="I108" i="11"/>
  <c r="I70" i="11"/>
  <c r="I66" i="11"/>
  <c r="I58" i="11"/>
  <c r="I54" i="11"/>
  <c r="I48" i="11"/>
  <c r="I19" i="11"/>
  <c r="I67" i="13"/>
  <c r="I114" i="11"/>
  <c r="I49" i="13"/>
  <c r="I111" i="11"/>
  <c r="I125" i="11"/>
  <c r="I84" i="11"/>
  <c r="I80" i="11"/>
  <c r="I56" i="11"/>
  <c r="I52" i="11"/>
  <c r="I47" i="11"/>
  <c r="I43" i="11"/>
  <c r="I35" i="11"/>
  <c r="I28" i="11"/>
  <c r="I112" i="11"/>
  <c r="I79" i="11"/>
  <c r="I62" i="11"/>
  <c r="I22" i="13"/>
  <c r="I122" i="11"/>
  <c r="I110" i="11"/>
  <c r="I98" i="11"/>
  <c r="I45" i="11"/>
  <c r="I37" i="11"/>
  <c r="I34" i="11"/>
  <c r="I27" i="1"/>
  <c r="I25" i="11"/>
  <c r="I117" i="11"/>
  <c r="I109" i="11"/>
  <c r="I78" i="11"/>
  <c r="I74" i="11"/>
  <c r="I49" i="1"/>
  <c r="I13" i="11"/>
  <c r="I32" i="11"/>
  <c r="I22" i="1"/>
  <c r="I24" i="11"/>
  <c r="I6" i="11"/>
  <c r="I121" i="11"/>
  <c r="I81" i="1"/>
  <c r="I104" i="11"/>
  <c r="I100" i="11"/>
  <c r="I91" i="11"/>
  <c r="I87" i="11"/>
  <c r="I83" i="11"/>
  <c r="I68" i="11"/>
  <c r="I44" i="11"/>
  <c r="I41" i="11"/>
  <c r="I23" i="11"/>
  <c r="I4" i="1"/>
  <c r="I131" i="1" s="1"/>
  <c r="I4" i="10"/>
  <c r="I127" i="10" s="1"/>
  <c r="I123" i="11"/>
  <c r="I115" i="11"/>
  <c r="I97" i="11"/>
  <c r="I118" i="11"/>
  <c r="I106" i="11"/>
  <c r="I102" i="11"/>
  <c r="I93" i="11"/>
  <c r="I89" i="11"/>
  <c r="I85" i="11"/>
  <c r="I42" i="11"/>
  <c r="I36" i="1"/>
  <c r="I38" i="11"/>
  <c r="I39" i="11"/>
  <c r="I9" i="1"/>
  <c r="I10" i="11"/>
  <c r="I4" i="13"/>
  <c r="I129" i="13" s="1"/>
  <c r="I9" i="13"/>
  <c r="I14" i="13"/>
  <c r="I65" i="11"/>
  <c r="I61" i="11"/>
  <c r="I15" i="11"/>
  <c r="I11" i="11"/>
  <c r="I67" i="1"/>
  <c r="I63" i="11"/>
  <c r="I59" i="11"/>
  <c r="I17" i="11"/>
  <c r="C136" i="12" l="1"/>
  <c r="E136" i="12" s="1"/>
  <c r="J27" i="17"/>
  <c r="J23" i="17"/>
  <c r="L23" i="17" s="1"/>
  <c r="M23" i="17" s="1"/>
  <c r="AA187" i="2"/>
  <c r="H5" i="17"/>
  <c r="F132" i="1"/>
  <c r="F8" i="11"/>
  <c r="AA194" i="2"/>
  <c r="Z194" i="2"/>
  <c r="Z136" i="2"/>
  <c r="Z136" i="14"/>
  <c r="H187" i="2"/>
  <c r="H4" i="1"/>
  <c r="H131" i="1" s="1"/>
  <c r="B136" i="14"/>
  <c r="H136" i="14"/>
  <c r="B136" i="12"/>
  <c r="T136" i="14"/>
  <c r="J103" i="13"/>
  <c r="K103" i="13" s="1"/>
  <c r="E132" i="1"/>
  <c r="G81" i="1"/>
  <c r="E133" i="1"/>
  <c r="E81" i="11"/>
  <c r="E129" i="11" s="1"/>
  <c r="T136" i="12"/>
  <c r="H27" i="1"/>
  <c r="H27" i="11" s="1"/>
  <c r="D133" i="1"/>
  <c r="G27" i="1"/>
  <c r="D132" i="1"/>
  <c r="H73" i="11"/>
  <c r="J73" i="11" s="1"/>
  <c r="K73" i="11" s="1"/>
  <c r="H136" i="12"/>
  <c r="H136" i="2"/>
  <c r="I196" i="2" s="1"/>
  <c r="C8" i="11"/>
  <c r="E4" i="17" s="1"/>
  <c r="C132" i="1"/>
  <c r="E5" i="17"/>
  <c r="C133" i="1"/>
  <c r="H194" i="2"/>
  <c r="M34" i="1"/>
  <c r="L34" i="11" s="1"/>
  <c r="N34" i="11" s="1"/>
  <c r="O34" i="11" s="1"/>
  <c r="L26" i="17"/>
  <c r="M26" i="17" s="1"/>
  <c r="L27" i="17"/>
  <c r="M27" i="17" s="1"/>
  <c r="M10" i="17"/>
  <c r="I26" i="17"/>
  <c r="I132" i="1"/>
  <c r="I133" i="1"/>
  <c r="I130" i="13"/>
  <c r="I131" i="13"/>
  <c r="I129" i="10"/>
  <c r="K3" i="17" s="1"/>
  <c r="G131" i="13"/>
  <c r="J70" i="13"/>
  <c r="K70" i="13" s="1"/>
  <c r="J119" i="13"/>
  <c r="K119" i="13" s="1"/>
  <c r="M4" i="13"/>
  <c r="O4" i="13" s="1"/>
  <c r="P4" i="13" s="1"/>
  <c r="H129" i="13"/>
  <c r="J90" i="13"/>
  <c r="K90" i="13" s="1"/>
  <c r="J25" i="13"/>
  <c r="K25" i="13" s="1"/>
  <c r="J94" i="13"/>
  <c r="K94" i="13" s="1"/>
  <c r="J32" i="13"/>
  <c r="K32" i="13" s="1"/>
  <c r="M81" i="13"/>
  <c r="O81" i="13" s="1"/>
  <c r="P81" i="13" s="1"/>
  <c r="H131" i="13"/>
  <c r="J80" i="13"/>
  <c r="K80" i="13" s="1"/>
  <c r="J72" i="13"/>
  <c r="K72" i="13" s="1"/>
  <c r="M8" i="10"/>
  <c r="O8" i="10" s="1"/>
  <c r="P8" i="10" s="1"/>
  <c r="H130" i="10"/>
  <c r="G131" i="10"/>
  <c r="M4" i="10"/>
  <c r="O4" i="10" s="1"/>
  <c r="P4" i="10" s="1"/>
  <c r="H129" i="10"/>
  <c r="G130" i="10"/>
  <c r="M81" i="10"/>
  <c r="O81" i="10" s="1"/>
  <c r="P81" i="10" s="1"/>
  <c r="H131" i="10"/>
  <c r="H127" i="11"/>
  <c r="J127" i="11" s="1"/>
  <c r="K127" i="11" s="1"/>
  <c r="B30" i="11"/>
  <c r="D5" i="17" s="1"/>
  <c r="G34" i="11"/>
  <c r="G36" i="1"/>
  <c r="M116" i="1"/>
  <c r="O116" i="1" s="1"/>
  <c r="P116" i="1" s="1"/>
  <c r="B8" i="11"/>
  <c r="D4" i="17" s="1"/>
  <c r="B132" i="1"/>
  <c r="J112" i="1"/>
  <c r="K112" i="1" s="1"/>
  <c r="M127" i="1"/>
  <c r="L127" i="11" s="1"/>
  <c r="N127" i="11" s="1"/>
  <c r="O127" i="11" s="1"/>
  <c r="J112" i="13"/>
  <c r="K112" i="13" s="1"/>
  <c r="J12" i="13"/>
  <c r="K12" i="13" s="1"/>
  <c r="M46" i="13"/>
  <c r="O46" i="13" s="1"/>
  <c r="P46" i="13" s="1"/>
  <c r="J33" i="13"/>
  <c r="K33" i="13" s="1"/>
  <c r="J52" i="13"/>
  <c r="K52" i="13" s="1"/>
  <c r="M6" i="13"/>
  <c r="O6" i="13" s="1"/>
  <c r="P6" i="13" s="1"/>
  <c r="J37" i="13"/>
  <c r="K37" i="13" s="1"/>
  <c r="J44" i="13"/>
  <c r="K44" i="13" s="1"/>
  <c r="J102" i="13"/>
  <c r="K102" i="13" s="1"/>
  <c r="J75" i="13"/>
  <c r="K75" i="13" s="1"/>
  <c r="J73" i="13"/>
  <c r="K73" i="13" s="1"/>
  <c r="J31" i="13"/>
  <c r="K31" i="13" s="1"/>
  <c r="J88" i="13"/>
  <c r="K88" i="13" s="1"/>
  <c r="J8" i="10"/>
  <c r="J69" i="10"/>
  <c r="K69" i="10" s="1"/>
  <c r="J58" i="10"/>
  <c r="K58" i="10" s="1"/>
  <c r="M85" i="10"/>
  <c r="O85" i="10" s="1"/>
  <c r="P85" i="10" s="1"/>
  <c r="G125" i="11"/>
  <c r="N136" i="12"/>
  <c r="J27" i="10"/>
  <c r="K27" i="10" s="1"/>
  <c r="G27" i="11"/>
  <c r="J67" i="1"/>
  <c r="K67" i="1" s="1"/>
  <c r="G67" i="11"/>
  <c r="J10" i="1"/>
  <c r="K10" i="1" s="1"/>
  <c r="H34" i="11"/>
  <c r="J34" i="11" s="1"/>
  <c r="K34" i="11" s="1"/>
  <c r="C4" i="11"/>
  <c r="E3" i="17"/>
  <c r="C129" i="1"/>
  <c r="C194" i="2"/>
  <c r="B194" i="2"/>
  <c r="J73" i="1"/>
  <c r="K73" i="1" s="1"/>
  <c r="M60" i="1"/>
  <c r="O60" i="1" s="1"/>
  <c r="P60" i="1" s="1"/>
  <c r="M121" i="1"/>
  <c r="O121" i="1" s="1"/>
  <c r="P121" i="1" s="1"/>
  <c r="M53" i="1"/>
  <c r="O53" i="1" s="1"/>
  <c r="P53" i="1" s="1"/>
  <c r="J43" i="1"/>
  <c r="K43" i="1" s="1"/>
  <c r="B129" i="1"/>
  <c r="B136" i="2"/>
  <c r="C187" i="2"/>
  <c r="B187" i="2"/>
  <c r="J61" i="13"/>
  <c r="K61" i="13" s="1"/>
  <c r="M104" i="13"/>
  <c r="O104" i="13" s="1"/>
  <c r="P104" i="13" s="1"/>
  <c r="J39" i="13"/>
  <c r="K39" i="13" s="1"/>
  <c r="J42" i="13"/>
  <c r="K42" i="13" s="1"/>
  <c r="J64" i="13"/>
  <c r="K64" i="13" s="1"/>
  <c r="J93" i="13"/>
  <c r="K93" i="13" s="1"/>
  <c r="J67" i="13"/>
  <c r="K67" i="13" s="1"/>
  <c r="J87" i="13"/>
  <c r="K87" i="13" s="1"/>
  <c r="J22" i="13"/>
  <c r="K22" i="13" s="1"/>
  <c r="J125" i="13"/>
  <c r="K125" i="13" s="1"/>
  <c r="J118" i="13"/>
  <c r="K118" i="13" s="1"/>
  <c r="J113" i="13"/>
  <c r="K113" i="13" s="1"/>
  <c r="J84" i="13"/>
  <c r="K84" i="13" s="1"/>
  <c r="J35" i="13"/>
  <c r="K35" i="13" s="1"/>
  <c r="J97" i="13"/>
  <c r="K97" i="13" s="1"/>
  <c r="J26" i="13"/>
  <c r="K26" i="13" s="1"/>
  <c r="J96" i="13"/>
  <c r="K96" i="13" s="1"/>
  <c r="J48" i="13"/>
  <c r="K48" i="13" s="1"/>
  <c r="J106" i="13"/>
  <c r="K106" i="13" s="1"/>
  <c r="J41" i="13"/>
  <c r="K41" i="13" s="1"/>
  <c r="J34" i="13"/>
  <c r="K34" i="13" s="1"/>
  <c r="J89" i="13"/>
  <c r="K89" i="13" s="1"/>
  <c r="J59" i="13"/>
  <c r="K59" i="13" s="1"/>
  <c r="J100" i="13"/>
  <c r="K100" i="13" s="1"/>
  <c r="J115" i="13"/>
  <c r="K115" i="13" s="1"/>
  <c r="J77" i="13"/>
  <c r="K77" i="13" s="1"/>
  <c r="J62" i="13"/>
  <c r="K62" i="13" s="1"/>
  <c r="J27" i="13"/>
  <c r="K27" i="13" s="1"/>
  <c r="M85" i="13"/>
  <c r="O85" i="13" s="1"/>
  <c r="P85" i="13" s="1"/>
  <c r="J85" i="13"/>
  <c r="K85" i="13" s="1"/>
  <c r="J105" i="13"/>
  <c r="K105" i="13" s="1"/>
  <c r="J79" i="13"/>
  <c r="K79" i="13" s="1"/>
  <c r="M90" i="1"/>
  <c r="L90" i="11" s="1"/>
  <c r="N90" i="11" s="1"/>
  <c r="O90" i="11" s="1"/>
  <c r="G124" i="11"/>
  <c r="M15" i="10"/>
  <c r="O15" i="10" s="1"/>
  <c r="P15" i="10" s="1"/>
  <c r="J88" i="10"/>
  <c r="K88" i="10" s="1"/>
  <c r="G17" i="11"/>
  <c r="J74" i="10"/>
  <c r="K74" i="10" s="1"/>
  <c r="G36" i="11"/>
  <c r="G26" i="11"/>
  <c r="G51" i="11"/>
  <c r="M42" i="10"/>
  <c r="O42" i="10" s="1"/>
  <c r="P42" i="10" s="1"/>
  <c r="J94" i="10"/>
  <c r="K94" i="10" s="1"/>
  <c r="J86" i="10"/>
  <c r="K86" i="10" s="1"/>
  <c r="H98" i="11"/>
  <c r="J98" i="11" s="1"/>
  <c r="K98" i="11" s="1"/>
  <c r="G15" i="11"/>
  <c r="M47" i="10"/>
  <c r="O47" i="10" s="1"/>
  <c r="P47" i="10" s="1"/>
  <c r="J34" i="10"/>
  <c r="K34" i="10" s="1"/>
  <c r="M77" i="10"/>
  <c r="O77" i="10" s="1"/>
  <c r="P77" i="10" s="1"/>
  <c r="G4" i="17"/>
  <c r="G13" i="11"/>
  <c r="G47" i="11"/>
  <c r="G16" i="11"/>
  <c r="G29" i="11"/>
  <c r="G53" i="11"/>
  <c r="G50" i="11"/>
  <c r="G45" i="11"/>
  <c r="J80" i="10"/>
  <c r="K80" i="10" s="1"/>
  <c r="G21" i="11"/>
  <c r="G24" i="11"/>
  <c r="G32" i="11"/>
  <c r="J45" i="10"/>
  <c r="K45" i="10" s="1"/>
  <c r="J26" i="10"/>
  <c r="K26" i="10" s="1"/>
  <c r="G44" i="11"/>
  <c r="G19" i="11"/>
  <c r="G40" i="11"/>
  <c r="G48" i="11"/>
  <c r="G12" i="11"/>
  <c r="G35" i="11"/>
  <c r="G6" i="11"/>
  <c r="H71" i="11"/>
  <c r="J71" i="11" s="1"/>
  <c r="K71" i="11" s="1"/>
  <c r="J65" i="10"/>
  <c r="K65" i="10" s="1"/>
  <c r="J66" i="10"/>
  <c r="K66" i="10" s="1"/>
  <c r="J79" i="10"/>
  <c r="K79" i="10" s="1"/>
  <c r="J82" i="10"/>
  <c r="K82" i="10" s="1"/>
  <c r="H26" i="11"/>
  <c r="J26" i="11" s="1"/>
  <c r="K26" i="11" s="1"/>
  <c r="M28" i="10"/>
  <c r="O28" i="10" s="1"/>
  <c r="P28" i="10" s="1"/>
  <c r="J48" i="10"/>
  <c r="K48" i="10" s="1"/>
  <c r="J121" i="10"/>
  <c r="K121" i="10" s="1"/>
  <c r="J7" i="10"/>
  <c r="K7" i="10" s="1"/>
  <c r="J74" i="1"/>
  <c r="K74" i="1" s="1"/>
  <c r="H64" i="11"/>
  <c r="J64" i="11" s="1"/>
  <c r="K64" i="11" s="1"/>
  <c r="J68" i="1"/>
  <c r="K68" i="1" s="1"/>
  <c r="H74" i="11"/>
  <c r="J74" i="11" s="1"/>
  <c r="K74" i="11" s="1"/>
  <c r="M64" i="1"/>
  <c r="O64" i="1" s="1"/>
  <c r="P64" i="1" s="1"/>
  <c r="M23" i="1"/>
  <c r="O23" i="1" s="1"/>
  <c r="P23" i="1" s="1"/>
  <c r="J41" i="1"/>
  <c r="K41" i="1" s="1"/>
  <c r="T136" i="2"/>
  <c r="T196" i="2" s="1"/>
  <c r="M99" i="1"/>
  <c r="O99" i="1" s="1"/>
  <c r="P99" i="1" s="1"/>
  <c r="U194" i="2"/>
  <c r="E129" i="1"/>
  <c r="G5" i="11"/>
  <c r="T194" i="2"/>
  <c r="M98" i="1"/>
  <c r="O98" i="1" s="1"/>
  <c r="P98" i="1" s="1"/>
  <c r="T187" i="2"/>
  <c r="U187" i="2"/>
  <c r="H81" i="1"/>
  <c r="G33" i="11"/>
  <c r="G41" i="11"/>
  <c r="J72" i="1"/>
  <c r="K72" i="1" s="1"/>
  <c r="G54" i="11"/>
  <c r="H60" i="11"/>
  <c r="J60" i="11" s="1"/>
  <c r="K60" i="11" s="1"/>
  <c r="L74" i="11"/>
  <c r="N74" i="11" s="1"/>
  <c r="O74" i="11" s="1"/>
  <c r="H43" i="11"/>
  <c r="J43" i="11" s="1"/>
  <c r="K43" i="11" s="1"/>
  <c r="G38" i="11"/>
  <c r="J29" i="1"/>
  <c r="K29" i="1" s="1"/>
  <c r="G96" i="11"/>
  <c r="H120" i="11"/>
  <c r="J120" i="11" s="1"/>
  <c r="K120" i="11" s="1"/>
  <c r="H10" i="11"/>
  <c r="J10" i="11" s="1"/>
  <c r="K10" i="11" s="1"/>
  <c r="J120" i="1"/>
  <c r="K120" i="1" s="1"/>
  <c r="G39" i="11"/>
  <c r="G63" i="11"/>
  <c r="J127" i="1"/>
  <c r="K127" i="1" s="1"/>
  <c r="G127" i="11"/>
  <c r="I18" i="11"/>
  <c r="I24" i="17"/>
  <c r="L24" i="17" s="1"/>
  <c r="M24" i="17" s="1"/>
  <c r="J71" i="1"/>
  <c r="K71" i="1" s="1"/>
  <c r="J65" i="1"/>
  <c r="K65" i="1" s="1"/>
  <c r="M33" i="1"/>
  <c r="O33" i="1" s="1"/>
  <c r="P33" i="1" s="1"/>
  <c r="G62" i="11"/>
  <c r="G7" i="11"/>
  <c r="J118" i="1"/>
  <c r="K118" i="1" s="1"/>
  <c r="G43" i="11"/>
  <c r="G25" i="11"/>
  <c r="M71" i="1"/>
  <c r="O71" i="1" s="1"/>
  <c r="P71" i="1" s="1"/>
  <c r="G23" i="11"/>
  <c r="G20" i="11"/>
  <c r="G110" i="11"/>
  <c r="H33" i="11"/>
  <c r="J33" i="11" s="1"/>
  <c r="K33" i="11" s="1"/>
  <c r="H116" i="11"/>
  <c r="J116" i="11" s="1"/>
  <c r="K116" i="11" s="1"/>
  <c r="J51" i="13"/>
  <c r="K51" i="13" s="1"/>
  <c r="M76" i="13"/>
  <c r="O76" i="13" s="1"/>
  <c r="P76" i="13" s="1"/>
  <c r="J109" i="13"/>
  <c r="K109" i="13" s="1"/>
  <c r="J60" i="13"/>
  <c r="K60" i="13" s="1"/>
  <c r="M60" i="13"/>
  <c r="O60" i="13" s="1"/>
  <c r="P60" i="13" s="1"/>
  <c r="M38" i="13"/>
  <c r="O38" i="13" s="1"/>
  <c r="P38" i="13" s="1"/>
  <c r="J36" i="13"/>
  <c r="K36" i="13" s="1"/>
  <c r="J114" i="13"/>
  <c r="K114" i="13" s="1"/>
  <c r="J101" i="13"/>
  <c r="K101" i="13" s="1"/>
  <c r="M111" i="13"/>
  <c r="O111" i="13" s="1"/>
  <c r="P111" i="13" s="1"/>
  <c r="M69" i="13"/>
  <c r="O69" i="13" s="1"/>
  <c r="P69" i="13" s="1"/>
  <c r="J124" i="13"/>
  <c r="K124" i="13" s="1"/>
  <c r="J110" i="13"/>
  <c r="K110" i="13" s="1"/>
  <c r="J56" i="13"/>
  <c r="K56" i="13" s="1"/>
  <c r="J63" i="13"/>
  <c r="K63" i="13" s="1"/>
  <c r="J117" i="13"/>
  <c r="K117" i="13" s="1"/>
  <c r="J66" i="13"/>
  <c r="K66" i="13" s="1"/>
  <c r="M98" i="13"/>
  <c r="O98" i="13" s="1"/>
  <c r="P98" i="13" s="1"/>
  <c r="J120" i="13"/>
  <c r="K120" i="13" s="1"/>
  <c r="J108" i="13"/>
  <c r="K108" i="13" s="1"/>
  <c r="J55" i="13"/>
  <c r="K55" i="13" s="1"/>
  <c r="M55" i="13"/>
  <c r="O55" i="13" s="1"/>
  <c r="P55" i="13" s="1"/>
  <c r="J122" i="13"/>
  <c r="K122" i="13" s="1"/>
  <c r="J121" i="13"/>
  <c r="K121" i="13" s="1"/>
  <c r="J11" i="13"/>
  <c r="K11" i="13" s="1"/>
  <c r="J40" i="13"/>
  <c r="K40" i="13" s="1"/>
  <c r="J116" i="13"/>
  <c r="K116" i="13" s="1"/>
  <c r="M65" i="13"/>
  <c r="O65" i="13" s="1"/>
  <c r="P65" i="13" s="1"/>
  <c r="J65" i="13"/>
  <c r="K65" i="13" s="1"/>
  <c r="J99" i="13"/>
  <c r="K99" i="13" s="1"/>
  <c r="M99" i="13"/>
  <c r="O99" i="13" s="1"/>
  <c r="P99" i="13" s="1"/>
  <c r="J58" i="13"/>
  <c r="K58" i="13" s="1"/>
  <c r="J123" i="13"/>
  <c r="K123" i="13" s="1"/>
  <c r="M86" i="13"/>
  <c r="O86" i="13" s="1"/>
  <c r="P86" i="13" s="1"/>
  <c r="M47" i="13"/>
  <c r="O47" i="13" s="1"/>
  <c r="P47" i="13" s="1"/>
  <c r="J47" i="13"/>
  <c r="K47" i="13" s="1"/>
  <c r="J18" i="13"/>
  <c r="K18" i="13" s="1"/>
  <c r="J92" i="13"/>
  <c r="K92" i="13" s="1"/>
  <c r="J50" i="13"/>
  <c r="K50" i="13" s="1"/>
  <c r="J21" i="13"/>
  <c r="K21" i="13" s="1"/>
  <c r="N136" i="14"/>
  <c r="J57" i="13"/>
  <c r="K57" i="13" s="1"/>
  <c r="M68" i="13"/>
  <c r="O68" i="13" s="1"/>
  <c r="P68" i="13" s="1"/>
  <c r="J68" i="13"/>
  <c r="K68" i="13" s="1"/>
  <c r="J5" i="13"/>
  <c r="K5" i="13" s="1"/>
  <c r="J71" i="13"/>
  <c r="K71" i="13" s="1"/>
  <c r="J45" i="13"/>
  <c r="K45" i="13" s="1"/>
  <c r="J16" i="13"/>
  <c r="K16" i="13" s="1"/>
  <c r="M7" i="13"/>
  <c r="O7" i="13" s="1"/>
  <c r="P7" i="13" s="1"/>
  <c r="M91" i="13"/>
  <c r="O91" i="13" s="1"/>
  <c r="P91" i="13" s="1"/>
  <c r="J91" i="13"/>
  <c r="K91" i="13" s="1"/>
  <c r="J20" i="13"/>
  <c r="K20" i="13" s="1"/>
  <c r="M20" i="13"/>
  <c r="O20" i="13" s="1"/>
  <c r="P20" i="13" s="1"/>
  <c r="J53" i="13"/>
  <c r="K53" i="13" s="1"/>
  <c r="M53" i="13"/>
  <c r="O53" i="13" s="1"/>
  <c r="P53" i="13" s="1"/>
  <c r="J43" i="13"/>
  <c r="K43" i="13" s="1"/>
  <c r="M43" i="13"/>
  <c r="O43" i="13" s="1"/>
  <c r="P43" i="13" s="1"/>
  <c r="J15" i="13"/>
  <c r="K15" i="13" s="1"/>
  <c r="J49" i="13"/>
  <c r="K49" i="13" s="1"/>
  <c r="J24" i="13"/>
  <c r="K24" i="13" s="1"/>
  <c r="J10" i="13"/>
  <c r="K10" i="13" s="1"/>
  <c r="M83" i="13"/>
  <c r="O83" i="13" s="1"/>
  <c r="P83" i="13" s="1"/>
  <c r="J83" i="13"/>
  <c r="K83" i="13" s="1"/>
  <c r="H8" i="13"/>
  <c r="H130" i="13" s="1"/>
  <c r="G8" i="13"/>
  <c r="D127" i="13"/>
  <c r="J29" i="13"/>
  <c r="K29" i="13" s="1"/>
  <c r="M29" i="13"/>
  <c r="O29" i="13" s="1"/>
  <c r="P29" i="13" s="1"/>
  <c r="J54" i="13"/>
  <c r="K54" i="13" s="1"/>
  <c r="J78" i="13"/>
  <c r="K78" i="13" s="1"/>
  <c r="M78" i="13"/>
  <c r="O78" i="13" s="1"/>
  <c r="P78" i="13" s="1"/>
  <c r="J30" i="13"/>
  <c r="K30" i="13" s="1"/>
  <c r="M74" i="13"/>
  <c r="O74" i="13" s="1"/>
  <c r="P74" i="13" s="1"/>
  <c r="J74" i="13"/>
  <c r="K74" i="13" s="1"/>
  <c r="M107" i="13"/>
  <c r="O107" i="13" s="1"/>
  <c r="P107" i="13" s="1"/>
  <c r="J107" i="13"/>
  <c r="K107" i="13" s="1"/>
  <c r="M82" i="13"/>
  <c r="O82" i="13" s="1"/>
  <c r="P82" i="13" s="1"/>
  <c r="J82" i="13"/>
  <c r="K82" i="13" s="1"/>
  <c r="M17" i="13"/>
  <c r="O17" i="13" s="1"/>
  <c r="P17" i="13" s="1"/>
  <c r="J17" i="13"/>
  <c r="K17" i="13" s="1"/>
  <c r="J19" i="13"/>
  <c r="K19" i="13" s="1"/>
  <c r="M19" i="13"/>
  <c r="O19" i="13" s="1"/>
  <c r="P19" i="13" s="1"/>
  <c r="J28" i="13"/>
  <c r="K28" i="13" s="1"/>
  <c r="M28" i="13"/>
  <c r="O28" i="13" s="1"/>
  <c r="P28" i="13" s="1"/>
  <c r="J95" i="13"/>
  <c r="K95" i="13" s="1"/>
  <c r="M95" i="13"/>
  <c r="O95" i="13" s="1"/>
  <c r="P95" i="13" s="1"/>
  <c r="J23" i="13"/>
  <c r="K23" i="13" s="1"/>
  <c r="M23" i="13"/>
  <c r="O23" i="13" s="1"/>
  <c r="P23" i="13" s="1"/>
  <c r="M13" i="13"/>
  <c r="O13" i="13" s="1"/>
  <c r="P13" i="13" s="1"/>
  <c r="J13" i="13"/>
  <c r="K13" i="13" s="1"/>
  <c r="L118" i="11"/>
  <c r="N118" i="11" s="1"/>
  <c r="O118" i="11" s="1"/>
  <c r="G114" i="11"/>
  <c r="J123" i="10"/>
  <c r="K123" i="10" s="1"/>
  <c r="J118" i="10"/>
  <c r="K118" i="10" s="1"/>
  <c r="J68" i="10"/>
  <c r="K68" i="10" s="1"/>
  <c r="J91" i="10"/>
  <c r="K91" i="10" s="1"/>
  <c r="J90" i="10"/>
  <c r="K90" i="10" s="1"/>
  <c r="G37" i="11"/>
  <c r="G87" i="11"/>
  <c r="H90" i="11"/>
  <c r="J90" i="11" s="1"/>
  <c r="K90" i="11" s="1"/>
  <c r="G106" i="11"/>
  <c r="J64" i="10"/>
  <c r="K64" i="10" s="1"/>
  <c r="G122" i="11"/>
  <c r="G83" i="11"/>
  <c r="G90" i="11"/>
  <c r="G92" i="11"/>
  <c r="H118" i="11"/>
  <c r="J118" i="11" s="1"/>
  <c r="K118" i="11" s="1"/>
  <c r="G82" i="11"/>
  <c r="J21" i="10"/>
  <c r="K21" i="10" s="1"/>
  <c r="M98" i="10"/>
  <c r="O98" i="10" s="1"/>
  <c r="P98" i="10" s="1"/>
  <c r="G79" i="11"/>
  <c r="J39" i="10"/>
  <c r="K39" i="10" s="1"/>
  <c r="G116" i="11"/>
  <c r="G121" i="11"/>
  <c r="G69" i="11"/>
  <c r="J18" i="10"/>
  <c r="K18" i="10" s="1"/>
  <c r="G78" i="11"/>
  <c r="G85" i="11"/>
  <c r="G58" i="11"/>
  <c r="G91" i="11"/>
  <c r="G65" i="11"/>
  <c r="G61" i="11"/>
  <c r="G70" i="11"/>
  <c r="G76" i="11"/>
  <c r="G80" i="11"/>
  <c r="G89" i="11"/>
  <c r="G73" i="11"/>
  <c r="G52" i="11"/>
  <c r="G104" i="11"/>
  <c r="G111" i="11"/>
  <c r="G108" i="11"/>
  <c r="J56" i="10"/>
  <c r="K56" i="10" s="1"/>
  <c r="G57" i="11"/>
  <c r="G74" i="11"/>
  <c r="G64" i="11"/>
  <c r="G68" i="11"/>
  <c r="G72" i="11"/>
  <c r="G66" i="11"/>
  <c r="H52" i="11"/>
  <c r="J52" i="11" s="1"/>
  <c r="K52" i="11" s="1"/>
  <c r="G86" i="11"/>
  <c r="G55" i="11"/>
  <c r="G28" i="11"/>
  <c r="G88" i="11"/>
  <c r="G112" i="11"/>
  <c r="J104" i="10"/>
  <c r="K104" i="10" s="1"/>
  <c r="J24" i="10"/>
  <c r="K24" i="10" s="1"/>
  <c r="G46" i="11"/>
  <c r="G127" i="10"/>
  <c r="L72" i="11"/>
  <c r="N72" i="11" s="1"/>
  <c r="O72" i="11" s="1"/>
  <c r="J31" i="10"/>
  <c r="K31" i="10" s="1"/>
  <c r="J119" i="10"/>
  <c r="K119" i="10" s="1"/>
  <c r="H86" i="11"/>
  <c r="J86" i="11" s="1"/>
  <c r="K86" i="11" s="1"/>
  <c r="H68" i="11"/>
  <c r="J68" i="11" s="1"/>
  <c r="K68" i="11" s="1"/>
  <c r="G107" i="11"/>
  <c r="J72" i="10"/>
  <c r="K72" i="10" s="1"/>
  <c r="H99" i="11"/>
  <c r="J99" i="11" s="1"/>
  <c r="K99" i="11" s="1"/>
  <c r="G94" i="11"/>
  <c r="G102" i="11"/>
  <c r="G118" i="11"/>
  <c r="H112" i="11"/>
  <c r="J112" i="11" s="1"/>
  <c r="K112" i="11" s="1"/>
  <c r="G109" i="11"/>
  <c r="M52" i="10"/>
  <c r="O52" i="10" s="1"/>
  <c r="P52" i="10" s="1"/>
  <c r="G98" i="11"/>
  <c r="J17" i="10"/>
  <c r="K17" i="10" s="1"/>
  <c r="J70" i="10"/>
  <c r="K70" i="10" s="1"/>
  <c r="J54" i="10"/>
  <c r="K54" i="10" s="1"/>
  <c r="M35" i="10"/>
  <c r="O35" i="10" s="1"/>
  <c r="P35" i="10" s="1"/>
  <c r="J35" i="10"/>
  <c r="K35" i="10" s="1"/>
  <c r="G115" i="11"/>
  <c r="G59" i="11"/>
  <c r="J89" i="10"/>
  <c r="K89" i="10" s="1"/>
  <c r="J87" i="10"/>
  <c r="K87" i="10" s="1"/>
  <c r="J112" i="10"/>
  <c r="K112" i="10" s="1"/>
  <c r="J49" i="10"/>
  <c r="K49" i="10" s="1"/>
  <c r="J29" i="10"/>
  <c r="K29" i="10" s="1"/>
  <c r="G77" i="11"/>
  <c r="J44" i="10"/>
  <c r="K44" i="10" s="1"/>
  <c r="J84" i="10"/>
  <c r="K84" i="10" s="1"/>
  <c r="M84" i="10"/>
  <c r="O84" i="10" s="1"/>
  <c r="P84" i="10" s="1"/>
  <c r="J92" i="10"/>
  <c r="K92" i="10" s="1"/>
  <c r="M92" i="10"/>
  <c r="O92" i="10" s="1"/>
  <c r="P92" i="10" s="1"/>
  <c r="J37" i="10"/>
  <c r="K37" i="10" s="1"/>
  <c r="J23" i="10"/>
  <c r="K23" i="10" s="1"/>
  <c r="J50" i="10"/>
  <c r="K50" i="10" s="1"/>
  <c r="G97" i="11"/>
  <c r="H23" i="11"/>
  <c r="J23" i="11" s="1"/>
  <c r="K23" i="11" s="1"/>
  <c r="G100" i="11"/>
  <c r="H83" i="11"/>
  <c r="J83" i="11" s="1"/>
  <c r="K83" i="11" s="1"/>
  <c r="G93" i="11"/>
  <c r="H11" i="11"/>
  <c r="J11" i="11" s="1"/>
  <c r="K11" i="11" s="1"/>
  <c r="J99" i="10"/>
  <c r="K99" i="10" s="1"/>
  <c r="M76" i="10"/>
  <c r="O76" i="10" s="1"/>
  <c r="P76" i="10" s="1"/>
  <c r="J76" i="10"/>
  <c r="K76" i="10" s="1"/>
  <c r="M30" i="10"/>
  <c r="J30" i="10"/>
  <c r="K30" i="10" s="1"/>
  <c r="G95" i="11"/>
  <c r="G101" i="11"/>
  <c r="M10" i="10"/>
  <c r="J10" i="10"/>
  <c r="K10" i="10" s="1"/>
  <c r="M20" i="10"/>
  <c r="O20" i="10" s="1"/>
  <c r="P20" i="10" s="1"/>
  <c r="J20" i="10"/>
  <c r="K20" i="10" s="1"/>
  <c r="M83" i="10"/>
  <c r="O83" i="10" s="1"/>
  <c r="P83" i="10" s="1"/>
  <c r="J83" i="10"/>
  <c r="K83" i="10" s="1"/>
  <c r="H127" i="10"/>
  <c r="J11" i="10"/>
  <c r="K11" i="10" s="1"/>
  <c r="G105" i="11"/>
  <c r="H108" i="11"/>
  <c r="J108" i="11" s="1"/>
  <c r="K108" i="11" s="1"/>
  <c r="H72" i="11"/>
  <c r="J72" i="11" s="1"/>
  <c r="K72" i="11" s="1"/>
  <c r="H20" i="11"/>
  <c r="J20" i="11" s="1"/>
  <c r="K20" i="11" s="1"/>
  <c r="G84" i="11"/>
  <c r="J95" i="10"/>
  <c r="K95" i="10" s="1"/>
  <c r="J40" i="10"/>
  <c r="K40" i="10" s="1"/>
  <c r="H121" i="11"/>
  <c r="J121" i="11" s="1"/>
  <c r="K121" i="11" s="1"/>
  <c r="J115" i="10"/>
  <c r="K115" i="10" s="1"/>
  <c r="M43" i="10"/>
  <c r="J43" i="10"/>
  <c r="K43" i="10" s="1"/>
  <c r="J25" i="10"/>
  <c r="K25" i="10" s="1"/>
  <c r="J33" i="10"/>
  <c r="K33" i="10" s="1"/>
  <c r="M33" i="10"/>
  <c r="O33" i="10" s="1"/>
  <c r="P33" i="10" s="1"/>
  <c r="J60" i="10"/>
  <c r="K60" i="10" s="1"/>
  <c r="M60" i="10"/>
  <c r="O60" i="10" s="1"/>
  <c r="P60" i="10" s="1"/>
  <c r="J19" i="10"/>
  <c r="K19" i="10" s="1"/>
  <c r="J96" i="10"/>
  <c r="K96" i="10" s="1"/>
  <c r="M96" i="10"/>
  <c r="O96" i="10" s="1"/>
  <c r="P96" i="10" s="1"/>
  <c r="M108" i="10"/>
  <c r="O108" i="10" s="1"/>
  <c r="P108" i="10" s="1"/>
  <c r="J108" i="10"/>
  <c r="K108" i="10" s="1"/>
  <c r="M110" i="10"/>
  <c r="O110" i="10" s="1"/>
  <c r="P110" i="10" s="1"/>
  <c r="J110" i="10"/>
  <c r="K110" i="10" s="1"/>
  <c r="J41" i="10"/>
  <c r="K41" i="10" s="1"/>
  <c r="J6" i="10"/>
  <c r="K6" i="10" s="1"/>
  <c r="J125" i="10"/>
  <c r="K125" i="10" s="1"/>
  <c r="L41" i="11"/>
  <c r="N41" i="11" s="1"/>
  <c r="O41" i="11" s="1"/>
  <c r="G113" i="11"/>
  <c r="G103" i="11"/>
  <c r="G123" i="11"/>
  <c r="H53" i="11"/>
  <c r="J53" i="11" s="1"/>
  <c r="K53" i="11" s="1"/>
  <c r="H124" i="11"/>
  <c r="J124" i="11" s="1"/>
  <c r="K124" i="11" s="1"/>
  <c r="G99" i="11"/>
  <c r="J53" i="10"/>
  <c r="K53" i="10" s="1"/>
  <c r="M51" i="10"/>
  <c r="O51" i="10" s="1"/>
  <c r="P51" i="10" s="1"/>
  <c r="J51" i="10"/>
  <c r="K51" i="10" s="1"/>
  <c r="M61" i="10"/>
  <c r="O61" i="10" s="1"/>
  <c r="P61" i="10" s="1"/>
  <c r="J61" i="10"/>
  <c r="K61" i="10" s="1"/>
  <c r="J73" i="10"/>
  <c r="K73" i="10" s="1"/>
  <c r="M73" i="10"/>
  <c r="O73" i="10" s="1"/>
  <c r="P73" i="10" s="1"/>
  <c r="J78" i="10"/>
  <c r="K78" i="10" s="1"/>
  <c r="J93" i="10"/>
  <c r="K93" i="10" s="1"/>
  <c r="M93" i="10"/>
  <c r="O93" i="10" s="1"/>
  <c r="P93" i="10" s="1"/>
  <c r="M122" i="10"/>
  <c r="O122" i="10" s="1"/>
  <c r="P122" i="10" s="1"/>
  <c r="J122" i="10"/>
  <c r="K122" i="10" s="1"/>
  <c r="J32" i="10"/>
  <c r="K32" i="10" s="1"/>
  <c r="J111" i="10"/>
  <c r="K111" i="10" s="1"/>
  <c r="M97" i="10"/>
  <c r="O97" i="10" s="1"/>
  <c r="P97" i="10" s="1"/>
  <c r="J97" i="10"/>
  <c r="K97" i="10" s="1"/>
  <c r="J100" i="10"/>
  <c r="K100" i="10" s="1"/>
  <c r="M100" i="10"/>
  <c r="O100" i="10" s="1"/>
  <c r="P100" i="10" s="1"/>
  <c r="J113" i="10"/>
  <c r="K113" i="10" s="1"/>
  <c r="M113" i="10"/>
  <c r="O113" i="10" s="1"/>
  <c r="P113" i="10" s="1"/>
  <c r="M57" i="10"/>
  <c r="O57" i="10" s="1"/>
  <c r="P57" i="10" s="1"/>
  <c r="J57" i="10"/>
  <c r="K57" i="10" s="1"/>
  <c r="J124" i="10"/>
  <c r="K124" i="10" s="1"/>
  <c r="M124" i="10"/>
  <c r="O124" i="10" s="1"/>
  <c r="P124" i="10" s="1"/>
  <c r="M38" i="10"/>
  <c r="O38" i="10" s="1"/>
  <c r="P38" i="10" s="1"/>
  <c r="J38" i="10"/>
  <c r="K38" i="10" s="1"/>
  <c r="M75" i="10"/>
  <c r="O75" i="10" s="1"/>
  <c r="P75" i="10" s="1"/>
  <c r="J75" i="10"/>
  <c r="K75" i="10" s="1"/>
  <c r="J101" i="10"/>
  <c r="K101" i="10" s="1"/>
  <c r="M101" i="10"/>
  <c r="O101" i="10" s="1"/>
  <c r="P101" i="10" s="1"/>
  <c r="M109" i="10"/>
  <c r="O109" i="10" s="1"/>
  <c r="P109" i="10" s="1"/>
  <c r="J109" i="10"/>
  <c r="K109" i="10" s="1"/>
  <c r="M117" i="10"/>
  <c r="O117" i="10" s="1"/>
  <c r="P117" i="10" s="1"/>
  <c r="J117" i="10"/>
  <c r="K117" i="10" s="1"/>
  <c r="J59" i="10"/>
  <c r="K59" i="10" s="1"/>
  <c r="J16" i="10"/>
  <c r="K16" i="10" s="1"/>
  <c r="J103" i="10"/>
  <c r="K103" i="10" s="1"/>
  <c r="G117" i="11"/>
  <c r="H16" i="11"/>
  <c r="J16" i="11" s="1"/>
  <c r="K16" i="11" s="1"/>
  <c r="G119" i="11"/>
  <c r="H41" i="11"/>
  <c r="J41" i="11" s="1"/>
  <c r="K41" i="11" s="1"/>
  <c r="G120" i="11"/>
  <c r="J114" i="10"/>
  <c r="K114" i="10" s="1"/>
  <c r="J5" i="10"/>
  <c r="K5" i="10" s="1"/>
  <c r="M5" i="10"/>
  <c r="O5" i="10" s="1"/>
  <c r="P5" i="10" s="1"/>
  <c r="M13" i="10"/>
  <c r="O13" i="10" s="1"/>
  <c r="P13" i="10" s="1"/>
  <c r="J13" i="10"/>
  <c r="K13" i="10" s="1"/>
  <c r="J46" i="10"/>
  <c r="K46" i="10" s="1"/>
  <c r="M46" i="10"/>
  <c r="O46" i="10" s="1"/>
  <c r="P46" i="10" s="1"/>
  <c r="M55" i="10"/>
  <c r="O55" i="10" s="1"/>
  <c r="P55" i="10" s="1"/>
  <c r="J55" i="10"/>
  <c r="K55" i="10" s="1"/>
  <c r="J63" i="10"/>
  <c r="K63" i="10" s="1"/>
  <c r="M63" i="10"/>
  <c r="O63" i="10" s="1"/>
  <c r="P63" i="10" s="1"/>
  <c r="M71" i="10"/>
  <c r="O71" i="10" s="1"/>
  <c r="P71" i="10" s="1"/>
  <c r="J71" i="10"/>
  <c r="K71" i="10" s="1"/>
  <c r="J120" i="10"/>
  <c r="K120" i="10" s="1"/>
  <c r="M120" i="10"/>
  <c r="M106" i="10"/>
  <c r="O106" i="10" s="1"/>
  <c r="P106" i="10" s="1"/>
  <c r="J106" i="10"/>
  <c r="K106" i="10" s="1"/>
  <c r="J116" i="10"/>
  <c r="K116" i="10" s="1"/>
  <c r="M116" i="10"/>
  <c r="J12" i="10"/>
  <c r="K12" i="10" s="1"/>
  <c r="J62" i="10"/>
  <c r="K62" i="10" s="1"/>
  <c r="M102" i="10"/>
  <c r="O102" i="10" s="1"/>
  <c r="P102" i="10" s="1"/>
  <c r="J102" i="10"/>
  <c r="K102" i="10" s="1"/>
  <c r="M105" i="10"/>
  <c r="O105" i="10" s="1"/>
  <c r="P105" i="10" s="1"/>
  <c r="J105" i="10"/>
  <c r="K105" i="10" s="1"/>
  <c r="J108" i="1"/>
  <c r="K108" i="1" s="1"/>
  <c r="H39" i="11"/>
  <c r="J39" i="11" s="1"/>
  <c r="K39" i="11" s="1"/>
  <c r="H46" i="11"/>
  <c r="J46" i="11" s="1"/>
  <c r="K46" i="11" s="1"/>
  <c r="M86" i="1"/>
  <c r="L86" i="11" s="1"/>
  <c r="N86" i="11" s="1"/>
  <c r="O86" i="11" s="1"/>
  <c r="H75" i="11"/>
  <c r="J75" i="11" s="1"/>
  <c r="K75" i="11" s="1"/>
  <c r="H65" i="11"/>
  <c r="J65" i="11" s="1"/>
  <c r="K65" i="11" s="1"/>
  <c r="G10" i="11"/>
  <c r="G56" i="11"/>
  <c r="H19" i="11"/>
  <c r="J19" i="11" s="1"/>
  <c r="K19" i="11" s="1"/>
  <c r="M11" i="1"/>
  <c r="L11" i="11" s="1"/>
  <c r="N11" i="11" s="1"/>
  <c r="O11" i="11" s="1"/>
  <c r="H29" i="11"/>
  <c r="J29" i="11" s="1"/>
  <c r="K29" i="11" s="1"/>
  <c r="G75" i="11"/>
  <c r="M16" i="1"/>
  <c r="O16" i="1" s="1"/>
  <c r="P16" i="1" s="1"/>
  <c r="J46" i="1"/>
  <c r="K46" i="1" s="1"/>
  <c r="H36" i="1"/>
  <c r="H36" i="11" s="1"/>
  <c r="G60" i="11"/>
  <c r="G71" i="11"/>
  <c r="J39" i="1"/>
  <c r="K39" i="1" s="1"/>
  <c r="G11" i="11"/>
  <c r="M108" i="1"/>
  <c r="O108" i="1" s="1"/>
  <c r="P108" i="1" s="1"/>
  <c r="D9" i="11"/>
  <c r="G9" i="11" s="1"/>
  <c r="H9" i="1"/>
  <c r="M102" i="1"/>
  <c r="H102" i="11"/>
  <c r="J102" i="11" s="1"/>
  <c r="K102" i="11" s="1"/>
  <c r="M62" i="1"/>
  <c r="H62" i="11"/>
  <c r="J62" i="11" s="1"/>
  <c r="K62" i="11" s="1"/>
  <c r="D30" i="11"/>
  <c r="G30" i="1"/>
  <c r="H30" i="1"/>
  <c r="H40" i="11"/>
  <c r="J40" i="11" s="1"/>
  <c r="K40" i="11" s="1"/>
  <c r="M40" i="1"/>
  <c r="O73" i="1"/>
  <c r="P73" i="1" s="1"/>
  <c r="M58" i="1"/>
  <c r="J58" i="1"/>
  <c r="K58" i="1" s="1"/>
  <c r="H58" i="11"/>
  <c r="J58" i="11" s="1"/>
  <c r="K58" i="11" s="1"/>
  <c r="M114" i="1"/>
  <c r="H114" i="11"/>
  <c r="J114" i="11" s="1"/>
  <c r="K114" i="11" s="1"/>
  <c r="J114" i="1"/>
  <c r="K114" i="1" s="1"/>
  <c r="J47" i="1"/>
  <c r="K47" i="1" s="1"/>
  <c r="M47" i="1"/>
  <c r="H47" i="11"/>
  <c r="J47" i="11" s="1"/>
  <c r="K47" i="11" s="1"/>
  <c r="H104" i="11"/>
  <c r="J104" i="11" s="1"/>
  <c r="K104" i="11" s="1"/>
  <c r="M104" i="1"/>
  <c r="J88" i="1"/>
  <c r="K88" i="1" s="1"/>
  <c r="M88" i="1"/>
  <c r="H88" i="11"/>
  <c r="J88" i="11" s="1"/>
  <c r="K88" i="11" s="1"/>
  <c r="J104" i="1"/>
  <c r="K104" i="1" s="1"/>
  <c r="M83" i="1"/>
  <c r="O83" i="1" s="1"/>
  <c r="P83" i="1" s="1"/>
  <c r="J98" i="1"/>
  <c r="K98" i="1" s="1"/>
  <c r="M122" i="1"/>
  <c r="O122" i="1" s="1"/>
  <c r="P122" i="1" s="1"/>
  <c r="J75" i="1"/>
  <c r="K75" i="1" s="1"/>
  <c r="M124" i="1"/>
  <c r="O124" i="1" s="1"/>
  <c r="P124" i="1" s="1"/>
  <c r="M20" i="1"/>
  <c r="O20" i="1" s="1"/>
  <c r="P20" i="1" s="1"/>
  <c r="M93" i="1"/>
  <c r="H93" i="11"/>
  <c r="J93" i="11" s="1"/>
  <c r="K93" i="11" s="1"/>
  <c r="H84" i="11"/>
  <c r="J84" i="11" s="1"/>
  <c r="K84" i="11" s="1"/>
  <c r="J84" i="1"/>
  <c r="K84" i="1" s="1"/>
  <c r="J96" i="1"/>
  <c r="K96" i="1" s="1"/>
  <c r="M96" i="1"/>
  <c r="H96" i="11"/>
  <c r="J96" i="11" s="1"/>
  <c r="K96" i="11" s="1"/>
  <c r="M52" i="1"/>
  <c r="J52" i="1"/>
  <c r="K52" i="1" s="1"/>
  <c r="M56" i="1"/>
  <c r="H56" i="11"/>
  <c r="J56" i="11" s="1"/>
  <c r="K56" i="11" s="1"/>
  <c r="J56" i="1"/>
  <c r="K56" i="1" s="1"/>
  <c r="M69" i="1"/>
  <c r="H69" i="11"/>
  <c r="J69" i="11" s="1"/>
  <c r="K69" i="11" s="1"/>
  <c r="M110" i="1"/>
  <c r="H110" i="11"/>
  <c r="J110" i="11" s="1"/>
  <c r="K110" i="11" s="1"/>
  <c r="H89" i="11"/>
  <c r="J89" i="11" s="1"/>
  <c r="K89" i="11" s="1"/>
  <c r="M89" i="1"/>
  <c r="H77" i="11"/>
  <c r="J77" i="11" s="1"/>
  <c r="K77" i="11" s="1"/>
  <c r="M77" i="1"/>
  <c r="L112" i="11"/>
  <c r="N112" i="11" s="1"/>
  <c r="O112" i="11" s="1"/>
  <c r="O112" i="1"/>
  <c r="P112" i="1" s="1"/>
  <c r="M38" i="1"/>
  <c r="H38" i="11"/>
  <c r="J38" i="11" s="1"/>
  <c r="K38" i="11" s="1"/>
  <c r="M28" i="1"/>
  <c r="H28" i="11"/>
  <c r="J28" i="11" s="1"/>
  <c r="K28" i="11" s="1"/>
  <c r="O65" i="1"/>
  <c r="P65" i="1" s="1"/>
  <c r="L65" i="11"/>
  <c r="N65" i="11" s="1"/>
  <c r="O65" i="11" s="1"/>
  <c r="J83" i="1"/>
  <c r="K83" i="1" s="1"/>
  <c r="J62" i="1"/>
  <c r="K62" i="1" s="1"/>
  <c r="J89" i="1"/>
  <c r="K89" i="1" s="1"/>
  <c r="G42" i="11"/>
  <c r="J124" i="1"/>
  <c r="K124" i="1" s="1"/>
  <c r="J38" i="1"/>
  <c r="K38" i="1" s="1"/>
  <c r="O39" i="1"/>
  <c r="P39" i="1" s="1"/>
  <c r="L39" i="11"/>
  <c r="N39" i="11" s="1"/>
  <c r="O39" i="11" s="1"/>
  <c r="H55" i="11"/>
  <c r="J55" i="11" s="1"/>
  <c r="K55" i="11" s="1"/>
  <c r="J55" i="1"/>
  <c r="K55" i="1" s="1"/>
  <c r="M55" i="1"/>
  <c r="M92" i="1"/>
  <c r="H92" i="11"/>
  <c r="J92" i="11" s="1"/>
  <c r="K92" i="11" s="1"/>
  <c r="J94" i="1"/>
  <c r="K94" i="1" s="1"/>
  <c r="H94" i="11"/>
  <c r="J94" i="11" s="1"/>
  <c r="K94" i="11" s="1"/>
  <c r="M94" i="1"/>
  <c r="M100" i="1"/>
  <c r="H100" i="11"/>
  <c r="J100" i="11" s="1"/>
  <c r="K100" i="11" s="1"/>
  <c r="H106" i="11"/>
  <c r="J106" i="11" s="1"/>
  <c r="K106" i="11" s="1"/>
  <c r="M106" i="1"/>
  <c r="H117" i="11"/>
  <c r="J117" i="11" s="1"/>
  <c r="K117" i="11" s="1"/>
  <c r="M117" i="1"/>
  <c r="N187" i="2"/>
  <c r="O187" i="2"/>
  <c r="J17" i="1"/>
  <c r="K17" i="1" s="1"/>
  <c r="H17" i="11"/>
  <c r="J17" i="11" s="1"/>
  <c r="K17" i="11" s="1"/>
  <c r="M17" i="1"/>
  <c r="F3" i="17"/>
  <c r="D4" i="11"/>
  <c r="G4" i="1"/>
  <c r="G131" i="1" s="1"/>
  <c r="J48" i="1"/>
  <c r="K48" i="1" s="1"/>
  <c r="M48" i="1"/>
  <c r="H48" i="11"/>
  <c r="J48" i="11" s="1"/>
  <c r="K48" i="11" s="1"/>
  <c r="H63" i="11"/>
  <c r="J63" i="11" s="1"/>
  <c r="K63" i="11" s="1"/>
  <c r="M63" i="1"/>
  <c r="J63" i="1"/>
  <c r="K63" i="1" s="1"/>
  <c r="M101" i="1"/>
  <c r="J101" i="1"/>
  <c r="K101" i="1" s="1"/>
  <c r="H101" i="11"/>
  <c r="J101" i="11" s="1"/>
  <c r="K101" i="11" s="1"/>
  <c r="J5" i="1"/>
  <c r="K5" i="1" s="1"/>
  <c r="M5" i="1"/>
  <c r="H15" i="11"/>
  <c r="J15" i="11" s="1"/>
  <c r="K15" i="11" s="1"/>
  <c r="M15" i="1"/>
  <c r="H5" i="11"/>
  <c r="J5" i="11" s="1"/>
  <c r="K5" i="11" s="1"/>
  <c r="M19" i="1"/>
  <c r="O19" i="1" s="1"/>
  <c r="P19" i="1" s="1"/>
  <c r="H122" i="11"/>
  <c r="J122" i="11" s="1"/>
  <c r="K122" i="11" s="1"/>
  <c r="J79" i="1"/>
  <c r="K79" i="1" s="1"/>
  <c r="H79" i="11"/>
  <c r="J79" i="11" s="1"/>
  <c r="K79" i="11" s="1"/>
  <c r="M21" i="1"/>
  <c r="H21" i="11"/>
  <c r="J21" i="11" s="1"/>
  <c r="K21" i="11" s="1"/>
  <c r="J21" i="1"/>
  <c r="K21" i="1" s="1"/>
  <c r="D18" i="11"/>
  <c r="G18" i="11" s="1"/>
  <c r="H18" i="1"/>
  <c r="J18" i="1" s="1"/>
  <c r="K18" i="1" s="1"/>
  <c r="G18" i="1"/>
  <c r="H13" i="11"/>
  <c r="J13" i="11" s="1"/>
  <c r="K13" i="11" s="1"/>
  <c r="M13" i="1"/>
  <c r="J13" i="1"/>
  <c r="K13" i="1" s="1"/>
  <c r="H61" i="11"/>
  <c r="J61" i="11" s="1"/>
  <c r="K61" i="11" s="1"/>
  <c r="M61" i="1"/>
  <c r="H97" i="11"/>
  <c r="J97" i="11" s="1"/>
  <c r="K97" i="11" s="1"/>
  <c r="M97" i="1"/>
  <c r="D8" i="11"/>
  <c r="H8" i="1"/>
  <c r="G8" i="1"/>
  <c r="H107" i="11"/>
  <c r="J107" i="11" s="1"/>
  <c r="K107" i="11" s="1"/>
  <c r="J107" i="1"/>
  <c r="K107" i="1" s="1"/>
  <c r="H6" i="11"/>
  <c r="J6" i="11" s="1"/>
  <c r="K6" i="11" s="1"/>
  <c r="M6" i="1"/>
  <c r="N194" i="2"/>
  <c r="O194" i="2"/>
  <c r="H12" i="11"/>
  <c r="J12" i="11" s="1"/>
  <c r="K12" i="11" s="1"/>
  <c r="M12" i="1"/>
  <c r="M45" i="1"/>
  <c r="J45" i="1"/>
  <c r="K45" i="1" s="1"/>
  <c r="H45" i="11"/>
  <c r="J45" i="11" s="1"/>
  <c r="K45" i="11" s="1"/>
  <c r="H95" i="11"/>
  <c r="J95" i="11" s="1"/>
  <c r="K95" i="11" s="1"/>
  <c r="J95" i="1"/>
  <c r="K95" i="1" s="1"/>
  <c r="M95" i="1"/>
  <c r="M119" i="1"/>
  <c r="H119" i="11"/>
  <c r="J119" i="11" s="1"/>
  <c r="K119" i="11" s="1"/>
  <c r="M35" i="1"/>
  <c r="H35" i="11"/>
  <c r="J35" i="11" s="1"/>
  <c r="K35" i="11" s="1"/>
  <c r="M26" i="1"/>
  <c r="J26" i="1"/>
  <c r="K26" i="1" s="1"/>
  <c r="D31" i="11"/>
  <c r="G31" i="11" s="1"/>
  <c r="G31" i="1"/>
  <c r="H31" i="1"/>
  <c r="J31" i="1" s="1"/>
  <c r="K31" i="1" s="1"/>
  <c r="M24" i="1"/>
  <c r="H24" i="11"/>
  <c r="J24" i="11" s="1"/>
  <c r="K24" i="11" s="1"/>
  <c r="H51" i="11"/>
  <c r="J51" i="11" s="1"/>
  <c r="K51" i="11" s="1"/>
  <c r="J51" i="1"/>
  <c r="K51" i="1" s="1"/>
  <c r="M51" i="1"/>
  <c r="H78" i="11"/>
  <c r="J78" i="11" s="1"/>
  <c r="K78" i="11" s="1"/>
  <c r="M78" i="1"/>
  <c r="M105" i="1"/>
  <c r="H105" i="11"/>
  <c r="J105" i="11" s="1"/>
  <c r="K105" i="11" s="1"/>
  <c r="J105" i="1"/>
  <c r="K105" i="1" s="1"/>
  <c r="H109" i="11"/>
  <c r="J109" i="11" s="1"/>
  <c r="K109" i="11" s="1"/>
  <c r="M109" i="1"/>
  <c r="D22" i="11"/>
  <c r="G22" i="11" s="1"/>
  <c r="G22" i="1"/>
  <c r="H22" i="1"/>
  <c r="J22" i="1" s="1"/>
  <c r="K22" i="1" s="1"/>
  <c r="H91" i="11"/>
  <c r="J91" i="11" s="1"/>
  <c r="K91" i="11" s="1"/>
  <c r="M91" i="1"/>
  <c r="J7" i="1"/>
  <c r="K7" i="1" s="1"/>
  <c r="H7" i="11"/>
  <c r="J7" i="11" s="1"/>
  <c r="K7" i="11" s="1"/>
  <c r="O84" i="1"/>
  <c r="P84" i="1" s="1"/>
  <c r="N136" i="2"/>
  <c r="H54" i="11"/>
  <c r="J54" i="11" s="1"/>
  <c r="K54" i="11" s="1"/>
  <c r="J54" i="1"/>
  <c r="K54" i="1" s="1"/>
  <c r="M54" i="1"/>
  <c r="J15" i="1"/>
  <c r="K15" i="1" s="1"/>
  <c r="J117" i="1"/>
  <c r="K117" i="1" s="1"/>
  <c r="D129" i="1"/>
  <c r="D14" i="11"/>
  <c r="G14" i="11" s="1"/>
  <c r="H14" i="1"/>
  <c r="G14" i="1"/>
  <c r="H32" i="11"/>
  <c r="J32" i="11" s="1"/>
  <c r="K32" i="11" s="1"/>
  <c r="M32" i="1"/>
  <c r="H125" i="11"/>
  <c r="J125" i="11" s="1"/>
  <c r="K125" i="11" s="1"/>
  <c r="M125" i="1"/>
  <c r="D49" i="11"/>
  <c r="G49" i="11" s="1"/>
  <c r="H49" i="1"/>
  <c r="J49" i="1" s="1"/>
  <c r="K49" i="1" s="1"/>
  <c r="G49" i="1"/>
  <c r="H42" i="11"/>
  <c r="J42" i="11" s="1"/>
  <c r="K42" i="11" s="1"/>
  <c r="M42" i="1"/>
  <c r="M59" i="1"/>
  <c r="H59" i="11"/>
  <c r="J59" i="11" s="1"/>
  <c r="K59" i="11" s="1"/>
  <c r="H70" i="11"/>
  <c r="J70" i="11" s="1"/>
  <c r="K70" i="11" s="1"/>
  <c r="M70" i="1"/>
  <c r="J70" i="1"/>
  <c r="K70" i="1" s="1"/>
  <c r="H76" i="11"/>
  <c r="J76" i="11" s="1"/>
  <c r="K76" i="11" s="1"/>
  <c r="M76" i="1"/>
  <c r="J76" i="1"/>
  <c r="K76" i="1" s="1"/>
  <c r="J80" i="1"/>
  <c r="K80" i="1" s="1"/>
  <c r="H80" i="11"/>
  <c r="J80" i="11" s="1"/>
  <c r="K80" i="11" s="1"/>
  <c r="M80" i="1"/>
  <c r="J85" i="1"/>
  <c r="K85" i="1" s="1"/>
  <c r="H85" i="11"/>
  <c r="J85" i="11" s="1"/>
  <c r="K85" i="11" s="1"/>
  <c r="M85" i="1"/>
  <c r="M113" i="1"/>
  <c r="H113" i="11"/>
  <c r="J113" i="11" s="1"/>
  <c r="K113" i="11" s="1"/>
  <c r="M66" i="1"/>
  <c r="H66" i="11"/>
  <c r="J66" i="11" s="1"/>
  <c r="K66" i="11" s="1"/>
  <c r="J66" i="1"/>
  <c r="K66" i="1" s="1"/>
  <c r="H25" i="11"/>
  <c r="J25" i="11" s="1"/>
  <c r="K25" i="11" s="1"/>
  <c r="M25" i="1"/>
  <c r="M37" i="1"/>
  <c r="H37" i="11"/>
  <c r="J37" i="11" s="1"/>
  <c r="K37" i="11" s="1"/>
  <c r="H50" i="11"/>
  <c r="J50" i="11" s="1"/>
  <c r="K50" i="11" s="1"/>
  <c r="J50" i="1"/>
  <c r="K50" i="1" s="1"/>
  <c r="M50" i="1"/>
  <c r="M87" i="1"/>
  <c r="H87" i="11"/>
  <c r="J87" i="11" s="1"/>
  <c r="K87" i="11" s="1"/>
  <c r="J87" i="1"/>
  <c r="K87" i="1" s="1"/>
  <c r="H103" i="11"/>
  <c r="J103" i="11" s="1"/>
  <c r="K103" i="11" s="1"/>
  <c r="J103" i="1"/>
  <c r="K103" i="1" s="1"/>
  <c r="M103" i="1"/>
  <c r="H123" i="11"/>
  <c r="J123" i="11" s="1"/>
  <c r="K123" i="11" s="1"/>
  <c r="M123" i="1"/>
  <c r="M67" i="1"/>
  <c r="H67" i="11"/>
  <c r="L68" i="11"/>
  <c r="N68" i="11" s="1"/>
  <c r="O68" i="11" s="1"/>
  <c r="O68" i="1"/>
  <c r="P68" i="1" s="1"/>
  <c r="L29" i="11"/>
  <c r="N29" i="11" s="1"/>
  <c r="O29" i="11" s="1"/>
  <c r="O29" i="1"/>
  <c r="P29" i="1" s="1"/>
  <c r="L79" i="11"/>
  <c r="N79" i="11" s="1"/>
  <c r="O79" i="11" s="1"/>
  <c r="O79" i="1"/>
  <c r="P79" i="1" s="1"/>
  <c r="L7" i="11"/>
  <c r="N7" i="11" s="1"/>
  <c r="O7" i="11" s="1"/>
  <c r="O7" i="1"/>
  <c r="P7" i="1" s="1"/>
  <c r="H57" i="11"/>
  <c r="J57" i="11" s="1"/>
  <c r="K57" i="11" s="1"/>
  <c r="M57" i="1"/>
  <c r="H111" i="11"/>
  <c r="J111" i="11" s="1"/>
  <c r="K111" i="11" s="1"/>
  <c r="M111" i="1"/>
  <c r="O107" i="1"/>
  <c r="P107" i="1" s="1"/>
  <c r="L107" i="11"/>
  <c r="N107" i="11" s="1"/>
  <c r="O107" i="11" s="1"/>
  <c r="M115" i="1"/>
  <c r="H115" i="11"/>
  <c r="J115" i="11" s="1"/>
  <c r="K115" i="11" s="1"/>
  <c r="M44" i="1"/>
  <c r="H44" i="11"/>
  <c r="J44" i="11" s="1"/>
  <c r="K44" i="11" s="1"/>
  <c r="O46" i="1"/>
  <c r="P46" i="1" s="1"/>
  <c r="H82" i="11"/>
  <c r="J82" i="11" s="1"/>
  <c r="K82" i="11" s="1"/>
  <c r="M82" i="1"/>
  <c r="J82" i="1"/>
  <c r="K82" i="1" s="1"/>
  <c r="O75" i="1"/>
  <c r="P75" i="1" s="1"/>
  <c r="I27" i="11"/>
  <c r="I49" i="11"/>
  <c r="I9" i="11"/>
  <c r="J9" i="10"/>
  <c r="K9" i="10" s="1"/>
  <c r="J81" i="10"/>
  <c r="I81" i="11"/>
  <c r="I129" i="1"/>
  <c r="I36" i="11"/>
  <c r="J36" i="10"/>
  <c r="K36" i="10" s="1"/>
  <c r="I67" i="11"/>
  <c r="J67" i="10"/>
  <c r="K67" i="10" s="1"/>
  <c r="I31" i="11"/>
  <c r="J9" i="13"/>
  <c r="K9" i="13" s="1"/>
  <c r="J81" i="13"/>
  <c r="I127" i="13"/>
  <c r="R4" i="13" s="1"/>
  <c r="J4" i="13"/>
  <c r="I14" i="11"/>
  <c r="J14" i="10"/>
  <c r="K14" i="10" s="1"/>
  <c r="J14" i="13"/>
  <c r="K14" i="13" s="1"/>
  <c r="I4" i="11"/>
  <c r="J4" i="10"/>
  <c r="J22" i="10"/>
  <c r="K22" i="10" s="1"/>
  <c r="I22" i="11"/>
  <c r="J3" i="17" l="1"/>
  <c r="D6" i="17"/>
  <c r="H4" i="17"/>
  <c r="F129" i="11"/>
  <c r="Z196" i="2"/>
  <c r="AA196" i="2"/>
  <c r="K5" i="17"/>
  <c r="H196" i="2"/>
  <c r="G5" i="17"/>
  <c r="G6" i="17" s="1"/>
  <c r="G11" i="17" s="1"/>
  <c r="D11" i="17"/>
  <c r="U196" i="2"/>
  <c r="G81" i="11"/>
  <c r="M27" i="1"/>
  <c r="O27" i="1" s="1"/>
  <c r="P27" i="1" s="1"/>
  <c r="J27" i="1"/>
  <c r="K27" i="1" s="1"/>
  <c r="O34" i="1"/>
  <c r="P34" i="1" s="1"/>
  <c r="K4" i="17"/>
  <c r="O127" i="1"/>
  <c r="P127" i="1" s="1"/>
  <c r="C129" i="11"/>
  <c r="E6" i="17"/>
  <c r="E11" i="17" s="1"/>
  <c r="I3" i="17"/>
  <c r="K4" i="13"/>
  <c r="K129" i="13" s="1"/>
  <c r="J129" i="13"/>
  <c r="G127" i="13"/>
  <c r="G130" i="13"/>
  <c r="K81" i="13"/>
  <c r="K131" i="13" s="1"/>
  <c r="J131" i="13"/>
  <c r="G30" i="11"/>
  <c r="K8" i="10"/>
  <c r="K130" i="10" s="1"/>
  <c r="J130" i="10"/>
  <c r="K4" i="10"/>
  <c r="K129" i="10" s="1"/>
  <c r="J129" i="10"/>
  <c r="K81" i="10"/>
  <c r="K131" i="10" s="1"/>
  <c r="J131" i="10"/>
  <c r="G132" i="1"/>
  <c r="G133" i="1"/>
  <c r="B129" i="11"/>
  <c r="H132" i="1"/>
  <c r="J81" i="1"/>
  <c r="H133" i="1"/>
  <c r="L99" i="11"/>
  <c r="N99" i="11" s="1"/>
  <c r="O99" i="11" s="1"/>
  <c r="L64" i="11"/>
  <c r="N64" i="11" s="1"/>
  <c r="O64" i="11" s="1"/>
  <c r="G4" i="11"/>
  <c r="L46" i="11"/>
  <c r="N46" i="11" s="1"/>
  <c r="O46" i="11" s="1"/>
  <c r="L121" i="11"/>
  <c r="N121" i="11" s="1"/>
  <c r="O121" i="11" s="1"/>
  <c r="L23" i="11"/>
  <c r="N23" i="11" s="1"/>
  <c r="O23" i="11" s="1"/>
  <c r="O90" i="1"/>
  <c r="P90" i="1" s="1"/>
  <c r="L53" i="11"/>
  <c r="N53" i="11" s="1"/>
  <c r="O53" i="11" s="1"/>
  <c r="H81" i="11"/>
  <c r="J81" i="11" s="1"/>
  <c r="C196" i="2"/>
  <c r="B196" i="2"/>
  <c r="L19" i="11"/>
  <c r="N19" i="11" s="1"/>
  <c r="O19" i="11" s="1"/>
  <c r="M81" i="1"/>
  <c r="O81" i="1" s="1"/>
  <c r="P81" i="1" s="1"/>
  <c r="O86" i="1"/>
  <c r="P86" i="1" s="1"/>
  <c r="O11" i="1"/>
  <c r="P11" i="1" s="1"/>
  <c r="L83" i="11"/>
  <c r="N83" i="11" s="1"/>
  <c r="O83" i="11" s="1"/>
  <c r="H127" i="13"/>
  <c r="J127" i="13" s="1"/>
  <c r="K127" i="13" s="1"/>
  <c r="M8" i="13"/>
  <c r="J8" i="13"/>
  <c r="L98" i="11"/>
  <c r="N98" i="11" s="1"/>
  <c r="O98" i="11" s="1"/>
  <c r="L108" i="11"/>
  <c r="N108" i="11" s="1"/>
  <c r="O108" i="11" s="1"/>
  <c r="L71" i="11"/>
  <c r="N71" i="11" s="1"/>
  <c r="O71" i="11" s="1"/>
  <c r="J27" i="11"/>
  <c r="K27" i="11" s="1"/>
  <c r="L33" i="11"/>
  <c r="N33" i="11" s="1"/>
  <c r="O33" i="11" s="1"/>
  <c r="L60" i="11"/>
  <c r="N60" i="11" s="1"/>
  <c r="O60" i="11" s="1"/>
  <c r="L20" i="11"/>
  <c r="N20" i="11" s="1"/>
  <c r="O20" i="11" s="1"/>
  <c r="F5" i="17"/>
  <c r="J5" i="17" s="1"/>
  <c r="L73" i="11"/>
  <c r="N73" i="11" s="1"/>
  <c r="O73" i="11" s="1"/>
  <c r="O10" i="10"/>
  <c r="P10" i="10" s="1"/>
  <c r="L10" i="11"/>
  <c r="N10" i="11" s="1"/>
  <c r="O10" i="11" s="1"/>
  <c r="O43" i="10"/>
  <c r="P43" i="10" s="1"/>
  <c r="L43" i="11"/>
  <c r="N43" i="11" s="1"/>
  <c r="O43" i="11" s="1"/>
  <c r="O30" i="10"/>
  <c r="P30" i="10" s="1"/>
  <c r="M127" i="10"/>
  <c r="O127" i="10" s="1"/>
  <c r="P127" i="10" s="1"/>
  <c r="L84" i="11"/>
  <c r="N84" i="11" s="1"/>
  <c r="O84" i="11" s="1"/>
  <c r="L75" i="11"/>
  <c r="N75" i="11" s="1"/>
  <c r="O75" i="11" s="1"/>
  <c r="L122" i="11"/>
  <c r="N122" i="11" s="1"/>
  <c r="O122" i="11" s="1"/>
  <c r="O116" i="10"/>
  <c r="P116" i="10" s="1"/>
  <c r="L116" i="11"/>
  <c r="N116" i="11" s="1"/>
  <c r="O116" i="11" s="1"/>
  <c r="O120" i="10"/>
  <c r="P120" i="10" s="1"/>
  <c r="L120" i="11"/>
  <c r="N120" i="11" s="1"/>
  <c r="O120" i="11" s="1"/>
  <c r="L124" i="11"/>
  <c r="N124" i="11" s="1"/>
  <c r="O124" i="11" s="1"/>
  <c r="M36" i="1"/>
  <c r="O36" i="1" s="1"/>
  <c r="P36" i="1" s="1"/>
  <c r="H129" i="1"/>
  <c r="J129" i="1" s="1"/>
  <c r="K129" i="1" s="1"/>
  <c r="J36" i="1"/>
  <c r="K36" i="1" s="1"/>
  <c r="H9" i="11"/>
  <c r="J9" i="11" s="1"/>
  <c r="K9" i="11" s="1"/>
  <c r="M9" i="1"/>
  <c r="O102" i="1"/>
  <c r="P102" i="1" s="1"/>
  <c r="L102" i="11"/>
  <c r="N102" i="11" s="1"/>
  <c r="O102" i="11" s="1"/>
  <c r="L16" i="11"/>
  <c r="N16" i="11" s="1"/>
  <c r="O16" i="11" s="1"/>
  <c r="J9" i="1"/>
  <c r="K9" i="1" s="1"/>
  <c r="J14" i="1"/>
  <c r="K14" i="1" s="1"/>
  <c r="O38" i="1"/>
  <c r="P38" i="1" s="1"/>
  <c r="L38" i="11"/>
  <c r="N38" i="11" s="1"/>
  <c r="O38" i="11" s="1"/>
  <c r="O69" i="1"/>
  <c r="P69" i="1" s="1"/>
  <c r="L69" i="11"/>
  <c r="N69" i="11" s="1"/>
  <c r="O69" i="11" s="1"/>
  <c r="L93" i="11"/>
  <c r="N93" i="11" s="1"/>
  <c r="O93" i="11" s="1"/>
  <c r="O93" i="1"/>
  <c r="P93" i="1" s="1"/>
  <c r="J67" i="11"/>
  <c r="K67" i="11" s="1"/>
  <c r="L100" i="11"/>
  <c r="N100" i="11" s="1"/>
  <c r="O100" i="11" s="1"/>
  <c r="O100" i="1"/>
  <c r="P100" i="1" s="1"/>
  <c r="O28" i="1"/>
  <c r="P28" i="1" s="1"/>
  <c r="L28" i="11"/>
  <c r="N28" i="11" s="1"/>
  <c r="O28" i="11" s="1"/>
  <c r="L89" i="11"/>
  <c r="N89" i="11" s="1"/>
  <c r="O89" i="11" s="1"/>
  <c r="O89" i="1"/>
  <c r="P89" i="1" s="1"/>
  <c r="O52" i="1"/>
  <c r="P52" i="1" s="1"/>
  <c r="L52" i="11"/>
  <c r="N52" i="11" s="1"/>
  <c r="O52" i="11" s="1"/>
  <c r="O40" i="1"/>
  <c r="P40" i="1" s="1"/>
  <c r="L40" i="11"/>
  <c r="N40" i="11" s="1"/>
  <c r="O40" i="11" s="1"/>
  <c r="G129" i="1"/>
  <c r="O106" i="1"/>
  <c r="P106" i="1" s="1"/>
  <c r="L106" i="11"/>
  <c r="N106" i="11" s="1"/>
  <c r="O106" i="11" s="1"/>
  <c r="L94" i="11"/>
  <c r="N94" i="11" s="1"/>
  <c r="O94" i="11" s="1"/>
  <c r="O94" i="1"/>
  <c r="P94" i="1" s="1"/>
  <c r="O92" i="1"/>
  <c r="P92" i="1" s="1"/>
  <c r="L92" i="11"/>
  <c r="N92" i="11" s="1"/>
  <c r="O92" i="11" s="1"/>
  <c r="O110" i="1"/>
  <c r="P110" i="1" s="1"/>
  <c r="L110" i="11"/>
  <c r="N110" i="11" s="1"/>
  <c r="O110" i="11" s="1"/>
  <c r="O47" i="1"/>
  <c r="P47" i="1" s="1"/>
  <c r="L47" i="11"/>
  <c r="N47" i="11" s="1"/>
  <c r="O47" i="11" s="1"/>
  <c r="O58" i="1"/>
  <c r="P58" i="1" s="1"/>
  <c r="L58" i="11"/>
  <c r="N58" i="11" s="1"/>
  <c r="O58" i="11" s="1"/>
  <c r="J36" i="11"/>
  <c r="K36" i="11" s="1"/>
  <c r="O55" i="1"/>
  <c r="P55" i="1" s="1"/>
  <c r="L55" i="11"/>
  <c r="N55" i="11" s="1"/>
  <c r="O55" i="11" s="1"/>
  <c r="O77" i="1"/>
  <c r="P77" i="1" s="1"/>
  <c r="L77" i="11"/>
  <c r="N77" i="11" s="1"/>
  <c r="O77" i="11" s="1"/>
  <c r="O56" i="1"/>
  <c r="P56" i="1" s="1"/>
  <c r="L56" i="11"/>
  <c r="N56" i="11" s="1"/>
  <c r="O56" i="11" s="1"/>
  <c r="O96" i="1"/>
  <c r="P96" i="1" s="1"/>
  <c r="L96" i="11"/>
  <c r="N96" i="11" s="1"/>
  <c r="O96" i="11" s="1"/>
  <c r="O88" i="1"/>
  <c r="P88" i="1" s="1"/>
  <c r="L88" i="11"/>
  <c r="N88" i="11" s="1"/>
  <c r="O88" i="11" s="1"/>
  <c r="O104" i="1"/>
  <c r="P104" i="1" s="1"/>
  <c r="L104" i="11"/>
  <c r="N104" i="11" s="1"/>
  <c r="O104" i="11" s="1"/>
  <c r="O114" i="1"/>
  <c r="P114" i="1" s="1"/>
  <c r="L114" i="11"/>
  <c r="N114" i="11" s="1"/>
  <c r="O114" i="11" s="1"/>
  <c r="J30" i="1"/>
  <c r="K30" i="1" s="1"/>
  <c r="H30" i="11"/>
  <c r="J30" i="11" s="1"/>
  <c r="K30" i="11" s="1"/>
  <c r="M30" i="1"/>
  <c r="L62" i="11"/>
  <c r="N62" i="11" s="1"/>
  <c r="O62" i="11" s="1"/>
  <c r="O62" i="1"/>
  <c r="P62" i="1" s="1"/>
  <c r="L103" i="11"/>
  <c r="N103" i="11" s="1"/>
  <c r="O103" i="11" s="1"/>
  <c r="O103" i="1"/>
  <c r="P103" i="1" s="1"/>
  <c r="O105" i="1"/>
  <c r="P105" i="1" s="1"/>
  <c r="L105" i="11"/>
  <c r="N105" i="11" s="1"/>
  <c r="O105" i="11" s="1"/>
  <c r="O123" i="1"/>
  <c r="P123" i="1" s="1"/>
  <c r="L123" i="11"/>
  <c r="N123" i="11" s="1"/>
  <c r="O123" i="11" s="1"/>
  <c r="O50" i="1"/>
  <c r="P50" i="1" s="1"/>
  <c r="L50" i="11"/>
  <c r="N50" i="11" s="1"/>
  <c r="O50" i="11" s="1"/>
  <c r="O37" i="1"/>
  <c r="P37" i="1" s="1"/>
  <c r="L37" i="11"/>
  <c r="N37" i="11" s="1"/>
  <c r="O37" i="11" s="1"/>
  <c r="O70" i="1"/>
  <c r="P70" i="1" s="1"/>
  <c r="L70" i="11"/>
  <c r="N70" i="11" s="1"/>
  <c r="O70" i="11" s="1"/>
  <c r="O42" i="1"/>
  <c r="P42" i="1" s="1"/>
  <c r="L42" i="11"/>
  <c r="N42" i="11" s="1"/>
  <c r="O42" i="11" s="1"/>
  <c r="M14" i="1"/>
  <c r="H14" i="11"/>
  <c r="J14" i="11" s="1"/>
  <c r="K14" i="11" s="1"/>
  <c r="N196" i="2"/>
  <c r="O196" i="2"/>
  <c r="O26" i="1"/>
  <c r="P26" i="1" s="1"/>
  <c r="L26" i="11"/>
  <c r="N26" i="11" s="1"/>
  <c r="O26" i="11" s="1"/>
  <c r="O45" i="1"/>
  <c r="P45" i="1" s="1"/>
  <c r="L45" i="11"/>
  <c r="N45" i="11" s="1"/>
  <c r="O45" i="11" s="1"/>
  <c r="L97" i="11"/>
  <c r="N97" i="11" s="1"/>
  <c r="O97" i="11" s="1"/>
  <c r="O97" i="1"/>
  <c r="P97" i="1" s="1"/>
  <c r="H18" i="11"/>
  <c r="J18" i="11" s="1"/>
  <c r="K18" i="11" s="1"/>
  <c r="M18" i="1"/>
  <c r="L21" i="11"/>
  <c r="N21" i="11" s="1"/>
  <c r="O21" i="11" s="1"/>
  <c r="O21" i="1"/>
  <c r="P21" i="1" s="1"/>
  <c r="O5" i="1"/>
  <c r="P5" i="1" s="1"/>
  <c r="L5" i="11"/>
  <c r="N5" i="11" s="1"/>
  <c r="O5" i="11" s="1"/>
  <c r="L101" i="11"/>
  <c r="N101" i="11" s="1"/>
  <c r="O101" i="11" s="1"/>
  <c r="O101" i="1"/>
  <c r="P101" i="1" s="1"/>
  <c r="H4" i="11"/>
  <c r="J4" i="11" s="1"/>
  <c r="K4" i="11" s="1"/>
  <c r="M4" i="1"/>
  <c r="L117" i="11"/>
  <c r="N117" i="11" s="1"/>
  <c r="O117" i="11" s="1"/>
  <c r="O117" i="1"/>
  <c r="P117" i="1" s="1"/>
  <c r="J4" i="1"/>
  <c r="D129" i="11"/>
  <c r="L67" i="11"/>
  <c r="N67" i="11" s="1"/>
  <c r="O67" i="11" s="1"/>
  <c r="O67" i="1"/>
  <c r="P67" i="1" s="1"/>
  <c r="O113" i="1"/>
  <c r="P113" i="1" s="1"/>
  <c r="L113" i="11"/>
  <c r="N113" i="11" s="1"/>
  <c r="O113" i="11" s="1"/>
  <c r="L80" i="11"/>
  <c r="N80" i="11" s="1"/>
  <c r="O80" i="11" s="1"/>
  <c r="O80" i="1"/>
  <c r="P80" i="1" s="1"/>
  <c r="O76" i="1"/>
  <c r="P76" i="1" s="1"/>
  <c r="L76" i="11"/>
  <c r="N76" i="11" s="1"/>
  <c r="O76" i="11" s="1"/>
  <c r="O32" i="1"/>
  <c r="P32" i="1" s="1"/>
  <c r="L32" i="11"/>
  <c r="N32" i="11" s="1"/>
  <c r="O32" i="11" s="1"/>
  <c r="L54" i="11"/>
  <c r="N54" i="11" s="1"/>
  <c r="O54" i="11" s="1"/>
  <c r="O54" i="1"/>
  <c r="P54" i="1" s="1"/>
  <c r="O91" i="1"/>
  <c r="P91" i="1" s="1"/>
  <c r="L91" i="11"/>
  <c r="N91" i="11" s="1"/>
  <c r="O91" i="11" s="1"/>
  <c r="O51" i="1"/>
  <c r="P51" i="1" s="1"/>
  <c r="L51" i="11"/>
  <c r="N51" i="11" s="1"/>
  <c r="O51" i="11" s="1"/>
  <c r="L24" i="11"/>
  <c r="N24" i="11" s="1"/>
  <c r="O24" i="11" s="1"/>
  <c r="O24" i="1"/>
  <c r="P24" i="1" s="1"/>
  <c r="O12" i="1"/>
  <c r="P12" i="1" s="1"/>
  <c r="L12" i="11"/>
  <c r="N12" i="11" s="1"/>
  <c r="O12" i="11" s="1"/>
  <c r="O6" i="1"/>
  <c r="P6" i="1" s="1"/>
  <c r="L6" i="11"/>
  <c r="N6" i="11" s="1"/>
  <c r="O6" i="11" s="1"/>
  <c r="L13" i="11"/>
  <c r="N13" i="11" s="1"/>
  <c r="O13" i="11" s="1"/>
  <c r="O13" i="1"/>
  <c r="P13" i="1" s="1"/>
  <c r="O48" i="1"/>
  <c r="P48" i="1" s="1"/>
  <c r="L48" i="11"/>
  <c r="N48" i="11" s="1"/>
  <c r="O48" i="11" s="1"/>
  <c r="L85" i="11"/>
  <c r="N85" i="11" s="1"/>
  <c r="O85" i="11" s="1"/>
  <c r="O85" i="1"/>
  <c r="P85" i="1" s="1"/>
  <c r="O109" i="1"/>
  <c r="P109" i="1" s="1"/>
  <c r="L109" i="11"/>
  <c r="N109" i="11" s="1"/>
  <c r="O109" i="11" s="1"/>
  <c r="M31" i="1"/>
  <c r="H31" i="11"/>
  <c r="J31" i="11" s="1"/>
  <c r="K31" i="11" s="1"/>
  <c r="L35" i="11"/>
  <c r="N35" i="11" s="1"/>
  <c r="O35" i="11" s="1"/>
  <c r="O35" i="1"/>
  <c r="P35" i="1" s="1"/>
  <c r="O119" i="1"/>
  <c r="P119" i="1" s="1"/>
  <c r="L119" i="11"/>
  <c r="N119" i="11" s="1"/>
  <c r="O119" i="11" s="1"/>
  <c r="J8" i="1"/>
  <c r="H8" i="11"/>
  <c r="J8" i="11" s="1"/>
  <c r="K8" i="11" s="1"/>
  <c r="M8" i="1"/>
  <c r="O61" i="1"/>
  <c r="P61" i="1" s="1"/>
  <c r="L61" i="11"/>
  <c r="N61" i="11" s="1"/>
  <c r="O61" i="11" s="1"/>
  <c r="O15" i="1"/>
  <c r="P15" i="1" s="1"/>
  <c r="L15" i="11"/>
  <c r="N15" i="11" s="1"/>
  <c r="O15" i="11" s="1"/>
  <c r="L63" i="11"/>
  <c r="N63" i="11" s="1"/>
  <c r="O63" i="11" s="1"/>
  <c r="O63" i="1"/>
  <c r="P63" i="1" s="1"/>
  <c r="O87" i="1"/>
  <c r="P87" i="1" s="1"/>
  <c r="L87" i="11"/>
  <c r="N87" i="11" s="1"/>
  <c r="O87" i="11" s="1"/>
  <c r="O25" i="1"/>
  <c r="P25" i="1" s="1"/>
  <c r="L25" i="11"/>
  <c r="N25" i="11" s="1"/>
  <c r="O25" i="11" s="1"/>
  <c r="L66" i="11"/>
  <c r="N66" i="11" s="1"/>
  <c r="O66" i="11" s="1"/>
  <c r="O66" i="1"/>
  <c r="P66" i="1" s="1"/>
  <c r="O59" i="1"/>
  <c r="P59" i="1" s="1"/>
  <c r="L59" i="11"/>
  <c r="N59" i="11" s="1"/>
  <c r="O59" i="11" s="1"/>
  <c r="M49" i="1"/>
  <c r="H49" i="11"/>
  <c r="J49" i="11" s="1"/>
  <c r="K49" i="11" s="1"/>
  <c r="O125" i="1"/>
  <c r="P125" i="1" s="1"/>
  <c r="L125" i="11"/>
  <c r="N125" i="11" s="1"/>
  <c r="O125" i="11" s="1"/>
  <c r="M22" i="1"/>
  <c r="H22" i="11"/>
  <c r="J22" i="11" s="1"/>
  <c r="K22" i="11" s="1"/>
  <c r="O78" i="1"/>
  <c r="P78" i="1" s="1"/>
  <c r="L78" i="11"/>
  <c r="N78" i="11" s="1"/>
  <c r="O78" i="11" s="1"/>
  <c r="L95" i="11"/>
  <c r="N95" i="11" s="1"/>
  <c r="O95" i="11" s="1"/>
  <c r="O95" i="1"/>
  <c r="P95" i="1" s="1"/>
  <c r="G8" i="11"/>
  <c r="F4" i="17"/>
  <c r="J4" i="17" s="1"/>
  <c r="O17" i="1"/>
  <c r="P17" i="1" s="1"/>
  <c r="L17" i="11"/>
  <c r="N17" i="11" s="1"/>
  <c r="O17" i="11" s="1"/>
  <c r="O44" i="1"/>
  <c r="P44" i="1" s="1"/>
  <c r="L44" i="11"/>
  <c r="N44" i="11" s="1"/>
  <c r="O44" i="11" s="1"/>
  <c r="L82" i="11"/>
  <c r="N82" i="11" s="1"/>
  <c r="O82" i="11" s="1"/>
  <c r="O82" i="1"/>
  <c r="P82" i="1" s="1"/>
  <c r="O115" i="1"/>
  <c r="P115" i="1" s="1"/>
  <c r="L115" i="11"/>
  <c r="N115" i="11" s="1"/>
  <c r="O115" i="11" s="1"/>
  <c r="O111" i="1"/>
  <c r="P111" i="1" s="1"/>
  <c r="L111" i="11"/>
  <c r="N111" i="11" s="1"/>
  <c r="O111" i="11" s="1"/>
  <c r="L57" i="11"/>
  <c r="N57" i="11" s="1"/>
  <c r="O57" i="11" s="1"/>
  <c r="O57" i="1"/>
  <c r="P57" i="1" s="1"/>
  <c r="R14" i="13"/>
  <c r="S127" i="10"/>
  <c r="J127" i="10"/>
  <c r="K127" i="10" s="1"/>
  <c r="R49" i="13"/>
  <c r="R8" i="13"/>
  <c r="S127" i="13"/>
  <c r="S4" i="13" s="1"/>
  <c r="R31" i="13"/>
  <c r="R22" i="13"/>
  <c r="R30" i="13"/>
  <c r="R36" i="13"/>
  <c r="R27" i="13"/>
  <c r="R67" i="13"/>
  <c r="R18" i="13"/>
  <c r="I129" i="11"/>
  <c r="R81" i="13"/>
  <c r="R9" i="13"/>
  <c r="L4" i="17" l="1"/>
  <c r="M4" i="17" s="1"/>
  <c r="H6" i="17"/>
  <c r="H11" i="17" s="1"/>
  <c r="K6" i="17"/>
  <c r="K11" i="17" s="1"/>
  <c r="L27" i="11"/>
  <c r="N27" i="11" s="1"/>
  <c r="O27" i="11" s="1"/>
  <c r="I5" i="17"/>
  <c r="F6" i="17"/>
  <c r="F11" i="17" s="1"/>
  <c r="L3" i="17"/>
  <c r="K8" i="13"/>
  <c r="K130" i="13" s="1"/>
  <c r="J130" i="13"/>
  <c r="G129" i="11"/>
  <c r="K8" i="1"/>
  <c r="K132" i="1" s="1"/>
  <c r="J132" i="1"/>
  <c r="K4" i="1"/>
  <c r="K131" i="1" s="1"/>
  <c r="J131" i="1"/>
  <c r="K81" i="1"/>
  <c r="K133" i="1" s="1"/>
  <c r="J133" i="1"/>
  <c r="L36" i="11"/>
  <c r="N36" i="11" s="1"/>
  <c r="O36" i="11" s="1"/>
  <c r="S9" i="13"/>
  <c r="S18" i="13"/>
  <c r="L81" i="11"/>
  <c r="N81" i="11" s="1"/>
  <c r="O81" i="11" s="1"/>
  <c r="S27" i="13"/>
  <c r="S31" i="13"/>
  <c r="S14" i="13"/>
  <c r="S36" i="13"/>
  <c r="S22" i="13"/>
  <c r="S49" i="13"/>
  <c r="O8" i="13"/>
  <c r="P8" i="13" s="1"/>
  <c r="M127" i="13"/>
  <c r="O127" i="13" s="1"/>
  <c r="P127" i="13" s="1"/>
  <c r="O9" i="1"/>
  <c r="P9" i="1" s="1"/>
  <c r="L9" i="11"/>
  <c r="N9" i="11" s="1"/>
  <c r="O9" i="11" s="1"/>
  <c r="M129" i="1"/>
  <c r="O129" i="1" s="1"/>
  <c r="P129" i="1" s="1"/>
  <c r="L30" i="11"/>
  <c r="N30" i="11" s="1"/>
  <c r="O30" i="11" s="1"/>
  <c r="O30" i="1"/>
  <c r="P30" i="1" s="1"/>
  <c r="H129" i="11"/>
  <c r="J129" i="11" s="1"/>
  <c r="K129" i="11" s="1"/>
  <c r="I4" i="17"/>
  <c r="L22" i="11"/>
  <c r="N22" i="11" s="1"/>
  <c r="O22" i="11" s="1"/>
  <c r="O22" i="1"/>
  <c r="P22" i="1" s="1"/>
  <c r="L49" i="11"/>
  <c r="N49" i="11" s="1"/>
  <c r="O49" i="11" s="1"/>
  <c r="O49" i="1"/>
  <c r="P49" i="1" s="1"/>
  <c r="O8" i="1"/>
  <c r="P8" i="1" s="1"/>
  <c r="L8" i="11"/>
  <c r="N8" i="11" s="1"/>
  <c r="O8" i="11" s="1"/>
  <c r="O31" i="1"/>
  <c r="P31" i="1" s="1"/>
  <c r="L31" i="11"/>
  <c r="N31" i="11" s="1"/>
  <c r="O31" i="11" s="1"/>
  <c r="O14" i="1"/>
  <c r="P14" i="1" s="1"/>
  <c r="L14" i="11"/>
  <c r="N14" i="11" s="1"/>
  <c r="O14" i="11" s="1"/>
  <c r="L4" i="11"/>
  <c r="N4" i="11" s="1"/>
  <c r="O4" i="11" s="1"/>
  <c r="O4" i="1"/>
  <c r="P4" i="1" s="1"/>
  <c r="O18" i="1"/>
  <c r="P18" i="1" s="1"/>
  <c r="L18" i="11"/>
  <c r="N18" i="11" s="1"/>
  <c r="O18" i="11" s="1"/>
  <c r="S81" i="13"/>
  <c r="S67" i="13"/>
  <c r="S30" i="13"/>
  <c r="S8" i="13"/>
  <c r="S18" i="10"/>
  <c r="S49" i="10"/>
  <c r="S81" i="10"/>
  <c r="S36" i="10"/>
  <c r="S67" i="10"/>
  <c r="S4" i="10"/>
  <c r="S30" i="10"/>
  <c r="S9" i="10"/>
  <c r="S31" i="10"/>
  <c r="S8" i="10"/>
  <c r="S27" i="10"/>
  <c r="S14" i="10"/>
  <c r="S22" i="10"/>
  <c r="J6" i="17" l="1"/>
  <c r="J11" i="17" s="1"/>
  <c r="C6" i="17"/>
  <c r="C11" i="17" s="1"/>
  <c r="I6" i="17"/>
  <c r="I11" i="17" s="1"/>
  <c r="L5" i="17"/>
  <c r="M5" i="17" s="1"/>
  <c r="M3" i="17"/>
  <c r="L129" i="11"/>
  <c r="N129" i="11" s="1"/>
  <c r="O129" i="11" s="1"/>
  <c r="L6" i="17" l="1"/>
  <c r="M6" i="17" s="1"/>
  <c r="L11" i="17" l="1"/>
  <c r="M11" i="17" s="1"/>
</calcChain>
</file>

<file path=xl/sharedStrings.xml><?xml version="1.0" encoding="utf-8"?>
<sst xmlns="http://schemas.openxmlformats.org/spreadsheetml/2006/main" count="6949" uniqueCount="1119">
  <si>
    <t>Territory</t>
  </si>
  <si>
    <t>Week 1</t>
  </si>
  <si>
    <t>Week 2</t>
  </si>
  <si>
    <t>Week 3</t>
  </si>
  <si>
    <t>Week 4</t>
  </si>
  <si>
    <t>Week 5</t>
  </si>
  <si>
    <t>Month to Date</t>
  </si>
  <si>
    <t>Month Projection</t>
  </si>
  <si>
    <t>iTunes</t>
  </si>
  <si>
    <t>North America</t>
  </si>
  <si>
    <t>UK</t>
  </si>
  <si>
    <t>Italy</t>
  </si>
  <si>
    <t>Rest of Europe</t>
  </si>
  <si>
    <t>Japan</t>
  </si>
  <si>
    <t>Australia &amp; NZ</t>
  </si>
  <si>
    <t>iTunes Total</t>
  </si>
  <si>
    <t>WEEK 1</t>
  </si>
  <si>
    <t>WEEK 2</t>
  </si>
  <si>
    <t>WEEK 3</t>
  </si>
  <si>
    <t>WEEK 4</t>
  </si>
  <si>
    <t>WEEK 5</t>
  </si>
  <si>
    <t>Total</t>
  </si>
  <si>
    <t>TOTAL</t>
  </si>
  <si>
    <t xml:space="preserve">-- UK   </t>
  </si>
  <si>
    <t>Europe</t>
  </si>
  <si>
    <t>-- Japan</t>
  </si>
  <si>
    <t>ROW</t>
  </si>
  <si>
    <t>WEEK 1 TOTAL</t>
  </si>
  <si>
    <t>WEEK 2 TOTAL</t>
  </si>
  <si>
    <t>WEEK 3 TOTAL</t>
  </si>
  <si>
    <t>WEEK 4 TOTAL</t>
  </si>
  <si>
    <t>WEEK 5 TOTAL</t>
  </si>
  <si>
    <t>INCLUDING REJECTS:</t>
  </si>
  <si>
    <t>Australia</t>
  </si>
  <si>
    <t>Austria</t>
  </si>
  <si>
    <t>Belgium</t>
  </si>
  <si>
    <t>Canada</t>
  </si>
  <si>
    <t>Denmark</t>
  </si>
  <si>
    <t>Finland</t>
  </si>
  <si>
    <t>France</t>
  </si>
  <si>
    <t>Germany</t>
  </si>
  <si>
    <t>Greece</t>
  </si>
  <si>
    <t>Ireland</t>
  </si>
  <si>
    <t>Luxembourg</t>
  </si>
  <si>
    <t>Netherlands</t>
  </si>
  <si>
    <t>New Zealand</t>
  </si>
  <si>
    <t>Norway</t>
  </si>
  <si>
    <t>Portugal</t>
  </si>
  <si>
    <t>Spain</t>
  </si>
  <si>
    <t>Sweden</t>
  </si>
  <si>
    <t>Switzerland</t>
  </si>
  <si>
    <t>US</t>
  </si>
  <si>
    <t>Slovakia</t>
  </si>
  <si>
    <t>Romania</t>
  </si>
  <si>
    <t>Poland</t>
  </si>
  <si>
    <t>Malta</t>
  </si>
  <si>
    <t>Lithuania</t>
  </si>
  <si>
    <t>Latvia</t>
  </si>
  <si>
    <t>Hungary</t>
  </si>
  <si>
    <t>Estonia</t>
  </si>
  <si>
    <t>Czech Republic</t>
  </si>
  <si>
    <t>Cyprus</t>
  </si>
  <si>
    <t>Bulgaria</t>
  </si>
  <si>
    <t>-- Spain, Portugal</t>
  </si>
  <si>
    <t>-- Rest of EU</t>
  </si>
  <si>
    <t xml:space="preserve">-- Australia &amp; NZ </t>
  </si>
  <si>
    <t>-- Australia &amp; NZ</t>
  </si>
  <si>
    <t>Label</t>
  </si>
  <si>
    <t>Artist</t>
  </si>
  <si>
    <t>Track</t>
  </si>
  <si>
    <t>Cleopatra Records</t>
  </si>
  <si>
    <t>Rank</t>
  </si>
  <si>
    <t>United Kingdom</t>
  </si>
  <si>
    <t>Mexico</t>
  </si>
  <si>
    <t>Monaco</t>
  </si>
  <si>
    <t>-- SP, PT, IT</t>
  </si>
  <si>
    <t>SP, PT, IT</t>
  </si>
  <si>
    <t>Album</t>
  </si>
  <si>
    <t>Video</t>
  </si>
  <si>
    <t>Andorra</t>
  </si>
  <si>
    <t>Variance to Plan ($)</t>
  </si>
  <si>
    <t>Variance to Plan (%)</t>
  </si>
  <si>
    <t>Month Plan</t>
  </si>
  <si>
    <t>YouTube Music</t>
  </si>
  <si>
    <t>YouTube Film/TV</t>
  </si>
  <si>
    <t>GSA</t>
  </si>
  <si>
    <t>Scandinavia</t>
  </si>
  <si>
    <t>-- GSA</t>
  </si>
  <si>
    <t>Eastern EU</t>
  </si>
  <si>
    <t>-- Eastern EU</t>
  </si>
  <si>
    <t>Slovenia</t>
  </si>
  <si>
    <t xml:space="preserve"> </t>
  </si>
  <si>
    <t>FR, Bel, Lux, NE</t>
  </si>
  <si>
    <t>-- Fr, Bel, Lux, NE</t>
  </si>
  <si>
    <t>NA</t>
  </si>
  <si>
    <t>LATAM</t>
  </si>
  <si>
    <t>-- LATAM</t>
  </si>
  <si>
    <t>-- Scandinavia</t>
  </si>
  <si>
    <t>Orchard Video</t>
  </si>
  <si>
    <t>-- Pan-Asia</t>
  </si>
  <si>
    <t>Pan-Asia</t>
  </si>
  <si>
    <t>Spotify Austria</t>
  </si>
  <si>
    <t>Spotify Belgium</t>
  </si>
  <si>
    <t>Spotify Denmark</t>
  </si>
  <si>
    <t>Spotify Finland</t>
  </si>
  <si>
    <t>Spotify France</t>
  </si>
  <si>
    <t>Spotify Germany</t>
  </si>
  <si>
    <t>Spotify Netherlands</t>
  </si>
  <si>
    <t>Spotify Norway</t>
  </si>
  <si>
    <t>Spotify Spain</t>
  </si>
  <si>
    <t>Spotify Sweden</t>
  </si>
  <si>
    <t>Spotify Switzerland</t>
  </si>
  <si>
    <t>Spotify United Kingdom</t>
  </si>
  <si>
    <t>Spotify USA</t>
  </si>
  <si>
    <t>AS</t>
  </si>
  <si>
    <t>S</t>
  </si>
  <si>
    <t>EU</t>
  </si>
  <si>
    <t>Amazon US</t>
  </si>
  <si>
    <t>September</t>
  </si>
  <si>
    <t>October</t>
  </si>
  <si>
    <t>Spotify Andorra</t>
  </si>
  <si>
    <t>Spotify Ireland</t>
  </si>
  <si>
    <t>Spotify Liechtenstein</t>
  </si>
  <si>
    <t>Spotify Luxembourg</t>
  </si>
  <si>
    <t>Spotify Monaco</t>
  </si>
  <si>
    <t>November</t>
  </si>
  <si>
    <t>Anguilla</t>
  </si>
  <si>
    <t>Antigua and Barbuda</t>
  </si>
  <si>
    <t>Argentina</t>
  </si>
  <si>
    <t>Armenia</t>
  </si>
  <si>
    <t>Azerbaijan</t>
  </si>
  <si>
    <t>Bahamas</t>
  </si>
  <si>
    <t>Barbados</t>
  </si>
  <si>
    <t>Belarus</t>
  </si>
  <si>
    <t>Belize</t>
  </si>
  <si>
    <t>Bermuda</t>
  </si>
  <si>
    <t>Bolivia</t>
  </si>
  <si>
    <t>Botswana</t>
  </si>
  <si>
    <t>Brazil</t>
  </si>
  <si>
    <t>Brunei Darussalam</t>
  </si>
  <si>
    <t>Burkina Faso</t>
  </si>
  <si>
    <t>Cambodia</t>
  </si>
  <si>
    <t>Cape Verde</t>
  </si>
  <si>
    <t>Cayman Islands</t>
  </si>
  <si>
    <t>Chile</t>
  </si>
  <si>
    <t>Colombia</t>
  </si>
  <si>
    <t>Costa Rica</t>
  </si>
  <si>
    <t>Dominica</t>
  </si>
  <si>
    <t>Dominican Republic</t>
  </si>
  <si>
    <t>Ecuador</t>
  </si>
  <si>
    <t>El Salvador</t>
  </si>
  <si>
    <t>Fiji</t>
  </si>
  <si>
    <t>Gambia</t>
  </si>
  <si>
    <t>Ghana</t>
  </si>
  <si>
    <t>Grenada</t>
  </si>
  <si>
    <t>Guatemala</t>
  </si>
  <si>
    <t>Guinea-Bissau</t>
  </si>
  <si>
    <t>Honduras</t>
  </si>
  <si>
    <t>Hong Kong</t>
  </si>
  <si>
    <t>India</t>
  </si>
  <si>
    <t>Indonesia</t>
  </si>
  <si>
    <t>Israel</t>
  </si>
  <si>
    <t>Kazakhstan</t>
  </si>
  <si>
    <t>Kenya</t>
  </si>
  <si>
    <t>Kyrgyzstan</t>
  </si>
  <si>
    <t>Macao</t>
  </si>
  <si>
    <t>Malaysia</t>
  </si>
  <si>
    <t>Mauritius</t>
  </si>
  <si>
    <t>Micronesia</t>
  </si>
  <si>
    <t>Moldova</t>
  </si>
  <si>
    <t>Mongolia</t>
  </si>
  <si>
    <t>Mozambique</t>
  </si>
  <si>
    <t>Namibia</t>
  </si>
  <si>
    <t>Nepal</t>
  </si>
  <si>
    <t>Nicaragua</t>
  </si>
  <si>
    <t>Niger</t>
  </si>
  <si>
    <t>Nigeria</t>
  </si>
  <si>
    <t>Panama</t>
  </si>
  <si>
    <t>Papua New Guinea</t>
  </si>
  <si>
    <t>Paraguay</t>
  </si>
  <si>
    <t>Peru</t>
  </si>
  <si>
    <t>Philippines</t>
  </si>
  <si>
    <t>Russia</t>
  </si>
  <si>
    <t>Saint Kitts and Nevis</t>
  </si>
  <si>
    <t>Singapore</t>
  </si>
  <si>
    <t>South Africa</t>
  </si>
  <si>
    <t>Sri Lanka</t>
  </si>
  <si>
    <t>Swaziland</t>
  </si>
  <si>
    <t>Taiwan</t>
  </si>
  <si>
    <t>Tajikistan</t>
  </si>
  <si>
    <t>Thailand</t>
  </si>
  <si>
    <t>Trinidad and Tobago</t>
  </si>
  <si>
    <t>Turkey</t>
  </si>
  <si>
    <t>Turkmenistan</t>
  </si>
  <si>
    <t>Uganda</t>
  </si>
  <si>
    <t>Ukraine</t>
  </si>
  <si>
    <t>Uzbekistan</t>
  </si>
  <si>
    <t>Venezuela</t>
  </si>
  <si>
    <t>Viet Nam</t>
  </si>
  <si>
    <t>Virgin Islands, British</t>
  </si>
  <si>
    <t>Zimbabwe</t>
  </si>
  <si>
    <t>United States</t>
  </si>
  <si>
    <t>-- ROW</t>
  </si>
  <si>
    <t>Laos</t>
  </si>
  <si>
    <t>Montenegro</t>
  </si>
  <si>
    <t>AI</t>
  </si>
  <si>
    <t>AG</t>
  </si>
  <si>
    <t>AR</t>
  </si>
  <si>
    <t>AM</t>
  </si>
  <si>
    <t>AU</t>
  </si>
  <si>
    <t>AT</t>
  </si>
  <si>
    <t>AZ</t>
  </si>
  <si>
    <t>BS</t>
  </si>
  <si>
    <t>BB</t>
  </si>
  <si>
    <t>BY</t>
  </si>
  <si>
    <t>BE</t>
  </si>
  <si>
    <t>BZ</t>
  </si>
  <si>
    <t>BM</t>
  </si>
  <si>
    <t>BO</t>
  </si>
  <si>
    <t>BW</t>
  </si>
  <si>
    <t>BR</t>
  </si>
  <si>
    <t>BN</t>
  </si>
  <si>
    <t>BG</t>
  </si>
  <si>
    <t>BF</t>
  </si>
  <si>
    <t>KH</t>
  </si>
  <si>
    <t>CA</t>
  </si>
  <si>
    <t>CV</t>
  </si>
  <si>
    <t>KY</t>
  </si>
  <si>
    <t>CL</t>
  </si>
  <si>
    <t>CO</t>
  </si>
  <si>
    <t>CR</t>
  </si>
  <si>
    <t>CY</t>
  </si>
  <si>
    <t>CZ</t>
  </si>
  <si>
    <t>DK</t>
  </si>
  <si>
    <t>DM</t>
  </si>
  <si>
    <t>DO</t>
  </si>
  <si>
    <t>EC</t>
  </si>
  <si>
    <t>SV</t>
  </si>
  <si>
    <t>EE</t>
  </si>
  <si>
    <t>FJ</t>
  </si>
  <si>
    <t>FI</t>
  </si>
  <si>
    <t>FR</t>
  </si>
  <si>
    <t>GM</t>
  </si>
  <si>
    <t>DE</t>
  </si>
  <si>
    <t>GH</t>
  </si>
  <si>
    <t>GR</t>
  </si>
  <si>
    <t>GD</t>
  </si>
  <si>
    <t>GT</t>
  </si>
  <si>
    <t>GW</t>
  </si>
  <si>
    <t>HN</t>
  </si>
  <si>
    <t>HK</t>
  </si>
  <si>
    <t>HU</t>
  </si>
  <si>
    <t>IN</t>
  </si>
  <si>
    <t>ID</t>
  </si>
  <si>
    <t>IE</t>
  </si>
  <si>
    <t>IL</t>
  </si>
  <si>
    <t>IT</t>
  </si>
  <si>
    <t>JP</t>
  </si>
  <si>
    <t>KZ</t>
  </si>
  <si>
    <t>KE</t>
  </si>
  <si>
    <t>KG</t>
  </si>
  <si>
    <t>LV</t>
  </si>
  <si>
    <t>LT</t>
  </si>
  <si>
    <t>LU</t>
  </si>
  <si>
    <t>MO</t>
  </si>
  <si>
    <t>MY</t>
  </si>
  <si>
    <t>MT</t>
  </si>
  <si>
    <t>MU</t>
  </si>
  <si>
    <t>MX</t>
  </si>
  <si>
    <t>FM</t>
  </si>
  <si>
    <t>MN</t>
  </si>
  <si>
    <t>MZ</t>
  </si>
  <si>
    <t>NP</t>
  </si>
  <si>
    <t>NL</t>
  </si>
  <si>
    <t>NZ</t>
  </si>
  <si>
    <t>NI</t>
  </si>
  <si>
    <t>NE</t>
  </si>
  <si>
    <t>NG</t>
  </si>
  <si>
    <t>NO</t>
  </si>
  <si>
    <t>PA</t>
  </si>
  <si>
    <t>PG</t>
  </si>
  <si>
    <t>PY</t>
  </si>
  <si>
    <t>PE</t>
  </si>
  <si>
    <t>PH</t>
  </si>
  <si>
    <t>PL</t>
  </si>
  <si>
    <t>PT</t>
  </si>
  <si>
    <t>RO</t>
  </si>
  <si>
    <t>KN</t>
  </si>
  <si>
    <t>SG</t>
  </si>
  <si>
    <t>SK</t>
  </si>
  <si>
    <t>SI</t>
  </si>
  <si>
    <t>ZA</t>
  </si>
  <si>
    <t>ES</t>
  </si>
  <si>
    <t>LK</t>
  </si>
  <si>
    <t>SZ</t>
  </si>
  <si>
    <t>SE</t>
  </si>
  <si>
    <t>CH</t>
  </si>
  <si>
    <t>TW</t>
  </si>
  <si>
    <t>TJ</t>
  </si>
  <si>
    <t>TH</t>
  </si>
  <si>
    <t>TT</t>
  </si>
  <si>
    <t>TR</t>
  </si>
  <si>
    <t>TM</t>
  </si>
  <si>
    <t>UG</t>
  </si>
  <si>
    <t>UA</t>
  </si>
  <si>
    <t>GB</t>
  </si>
  <si>
    <t>UZ</t>
  </si>
  <si>
    <t>VE</t>
  </si>
  <si>
    <t>VN</t>
  </si>
  <si>
    <t>ZW</t>
  </si>
  <si>
    <t>VG</t>
  </si>
  <si>
    <t>RU</t>
  </si>
  <si>
    <t>CS</t>
  </si>
  <si>
    <t>MD</t>
  </si>
  <si>
    <t>LA</t>
  </si>
  <si>
    <t>Cricket</t>
  </si>
  <si>
    <t>Store</t>
  </si>
  <si>
    <t>TRACK INGESTION</t>
  </si>
  <si>
    <t>Top 20 Track Downloads</t>
  </si>
  <si>
    <t>Top 20 Album Downloads</t>
  </si>
  <si>
    <t>Cricket^</t>
  </si>
  <si>
    <t>Repertoire</t>
  </si>
  <si>
    <t>ORCH</t>
  </si>
  <si>
    <t>IODA</t>
  </si>
  <si>
    <t>Classic Recordings</t>
  </si>
  <si>
    <t>Get Low Digital</t>
  </si>
  <si>
    <t>Australian Broadcasting Corporation</t>
  </si>
  <si>
    <t>Proper Music Distribution Ltd.</t>
  </si>
  <si>
    <t>Burnside Distribution</t>
  </si>
  <si>
    <t>RuCo, Inc</t>
  </si>
  <si>
    <t>Amazon Austria</t>
  </si>
  <si>
    <t>Amazon France</t>
  </si>
  <si>
    <t>Amazon Germany</t>
  </si>
  <si>
    <t>Amazon Italy</t>
  </si>
  <si>
    <t>Amazon Japan</t>
  </si>
  <si>
    <t>Amazon Spain</t>
  </si>
  <si>
    <t>Amazon United Kingdom</t>
  </si>
  <si>
    <t>Spotify Italy</t>
  </si>
  <si>
    <t>Spotify Poland</t>
  </si>
  <si>
    <t>Spotify Portugal</t>
  </si>
  <si>
    <t>24 Hour Service Station Distribution</t>
  </si>
  <si>
    <t>Allegro</t>
  </si>
  <si>
    <t>Orchard</t>
  </si>
  <si>
    <t># of Releases</t>
  </si>
  <si>
    <t>Seba Dolimont</t>
  </si>
  <si>
    <t>Neowiz Bugs Corporation</t>
  </si>
  <si>
    <t>Nuclear Blast</t>
  </si>
  <si>
    <t>Starmedia AV LAB LLP (Studio Soyuz LLC)</t>
  </si>
  <si>
    <t>Client Manager</t>
  </si>
  <si>
    <t>Bomb Hip Hop</t>
  </si>
  <si>
    <t>CMH Records</t>
  </si>
  <si>
    <t>TVT</t>
  </si>
  <si>
    <t>ABB Records</t>
  </si>
  <si>
    <t>Easy Street Records</t>
  </si>
  <si>
    <t>Tourmaline Media</t>
  </si>
  <si>
    <t>The Humble Empire LLC</t>
  </si>
  <si>
    <t>Talking Taco Music</t>
  </si>
  <si>
    <t>World Music Network</t>
  </si>
  <si>
    <t>Kult Records</t>
  </si>
  <si>
    <t>Domination Distribution, LLC</t>
  </si>
  <si>
    <t>Kjer.com ApS</t>
  </si>
  <si>
    <t>Indie Pool</t>
  </si>
  <si>
    <t>AK Press</t>
  </si>
  <si>
    <t>Black Market Transit</t>
  </si>
  <si>
    <t>SPG Music</t>
  </si>
  <si>
    <t>ObliqSound</t>
  </si>
  <si>
    <t>Ultraviolet Productions</t>
  </si>
  <si>
    <t>Challenge Records International BV</t>
  </si>
  <si>
    <t>Perspective Music, Inc.</t>
  </si>
  <si>
    <t>Digital Delivery Services</t>
  </si>
  <si>
    <t>Sonic Rendezvous DCM BV</t>
  </si>
  <si>
    <t>Street Anthem Records</t>
  </si>
  <si>
    <t>Azucar Entertainment Inc.</t>
  </si>
  <si>
    <t>Defend Music Inc.</t>
  </si>
  <si>
    <t>The Corrupt Conglomerate</t>
  </si>
  <si>
    <t>Uproar Entertainment</t>
  </si>
  <si>
    <t>YOYO USA, Inc.</t>
  </si>
  <si>
    <t>WKW Familienmusik GmbH</t>
  </si>
  <si>
    <t>His Production USA, Inc.</t>
  </si>
  <si>
    <t>Inside Sounds</t>
  </si>
  <si>
    <t>Sickbay Records, Inc.</t>
  </si>
  <si>
    <t>Shellshock</t>
  </si>
  <si>
    <t>LRC Ltd.</t>
  </si>
  <si>
    <t>China Media Ventures, Inc.</t>
  </si>
  <si>
    <t>Santa Fe Music Group</t>
  </si>
  <si>
    <t>Universal Childrens Audio (UCA) Ltd</t>
  </si>
  <si>
    <t>KEM Enterprises, Inc.</t>
  </si>
  <si>
    <t>Cargo Records UK</t>
  </si>
  <si>
    <t>Independent Entertainment Group Snc</t>
  </si>
  <si>
    <t>CineVu</t>
  </si>
  <si>
    <t>Global Journey Ltd</t>
  </si>
  <si>
    <t>Electrofunk Records, Inc. dba Submerge Recordings</t>
  </si>
  <si>
    <t>Janet Kuypers</t>
  </si>
  <si>
    <t>The Sound Corporation</t>
  </si>
  <si>
    <t>Reggae Lounge</t>
  </si>
  <si>
    <t>iMusician</t>
  </si>
  <si>
    <t>DEDALO SOUND</t>
  </si>
  <si>
    <t>Everest Record Group</t>
  </si>
  <si>
    <t>Angel Eyes Music Group LLC</t>
  </si>
  <si>
    <t>Edition Turicaphon AG</t>
  </si>
  <si>
    <t>Rubber Music Pty Ltd</t>
  </si>
  <si>
    <t>Disques Atma, Inc.</t>
  </si>
  <si>
    <t>RaCheer Media Ltd.</t>
  </si>
  <si>
    <t>Albany Music Distributors</t>
  </si>
  <si>
    <t>Smut Peddlers</t>
  </si>
  <si>
    <t>David Evans</t>
  </si>
  <si>
    <t>Hi-Bias Records Inc.</t>
  </si>
  <si>
    <t>New Gold Music Ltd</t>
  </si>
  <si>
    <t>Money Tree Ent.</t>
  </si>
  <si>
    <t>Datta Yoga Center USA</t>
  </si>
  <si>
    <t>Essential Media Group</t>
  </si>
  <si>
    <t>DawgRecords Ltd</t>
  </si>
  <si>
    <t>Aspirion Records</t>
  </si>
  <si>
    <t>Mass Audios</t>
  </si>
  <si>
    <t>A. Rostom</t>
  </si>
  <si>
    <t>Stranamente Music S.A.S</t>
  </si>
  <si>
    <t>Adagio Music Inc.</t>
  </si>
  <si>
    <t>Bug Music, Inc.</t>
  </si>
  <si>
    <t>Bright Antenna Distribution, LLC</t>
  </si>
  <si>
    <t>Nicholas Didkovsky</t>
  </si>
  <si>
    <t>Discograph</t>
  </si>
  <si>
    <t>Jober Entertainment</t>
  </si>
  <si>
    <t>Dickie Goodman Productions LLC</t>
  </si>
  <si>
    <t>Supraphon a.s.</t>
  </si>
  <si>
    <t>Room 40</t>
  </si>
  <si>
    <t>7 Arts Entertainment</t>
  </si>
  <si>
    <t>Musical Concepts Inc.</t>
  </si>
  <si>
    <t>Space Shower Networks Inc.</t>
  </si>
  <si>
    <t>Spectra Records</t>
  </si>
  <si>
    <t>Carlos Giffoni</t>
  </si>
  <si>
    <t>Hoot / Wisdom Recordings LLC</t>
  </si>
  <si>
    <t>BMX Entertainment</t>
  </si>
  <si>
    <t>Upstairs Recordings</t>
  </si>
  <si>
    <t>Cyberwerks</t>
  </si>
  <si>
    <t>Fresh Sound Records</t>
  </si>
  <si>
    <t>Def Digital</t>
  </si>
  <si>
    <t>M.S. Distributing Company</t>
  </si>
  <si>
    <t>Cherry Red Records</t>
  </si>
  <si>
    <t>Eastside Records (Uploader)</t>
  </si>
  <si>
    <t>Plastic Head Media Ltd.</t>
  </si>
  <si>
    <t>Nova Sales and Distribution Ltd.</t>
  </si>
  <si>
    <t>Megabop</t>
  </si>
  <si>
    <t>Essential</t>
  </si>
  <si>
    <t>Andrew Missingham</t>
  </si>
  <si>
    <t>NJC Music</t>
  </si>
  <si>
    <t>Silver Mine Inc</t>
  </si>
  <si>
    <t>Backpages Ltd</t>
  </si>
  <si>
    <t>Upbeat</t>
  </si>
  <si>
    <t>Saland Investments</t>
  </si>
  <si>
    <t>Mardi Gras Records</t>
  </si>
  <si>
    <t>Independent Digital Format Distribution S.L.</t>
  </si>
  <si>
    <t>Demon Music Group Limited</t>
  </si>
  <si>
    <t>ASI Music</t>
  </si>
  <si>
    <t>Memphis Recording Service</t>
  </si>
  <si>
    <t>Petros Tabouris</t>
  </si>
  <si>
    <t>Blaricum CD Company (B.C.D.) B.V.</t>
  </si>
  <si>
    <t>CSH Partners</t>
  </si>
  <si>
    <t>MAYO RECORDS</t>
  </si>
  <si>
    <t>Andrew A. Melzer</t>
  </si>
  <si>
    <t>Digital Multimedia Group</t>
  </si>
  <si>
    <t>Taraneh Enterprises Inc</t>
  </si>
  <si>
    <t>Afrikool Entertainment</t>
  </si>
  <si>
    <t>Tee's Freeze Project Inc.</t>
  </si>
  <si>
    <t>Nathan Vinall</t>
  </si>
  <si>
    <t>Grand  Entertainment Group</t>
  </si>
  <si>
    <t>The Hit Music Company</t>
  </si>
  <si>
    <t>Hustlin' Records, Inc.</t>
  </si>
  <si>
    <t>Transport Recordings, LLC</t>
  </si>
  <si>
    <t>Perennial Music</t>
  </si>
  <si>
    <t>Instyle Records LLC</t>
  </si>
  <si>
    <t>Zekrayat El Fan</t>
  </si>
  <si>
    <t>Matthew Smith d/b/a Illegal Art</t>
  </si>
  <si>
    <t>Dolores Scott as Guardian for Edward Ramon Burke</t>
  </si>
  <si>
    <t>Margate Entertainment LLC</t>
  </si>
  <si>
    <t>Rise Sport Entertainment</t>
  </si>
  <si>
    <t>Regis Records</t>
  </si>
  <si>
    <t>The Digital Gramophone Ltd</t>
  </si>
  <si>
    <t>Made Records</t>
  </si>
  <si>
    <t>Diginet Digital Distribution Network</t>
  </si>
  <si>
    <t>Select O Hits Ringtone</t>
  </si>
  <si>
    <t>Megabop Admin</t>
  </si>
  <si>
    <t>MAT Music Theme Licensing LTD</t>
  </si>
  <si>
    <t>Steady Mobbin Productions</t>
  </si>
  <si>
    <t>Dope Den Productions LLC</t>
  </si>
  <si>
    <t>MAFY, Inc.</t>
  </si>
  <si>
    <t>OVC Media Limited</t>
  </si>
  <si>
    <t>Paper Bag Records</t>
  </si>
  <si>
    <t>Label ID</t>
  </si>
  <si>
    <t>Audio Media Archives, Inc. (Viper Freestyle)</t>
  </si>
  <si>
    <t>TUTM</t>
  </si>
  <si>
    <t>Digital 1 Digital (Formerly: UBL Music Group, LLC)</t>
  </si>
  <si>
    <t>EMM Entertainment Limited Liability Company</t>
  </si>
  <si>
    <t>Bobby Jones Media Inc</t>
  </si>
  <si>
    <t>EVENADAM MEDIA a division of Renegade Media Networ</t>
  </si>
  <si>
    <t>Bizzlebell Music</t>
  </si>
  <si>
    <t>Projectivity Movement LLC</t>
  </si>
  <si>
    <t>Allbeat</t>
  </si>
  <si>
    <t>SingSongs Music Limited</t>
  </si>
  <si>
    <t>Anonymous Music</t>
  </si>
  <si>
    <t>Electric Feel Music Group</t>
  </si>
  <si>
    <t>One Media Publishing Ltd.</t>
  </si>
  <si>
    <t>ALEXA</t>
  </si>
  <si>
    <t>Discos Cada SL</t>
  </si>
  <si>
    <t>Artisan MM Ltd.</t>
  </si>
  <si>
    <t>Meta Network (Efort)</t>
  </si>
  <si>
    <t>Elemental Music SLU</t>
  </si>
  <si>
    <t>Entertain Me Europe LTD</t>
  </si>
  <si>
    <t>AVID Entertainment</t>
  </si>
  <si>
    <t>Twilight 76 Records</t>
  </si>
  <si>
    <t>Open Records (AR)</t>
  </si>
  <si>
    <t>LICENSEMUSIC.COM</t>
  </si>
  <si>
    <t>CGH Ventures Inc.</t>
  </si>
  <si>
    <t>Procom</t>
  </si>
  <si>
    <t>Monstar Lab, Inc.</t>
  </si>
  <si>
    <t>Seyffert Production GmbH</t>
  </si>
  <si>
    <t>WRTALENT</t>
  </si>
  <si>
    <t>KZoo Music, S.L. (Disconforme)</t>
  </si>
  <si>
    <t>Chrome Dreams Media Ltd</t>
  </si>
  <si>
    <t>Rock America Inc.</t>
  </si>
  <si>
    <t>Producciones AR</t>
  </si>
  <si>
    <t>Musical Heritage Society</t>
  </si>
  <si>
    <t>JL Musik</t>
  </si>
  <si>
    <t>Ameritz Music Ltd</t>
  </si>
  <si>
    <t>One Media Publishing (CARINCO Catalogue)</t>
  </si>
  <si>
    <t>impressions</t>
  </si>
  <si>
    <t>Future Noise Music Limited</t>
  </si>
  <si>
    <t>Stingray Music USA Inc.</t>
  </si>
  <si>
    <t>HHO Multimedia Ltd (audio)</t>
  </si>
  <si>
    <t>Woddish Ltd T/A Landfall</t>
  </si>
  <si>
    <t>Nuova Canaria</t>
  </si>
  <si>
    <t>Tam Tam Media</t>
  </si>
  <si>
    <t>Membran Ltd.</t>
  </si>
  <si>
    <t>Boheme Music</t>
  </si>
  <si>
    <t>Pattaya</t>
  </si>
  <si>
    <t>Rendez-Vous Digital</t>
  </si>
  <si>
    <t>Picap / Actual</t>
  </si>
  <si>
    <t>Lumi Entertainment Ltd. (PD)</t>
  </si>
  <si>
    <t>John Harris</t>
  </si>
  <si>
    <t>Digiline 2012, SL (fka Vintage Music)</t>
  </si>
  <si>
    <t>BUTTERFLY</t>
  </si>
  <si>
    <t>BGM Industrias del Disco S.A.  (Magenta Discos)</t>
  </si>
  <si>
    <t>STKM Records</t>
  </si>
  <si>
    <t>Media Touch Limited</t>
  </si>
  <si>
    <t>Entertainment Supplies S.A.</t>
  </si>
  <si>
    <t>On-The-Go Music</t>
  </si>
  <si>
    <t>MHF (Oldies Sounds)</t>
  </si>
  <si>
    <t>Digital Natives</t>
  </si>
  <si>
    <t>Alhambra Web Service S.L.N.E.</t>
  </si>
  <si>
    <t>JSP Records</t>
  </si>
  <si>
    <t>Executive Music Distribution, LLC</t>
  </si>
  <si>
    <t>ROCK CITY</t>
  </si>
  <si>
    <t>Sam Sam Music</t>
  </si>
  <si>
    <t>Rymatica</t>
  </si>
  <si>
    <t>Dance Plant # 3</t>
  </si>
  <si>
    <t>Electric Lemon Records Co.</t>
  </si>
  <si>
    <t>Platinum Groove Entertainment</t>
  </si>
  <si>
    <t>Wonder Boy Records</t>
  </si>
  <si>
    <t>Music Of Life LTD</t>
  </si>
  <si>
    <t>Musicom</t>
  </si>
  <si>
    <t>Margate Entertainment (WW)</t>
  </si>
  <si>
    <t>Plaza Mayor Company, Ltd.</t>
  </si>
  <si>
    <t>Jazzpoint Records</t>
  </si>
  <si>
    <t>Memoir Records Ltd.</t>
  </si>
  <si>
    <t>wyld pytch rekords/51 lexington street</t>
  </si>
  <si>
    <t>D&amp;D Producciones Fonograficas SA</t>
  </si>
  <si>
    <t>Acrobat Music Limited</t>
  </si>
  <si>
    <t>Times Music (Times of India)</t>
  </si>
  <si>
    <t>Music Brokers</t>
  </si>
  <si>
    <t>Amathus Music</t>
  </si>
  <si>
    <t>Snapper Music</t>
  </si>
  <si>
    <t>The Copyright Group Ltd. / Maverick (ROW)</t>
  </si>
  <si>
    <t>Artists and Producers Record Corp.</t>
  </si>
  <si>
    <t>SG productions Editions</t>
  </si>
  <si>
    <t>KZoo Music, S.L.</t>
  </si>
  <si>
    <t>Emmtee Music Ltd./Folk Heritage</t>
  </si>
  <si>
    <t>Salmon Records</t>
  </si>
  <si>
    <t>Warwick Records</t>
  </si>
  <si>
    <t>Leader Music S.A.</t>
  </si>
  <si>
    <t>The Copyright Group Ltd. / Maverick (WW)</t>
  </si>
  <si>
    <t>Ediciones Tacuabe S.R.L.</t>
  </si>
  <si>
    <t>Air Music and Media Copyright Limited</t>
  </si>
  <si>
    <t>TCB - The Montreux Jazz Label™</t>
  </si>
  <si>
    <t>TVI RECORDS</t>
  </si>
  <si>
    <t>Azzurra Music SRL</t>
  </si>
  <si>
    <t>Open Records</t>
  </si>
  <si>
    <t>undamaris</t>
  </si>
  <si>
    <t>Bohemian Music Service (B.M.S)</t>
  </si>
  <si>
    <t>Femme Sutil S.L.</t>
  </si>
  <si>
    <t>Laika</t>
  </si>
  <si>
    <t>Executive Entertainment Services</t>
  </si>
  <si>
    <t>Music By Appointment, Inc.</t>
  </si>
  <si>
    <t>Proper Records Ltd</t>
  </si>
  <si>
    <t>Equinoxe Records</t>
  </si>
  <si>
    <t>Maestro Entertainment, Corp. (fka Park South)</t>
  </si>
  <si>
    <t>Ma iou Tobé</t>
  </si>
  <si>
    <t>POTENZA MUSIC PUB</t>
  </si>
  <si>
    <t>Ada Yayincilik</t>
  </si>
  <si>
    <t>Disques VDE-GALLO</t>
  </si>
  <si>
    <t>Achord Recordings LLC</t>
  </si>
  <si>
    <t>Star 69 Records</t>
  </si>
  <si>
    <t>Yeni Dünya Müzik</t>
  </si>
  <si>
    <t>ISIS Sarl</t>
  </si>
  <si>
    <t>Twilight Music</t>
  </si>
  <si>
    <t>HaHaas Comedy LLC</t>
  </si>
  <si>
    <t>Go Entertainment Group Ltd.</t>
  </si>
  <si>
    <t>Discoloco</t>
  </si>
  <si>
    <t>Storyville Records</t>
  </si>
  <si>
    <t>Hindsight Records</t>
  </si>
  <si>
    <t>Ringtone Records</t>
  </si>
  <si>
    <t>Alchemy Werks LLC (fka Reality Entertainment)</t>
  </si>
  <si>
    <t>BCD Music Group</t>
  </si>
  <si>
    <t>IML Irish Music Licensing Ltd.</t>
  </si>
  <si>
    <t>Base Point Media (Phonofile)</t>
  </si>
  <si>
    <t>Music Factory Entertainment Group</t>
  </si>
  <si>
    <t>Rajshri Media (P) Limited</t>
  </si>
  <si>
    <t>The Copyright Group (DMGI)</t>
  </si>
  <si>
    <t>World WIDE Recordings</t>
  </si>
  <si>
    <t>Body &amp; Soul SARL</t>
  </si>
  <si>
    <t>KZoo Music, S.L. (OK Records)</t>
  </si>
  <si>
    <t>Wu Music Group</t>
  </si>
  <si>
    <t>Body &amp; Soul SARL (Complete Jazz Series)</t>
  </si>
  <si>
    <t>BMXE</t>
  </si>
  <si>
    <t>The Hitbreakers.com d/b/a HSM Entertainment</t>
  </si>
  <si>
    <t>Chance Records (Bela Records Catalog)</t>
  </si>
  <si>
    <t>Deep Distribution Worldwide, Inc.</t>
  </si>
  <si>
    <t>Wellington Beck Music Group</t>
  </si>
  <si>
    <t>Stevan Pasero d/b/a Solea Group</t>
  </si>
  <si>
    <t>Krik Music</t>
  </si>
  <si>
    <t>Media Songs SRL</t>
  </si>
  <si>
    <t>Stretto Productions Inc.</t>
  </si>
  <si>
    <t>Rainbow Productions (Sussex) Ltd.</t>
  </si>
  <si>
    <t>KZoo Music, S.L. (Brisa)</t>
  </si>
  <si>
    <t>Sleeping Giant Music Limited</t>
  </si>
  <si>
    <t>Pegasus Entertainment Limited</t>
  </si>
  <si>
    <t>Ten12 Entertainment</t>
  </si>
  <si>
    <t>Karma Music Ltd.</t>
  </si>
  <si>
    <t>Store Van Music Ltd.</t>
  </si>
  <si>
    <t>Dance Plant #1</t>
  </si>
  <si>
    <t>Firefly Entertainment (PD)</t>
  </si>
  <si>
    <t>Duke Marketing Ltd</t>
  </si>
  <si>
    <t>ThinkClouds</t>
  </si>
  <si>
    <t>Smith Show Media Group Inc</t>
  </si>
  <si>
    <t>MasterCorp Pty Ltd</t>
  </si>
  <si>
    <t>Beyond Blond Productions</t>
  </si>
  <si>
    <t>Ibiza Entertainment</t>
  </si>
  <si>
    <t>Elusive Sounds LLC</t>
  </si>
  <si>
    <t>Playbak Records</t>
  </si>
  <si>
    <t>ORAL</t>
  </si>
  <si>
    <t>Artist/Label Relations</t>
  </si>
  <si>
    <t>Chris Duncan</t>
  </si>
  <si>
    <t>Ray Lin</t>
  </si>
  <si>
    <t>Philippe Giard</t>
  </si>
  <si>
    <t>Ben South</t>
  </si>
  <si>
    <t>Chris Manning</t>
  </si>
  <si>
    <t>Catonia Whalen</t>
  </si>
  <si>
    <t>Jeremy Sponder</t>
  </si>
  <si>
    <t>Jaclyn Bertsch</t>
  </si>
  <si>
    <t>Liz Eve</t>
  </si>
  <si>
    <t>Eulalia Rafols</t>
  </si>
  <si>
    <t>EPSA EPSA</t>
  </si>
  <si>
    <t>Katie Leeds</t>
  </si>
  <si>
    <t>Giacomo Coveri</t>
  </si>
  <si>
    <t>Anna Ibarzabal</t>
  </si>
  <si>
    <t>Riker Griffiths</t>
  </si>
  <si>
    <t>Priyanka Dewan</t>
  </si>
  <si>
    <t>Jason Jones</t>
  </si>
  <si>
    <t>Corey Sheridan</t>
  </si>
  <si>
    <t>Metin Uzelli</t>
  </si>
  <si>
    <t>Andy Hsueh</t>
  </si>
  <si>
    <t>Emilie Snellman</t>
  </si>
  <si>
    <t>Richard Pattison</t>
  </si>
  <si>
    <t>Clint Cabral</t>
  </si>
  <si>
    <t>Hemal Dalal</t>
  </si>
  <si>
    <t>Katie Ferguson</t>
  </si>
  <si>
    <t>iTunes Hidden Summary*</t>
  </si>
  <si>
    <t>Sammy_Executive Music Distribution (EMD), LLC</t>
  </si>
  <si>
    <t>Meta Network (Countdown)</t>
  </si>
  <si>
    <t>Ringtone Records [IRIS]</t>
  </si>
  <si>
    <t># of Releases Hidden</t>
  </si>
  <si>
    <t>Previous Week</t>
  </si>
  <si>
    <t>Music Online</t>
  </si>
  <si>
    <t>Desi Vach</t>
  </si>
  <si>
    <t>Pennrose Media</t>
  </si>
  <si>
    <t>Open Records (Countdown)</t>
  </si>
  <si>
    <t>Digital Natives (Countdown)</t>
  </si>
  <si>
    <t>Kramer Reality Tours, Inc</t>
  </si>
  <si>
    <t>Rotana Audio Video (Mobile North America)</t>
  </si>
  <si>
    <t>HKO Records</t>
  </si>
  <si>
    <t>Nic Rizzi</t>
  </si>
  <si>
    <t>Ozgur Okter</t>
  </si>
  <si>
    <t>Nathalia Vieira</t>
  </si>
  <si>
    <t>Peter Arensdorf</t>
  </si>
  <si>
    <t>Erol Cichowski</t>
  </si>
  <si>
    <t>The Indian Record Manufacturing Company</t>
  </si>
  <si>
    <t>SAAR Srl</t>
  </si>
  <si>
    <t>Relapse Records</t>
  </si>
  <si>
    <t>Starmedia AV Lab LLP (Nikitin)</t>
  </si>
  <si>
    <t>Priddis Music, Inc. (Licensed Content)</t>
  </si>
  <si>
    <t>The Copyright Group Ltd. / IODA Content</t>
  </si>
  <si>
    <t>Blue Music</t>
  </si>
  <si>
    <t>Silva Screen Records (IODA)</t>
  </si>
  <si>
    <t>H&amp;H Music Ltd.</t>
  </si>
  <si>
    <t>Smith &amp; Co. Sound B.V.</t>
  </si>
  <si>
    <t>Alan Howarth Inc</t>
  </si>
  <si>
    <t>Cda Distribution</t>
  </si>
  <si>
    <t>MyOwnDistribution.com, LLC</t>
  </si>
  <si>
    <t>Digital Tracks Units</t>
  </si>
  <si>
    <t>Digital Album Units</t>
  </si>
  <si>
    <t>% Change</t>
  </si>
  <si>
    <t>Soundscan Report (US only)</t>
  </si>
  <si>
    <t>Orchard Unit Sales</t>
  </si>
  <si>
    <t>Album Units</t>
  </si>
  <si>
    <t>Track Units</t>
  </si>
  <si>
    <t>*Includes IODA; excludes RED</t>
  </si>
  <si>
    <t>Spotify Estonia</t>
  </si>
  <si>
    <t>Spotify Hong Kong</t>
  </si>
  <si>
    <t>Spotify Iceland</t>
  </si>
  <si>
    <t>Spotify Lithuania</t>
  </si>
  <si>
    <t>Spotify Malaysia</t>
  </si>
  <si>
    <t>Spotify Mexico</t>
  </si>
  <si>
    <t>Spotify Singapore</t>
  </si>
  <si>
    <t>Spotify Latvia</t>
  </si>
  <si>
    <t>Spotify Australia</t>
  </si>
  <si>
    <t>Spotify New Zealand</t>
  </si>
  <si>
    <t>Asia</t>
  </si>
  <si>
    <t>Saregama India Limited</t>
  </si>
  <si>
    <t>Almighty Records Ltd</t>
  </si>
  <si>
    <t>Sammy_Cadenza Records</t>
  </si>
  <si>
    <t>Autarc Media GmbH</t>
  </si>
  <si>
    <t>Supreme Media Ltd.</t>
  </si>
  <si>
    <t>Magnasound USA Inc</t>
  </si>
  <si>
    <t>Susu Music</t>
  </si>
  <si>
    <t>CASCADE MEDIEN PRODUCTIONS UND-VERTRIEBSGMBH</t>
  </si>
  <si>
    <t>Starmedia AV Lab LLP (First Music Publishing)</t>
  </si>
  <si>
    <t>Mojito / Pimienta Digital Content Management Corp.</t>
  </si>
  <si>
    <t>Amazon Switzerland</t>
  </si>
  <si>
    <t>In-Tune Music Group</t>
  </si>
  <si>
    <t>Renk Africa</t>
  </si>
  <si>
    <t>RED</t>
  </si>
  <si>
    <t>Q3 2013</t>
  </si>
  <si>
    <t>Jul Actual</t>
  </si>
  <si>
    <t>B &amp; G Records</t>
  </si>
  <si>
    <t>Cabeza de raton Music Entertainment S.A.S.</t>
  </si>
  <si>
    <t>Elm Street Media Productions LTD</t>
  </si>
  <si>
    <t>União Lisboa</t>
  </si>
  <si>
    <t>August</t>
  </si>
  <si>
    <t>Jul + Aug Actual + Sep Projection</t>
  </si>
  <si>
    <t>Q3 13
Plan</t>
  </si>
  <si>
    <t>Q3 13 Variance to Plan ($)</t>
  </si>
  <si>
    <t>Jul + Aug Actual</t>
  </si>
  <si>
    <t>Q3 13 Variance to Plan (%)</t>
  </si>
  <si>
    <t>VENUS WORLDWIDE ENTERTAINMENTS PRIVATE LIMITED</t>
  </si>
  <si>
    <t>Olya Moldavskaya</t>
  </si>
  <si>
    <t>Executive Music Group</t>
  </si>
  <si>
    <t>Oleh Zaychenko</t>
  </si>
  <si>
    <t>Floating World Records</t>
  </si>
  <si>
    <t>Blue Melon Records</t>
  </si>
  <si>
    <t>Volume Music Group Limited</t>
  </si>
  <si>
    <t>Top 20 Films</t>
  </si>
  <si>
    <t>Top 20 Music Videos</t>
  </si>
  <si>
    <t>Top 20 TV Shows</t>
  </si>
  <si>
    <t>TV Show</t>
  </si>
  <si>
    <t>Movie</t>
  </si>
  <si>
    <t>Music Video</t>
  </si>
  <si>
    <t>Film</t>
  </si>
  <si>
    <t>Episode</t>
  </si>
  <si>
    <t>G Records</t>
  </si>
  <si>
    <t>One Trybal</t>
  </si>
  <si>
    <t>Monthly Video Plan</t>
  </si>
  <si>
    <t>% Music Video</t>
  </si>
  <si>
    <t>% TV Show</t>
  </si>
  <si>
    <t>Video Total</t>
  </si>
  <si>
    <t>Notes:</t>
  </si>
  <si>
    <t>for "Other stores"…the month projection is always 4 weeks!</t>
  </si>
  <si>
    <t>121st Street Records</t>
  </si>
  <si>
    <t>Drive35 Productions, LLC</t>
  </si>
  <si>
    <t>TAUCHER Kft</t>
  </si>
  <si>
    <t>Distrophonix</t>
  </si>
  <si>
    <t xml:space="preserve">October </t>
  </si>
  <si>
    <t>Krik Music (Novoson)</t>
  </si>
  <si>
    <t>The Tyrone Berkeley Company Ltd.</t>
  </si>
  <si>
    <t>Open Natives</t>
  </si>
  <si>
    <t>Lumi Entertainment Ltd.</t>
  </si>
  <si>
    <t>Paradise Music Ltd</t>
  </si>
  <si>
    <t>KZoo Music, S.L. (Satelite K)</t>
  </si>
  <si>
    <t>D.O.C Digital Old Collection (f/k/a Duck Record)</t>
  </si>
  <si>
    <t>Andy Stroud Inc</t>
  </si>
  <si>
    <t>PT Music</t>
  </si>
  <si>
    <t>NextMusic NextMusic</t>
  </si>
  <si>
    <t>Pocket Watch Productions Ltd.</t>
  </si>
  <si>
    <t>KZoo Music S.L. (Like Music)</t>
  </si>
  <si>
    <t>KZoo Music S.L. (Tres14)</t>
  </si>
  <si>
    <t>Marketing Musical, S.A. de C.V.</t>
  </si>
  <si>
    <t>Pickwick Group Ltd</t>
  </si>
  <si>
    <t># Units</t>
  </si>
  <si>
    <t># DT</t>
  </si>
  <si>
    <t># DA</t>
  </si>
  <si>
    <t>Espacial</t>
  </si>
  <si>
    <t>% Movie</t>
  </si>
  <si>
    <t>Average Revenue of Top 100:</t>
  </si>
  <si>
    <t>Stray J Productions</t>
  </si>
  <si>
    <t>odd</t>
  </si>
  <si>
    <t>Sintez Productions</t>
  </si>
  <si>
    <t>Musical Creations</t>
  </si>
  <si>
    <t>Deezer</t>
  </si>
  <si>
    <t>Spotify</t>
  </si>
  <si>
    <t>Kunduru Music Inc.</t>
  </si>
  <si>
    <t>Rotana Audio Video</t>
  </si>
  <si>
    <t>Unisound by J.W.</t>
  </si>
  <si>
    <t xml:space="preserve">November </t>
  </si>
  <si>
    <t>Compilations (Inter-label)</t>
  </si>
  <si>
    <t>Meta Network (Vocación Musical)</t>
  </si>
  <si>
    <t>Montuno Records, Inc.</t>
  </si>
  <si>
    <t>Play di Giampaolo Pasquile</t>
  </si>
  <si>
    <t>**IFERROR((((D3+E3+F3+G3+H3))/COUNTIF(D3, "&gt;0")/0.22),0)</t>
  </si>
  <si>
    <t>Equation</t>
  </si>
  <si>
    <t>Wk1</t>
  </si>
  <si>
    <t>Wk 2</t>
  </si>
  <si>
    <t>Wk 3</t>
  </si>
  <si>
    <t>Wk 4</t>
  </si>
  <si>
    <t>* every week, add in the COUNTIF part of the equation, week 2,3,etc., and add the percentage to the total, to get the projection. Add each week at a time</t>
  </si>
  <si>
    <t>Audio Total</t>
  </si>
  <si>
    <t>Shamrock-n-Roll, Inc. (Distributed Content)</t>
  </si>
  <si>
    <t>Matthew Dell</t>
  </si>
  <si>
    <t>Maestro Entertainment, Corp</t>
  </si>
  <si>
    <t>Life Music &amp; Company Inc</t>
  </si>
  <si>
    <t>MoviePlay do Brasil Industria E Comercio LTDA</t>
  </si>
  <si>
    <t>Liana Brauer</t>
  </si>
  <si>
    <t>December</t>
  </si>
  <si>
    <t>January - IRIS</t>
  </si>
  <si>
    <t>TVT Records</t>
  </si>
  <si>
    <t>Various Artists</t>
  </si>
  <si>
    <t>Happy Together</t>
  </si>
  <si>
    <t>Triple J - Like a Version 9</t>
  </si>
  <si>
    <t>Som Livre</t>
  </si>
  <si>
    <t>Jorge &amp; Mateus</t>
  </si>
  <si>
    <t>Live In London - At The Royal Albert Hall</t>
  </si>
  <si>
    <t>Augmenter Music Group</t>
  </si>
  <si>
    <t>Trevor Moran</t>
  </si>
  <si>
    <t>The Assignment, Inc.</t>
  </si>
  <si>
    <t>The Assignment Inc</t>
  </si>
  <si>
    <t>Moto 5: The Movie</t>
  </si>
  <si>
    <t>(RED) RED Distribution (Long Form Video)</t>
  </si>
  <si>
    <t>Pierce The Veil</t>
  </si>
  <si>
    <t>This Is a Wasteland</t>
  </si>
  <si>
    <t>Rocky Mountain Sherpas Inc</t>
  </si>
  <si>
    <t>Sherpas Cinema</t>
  </si>
  <si>
    <t>Into the Mind</t>
  </si>
  <si>
    <t>Field Productions</t>
  </si>
  <si>
    <t>Supervention</t>
  </si>
  <si>
    <t>Sony Music (Long Form Music Films)</t>
  </si>
  <si>
    <t>Beyoncé</t>
  </si>
  <si>
    <t>Life Is but a Dream</t>
  </si>
  <si>
    <t>Slednecks INC</t>
  </si>
  <si>
    <t>Slednecks Inc</t>
  </si>
  <si>
    <t>Slednecks 16</t>
  </si>
  <si>
    <t>Sweetgrass Productions</t>
  </si>
  <si>
    <t>Sweetgrass</t>
  </si>
  <si>
    <t>Valhalla</t>
  </si>
  <si>
    <t>SecondBase Films</t>
  </si>
  <si>
    <t>Arrival</t>
  </si>
  <si>
    <t>TW Media LLC</t>
  </si>
  <si>
    <t>Kyle Decker</t>
  </si>
  <si>
    <t>The Tom Wallisch Project</t>
  </si>
  <si>
    <t>Michael Jackson: Spike Lee Bad 25</t>
  </si>
  <si>
    <t>FRIDAY 02 LTD</t>
  </si>
  <si>
    <t>Jake Blauvelt: Naturally</t>
  </si>
  <si>
    <t>WAX (VAS Entertainment)</t>
  </si>
  <si>
    <t>That’s It That’s All</t>
  </si>
  <si>
    <t>London Festival Orchestra</t>
  </si>
  <si>
    <t>Mozart For Brain Power</t>
  </si>
  <si>
    <t>iTunes 2013 Total</t>
  </si>
  <si>
    <t>Open Records (Alhambra)</t>
  </si>
  <si>
    <t>Newport Music</t>
  </si>
  <si>
    <t>Greber Prod</t>
  </si>
  <si>
    <t>Menart</t>
  </si>
  <si>
    <t>2013 iTunes Revenue</t>
  </si>
  <si>
    <t>Ne'astra Music Inc.</t>
  </si>
  <si>
    <t>Mandatory Digital</t>
  </si>
  <si>
    <t>Valeri Travagliante</t>
  </si>
  <si>
    <t>ORCH + IODA</t>
  </si>
  <si>
    <t>^Cricket average price point is $0.0089</t>
  </si>
  <si>
    <t>Daptone Records</t>
  </si>
  <si>
    <t>Sharon Jones &amp; the Dap-Kings</t>
  </si>
  <si>
    <t>Give the People What They Want (Deluxe Version)</t>
  </si>
  <si>
    <t>Spotify US*</t>
  </si>
  <si>
    <t>triple j's 20 Years of Hottest 100</t>
  </si>
  <si>
    <t>Radikal Records</t>
  </si>
  <si>
    <t>Gummibär</t>
  </si>
  <si>
    <t>I Am A Gummy Bear (The Gummy Bear Song)</t>
  </si>
  <si>
    <t>Григорий Лепс и Ани Лорак</t>
  </si>
  <si>
    <t>Зеркала (Video)</t>
  </si>
  <si>
    <t>Thompson Music P/L</t>
  </si>
  <si>
    <t>Deep Purple</t>
  </si>
  <si>
    <t>Smoke On the Water</t>
  </si>
  <si>
    <t>Someone</t>
  </si>
  <si>
    <t>We Are The World Foundation</t>
  </si>
  <si>
    <t>Artists for Haiti</t>
  </si>
  <si>
    <t>We Are the World 25 for Haiti</t>
  </si>
  <si>
    <t>Average Joes Entertainment Group, LLC</t>
  </si>
  <si>
    <t>Colt Ford</t>
  </si>
  <si>
    <t>Drivin' Around Song</t>
  </si>
  <si>
    <t>Alex Ferrari</t>
  </si>
  <si>
    <t>Bara Bara Bere Bere</t>
  </si>
  <si>
    <t>Sesame Workshop (US &amp; Canada)</t>
  </si>
  <si>
    <t>Sesame Street</t>
  </si>
  <si>
    <t>Elmo's Ducks</t>
  </si>
  <si>
    <t>Elmo's Song</t>
  </si>
  <si>
    <t>Rock Aid Armenia Allstars</t>
  </si>
  <si>
    <t>Smoke On the Water (feat. David Gilmour, Brian May, Ian Gillan, Tony Iommi, Bruce Dickinson, Paul Rodgers, Ritchie Blackmore, Chris Squire, Alex Lifeson, Keith Emerson, Roger Taylor, ...)</t>
  </si>
  <si>
    <t>Non-US</t>
  </si>
  <si>
    <t>AS + S</t>
  </si>
  <si>
    <t>as + s</t>
  </si>
  <si>
    <t>Amazon Ex-US</t>
  </si>
  <si>
    <t>Spotify Ex-US*</t>
  </si>
  <si>
    <t>*Spotify average ad-supported price point is $0.00183, stream is $0.00961</t>
  </si>
  <si>
    <t>Spotify ex-USA</t>
  </si>
  <si>
    <t>upc</t>
  </si>
  <si>
    <t>vendor_id</t>
  </si>
  <si>
    <t>company</t>
  </si>
  <si>
    <t>owner</t>
  </si>
  <si>
    <t>Jacob New</t>
  </si>
  <si>
    <t>emd</t>
  </si>
  <si>
    <t>IODA-REVER</t>
  </si>
  <si>
    <t>Scott</t>
  </si>
  <si>
    <t>IODA-DEF</t>
  </si>
  <si>
    <t>Fonotrón</t>
  </si>
  <si>
    <t>kdigital</t>
  </si>
  <si>
    <t>SME India Pvt. Ltd</t>
  </si>
  <si>
    <t>Sales</t>
  </si>
  <si>
    <t>Row Labels</t>
  </si>
  <si>
    <t>Grand Total</t>
  </si>
  <si>
    <t>Count of upc</t>
  </si>
  <si>
    <t>Sum of Sales</t>
  </si>
  <si>
    <t>(Multiple Items)</t>
  </si>
  <si>
    <t>Various</t>
  </si>
  <si>
    <t>Amor À Vida - Internacional</t>
  </si>
  <si>
    <t>21 Vision Ltd.</t>
  </si>
  <si>
    <t>Malory Ltd.</t>
  </si>
  <si>
    <t>Metacom Music, Inc (Exegan)</t>
  </si>
  <si>
    <t>Donville Davis</t>
  </si>
  <si>
    <t>RGS Music</t>
  </si>
  <si>
    <t>Mahjong Music LTD</t>
  </si>
  <si>
    <t xml:space="preserve">January </t>
  </si>
  <si>
    <t>Nuclear Blast Entertainment</t>
  </si>
  <si>
    <t>Within Temptation</t>
  </si>
  <si>
    <t>Fivestar Productions LLC</t>
  </si>
  <si>
    <t>Fivestar Productions</t>
  </si>
  <si>
    <t>The Book of Lone Peak</t>
  </si>
  <si>
    <t>Marissa Putney</t>
  </si>
  <si>
    <t>Cookie Pryce</t>
  </si>
  <si>
    <t>Henry Compton</t>
  </si>
  <si>
    <t>Sarah Sandusky</t>
  </si>
  <si>
    <t>Dim Mak</t>
  </si>
  <si>
    <t>Lil Jon &amp; The East Side Boyz</t>
  </si>
  <si>
    <t>Get Low</t>
  </si>
  <si>
    <t>The Chainsmokers</t>
  </si>
  <si>
    <t>Tobias Wilner</t>
  </si>
  <si>
    <t>Blue Foundation</t>
  </si>
  <si>
    <t>Eyes on Fire</t>
  </si>
  <si>
    <t>Shoot to Kill Music, Inc.</t>
  </si>
  <si>
    <t>The Glitch Mob</t>
  </si>
  <si>
    <t>Fortune Days</t>
  </si>
  <si>
    <t>Sleeping At Last</t>
  </si>
  <si>
    <t>Turning Page</t>
  </si>
  <si>
    <t>Norman Greenbaum</t>
  </si>
  <si>
    <t>Spirit In The Sky</t>
  </si>
  <si>
    <t>Flo &amp; Eddie, Inc</t>
  </si>
  <si>
    <t>The Turtles</t>
  </si>
  <si>
    <t>Various Artists - Garth Brooks Tribute</t>
  </si>
  <si>
    <t>Friends In Low Places (Cover Version)</t>
  </si>
  <si>
    <t>Boots Enterprises, Inc.</t>
  </si>
  <si>
    <t>Nancy Sinatra</t>
  </si>
  <si>
    <t>Bang Bang (My Baby Shot Me Down)</t>
  </si>
  <si>
    <t>Can't Kill Us</t>
  </si>
  <si>
    <t>Zinkia Entertainment SA</t>
  </si>
  <si>
    <t>Pocoyo (Season 1, Bundled Episodes)</t>
  </si>
  <si>
    <t>Dance with Pocoyo</t>
  </si>
  <si>
    <t>Pocoyo (Season 2, Bundled Episodes)</t>
  </si>
  <si>
    <t>Mysterious Mysteries with Pocoyo</t>
  </si>
  <si>
    <t>Laughing with Pocoyo</t>
  </si>
  <si>
    <t>Discover with Pocoyo</t>
  </si>
  <si>
    <t>Make Friends with Pocoyo</t>
  </si>
  <si>
    <t>Special Adventures with Pocoyo</t>
  </si>
  <si>
    <t>Invent with Pocoyo</t>
  </si>
  <si>
    <t>Share with Pocoyo</t>
  </si>
  <si>
    <t>iTunes US* (YTD ending Dec 31)</t>
  </si>
  <si>
    <t>January</t>
  </si>
  <si>
    <t>Hydra (Bonus Version)</t>
  </si>
  <si>
    <t>Love Death Immortality</t>
  </si>
  <si>
    <t>We Can Make The World Stop - EP</t>
  </si>
  <si>
    <t>Sugar Music</t>
  </si>
  <si>
    <t>Various Artist</t>
  </si>
  <si>
    <t>Bad Wings</t>
  </si>
  <si>
    <t>Premium Latin Music, Inc.</t>
  </si>
  <si>
    <t>Aventura</t>
  </si>
  <si>
    <t>Anthill Films</t>
  </si>
  <si>
    <t>Notbad</t>
  </si>
  <si>
    <t>Moto 4: The Movie</t>
  </si>
  <si>
    <t>I Love Pocoyo</t>
  </si>
  <si>
    <t>Learn with Pocoyo</t>
  </si>
  <si>
    <t>February 2013 - iTunes (Orchard, IODA &amp; IRIS)</t>
  </si>
  <si>
    <t>non-US</t>
  </si>
  <si>
    <t>February - iTunes (Orchard, IODA &amp; IRIS)</t>
  </si>
  <si>
    <t>February - Other Stores (Orchard, IODA &amp; IRIS)</t>
  </si>
  <si>
    <t>Deezer**</t>
  </si>
  <si>
    <t>**Deezer average price point is $0.0082</t>
  </si>
  <si>
    <t>February 2014 - Orchard &amp; IODA</t>
  </si>
  <si>
    <t>February - The Orchard</t>
  </si>
  <si>
    <t>February - IODA (excluding RED labels)</t>
  </si>
  <si>
    <t>Elisa</t>
  </si>
  <si>
    <t>L'anima vola</t>
  </si>
  <si>
    <t>Григорий Лепс</t>
  </si>
  <si>
    <t>The Best (Deluxe Version)</t>
  </si>
  <si>
    <t>Константин Меладзе</t>
  </si>
  <si>
    <t>Оттепель</t>
  </si>
  <si>
    <t>Dile al Amor</t>
  </si>
  <si>
    <t>#SELFIE</t>
  </si>
  <si>
    <t>Our Demons (feat. Aja Volkman)</t>
  </si>
  <si>
    <t>Skullclub</t>
  </si>
  <si>
    <t>Sports with Pocoyo</t>
  </si>
  <si>
    <t>Fun with Pocoyo</t>
  </si>
  <si>
    <t>Party with Pocoyo</t>
  </si>
  <si>
    <t>Everyday Objects with Pocoyó</t>
  </si>
  <si>
    <t>Welk Music Group</t>
  </si>
  <si>
    <t>Intermezzo SRL</t>
  </si>
  <si>
    <t>Orfeon</t>
  </si>
  <si>
    <t>Clay Pasternack</t>
  </si>
  <si>
    <t>Backstage Productions International</t>
  </si>
  <si>
    <t>Kristine Weitz</t>
  </si>
  <si>
    <t>Synergy Entertainment, Inc.</t>
  </si>
  <si>
    <t>El Toro Records</t>
  </si>
  <si>
    <t>(RED) TEEC Recordings</t>
  </si>
  <si>
    <t>LionFish Music Group, Inc.</t>
  </si>
  <si>
    <t>Tresona Multimedia</t>
  </si>
  <si>
    <t>Platinum Music Ireland</t>
  </si>
  <si>
    <t>Upbeat (Distribution)</t>
  </si>
  <si>
    <t>Baradello</t>
  </si>
  <si>
    <t>Global Edge Mnemonics</t>
  </si>
  <si>
    <t>February (3 weeks)</t>
  </si>
  <si>
    <t>Ghostly International</t>
  </si>
  <si>
    <t>Com Truise</t>
  </si>
  <si>
    <t>Wave 1</t>
  </si>
  <si>
    <t>The Full English</t>
  </si>
  <si>
    <t>The Presidents of The United States of America</t>
  </si>
  <si>
    <t>Kudos to You!</t>
  </si>
  <si>
    <t>3 ADIM MÜZİK</t>
  </si>
  <si>
    <t>Gökhan Türkmen</t>
  </si>
  <si>
    <t>En Baştan</t>
  </si>
  <si>
    <t>Burial</t>
  </si>
  <si>
    <t>Rival Dealer</t>
  </si>
  <si>
    <t>Raphael Gualazzi</t>
  </si>
  <si>
    <t>Accidentally on Purpose - Sanremo's Festival 2014</t>
  </si>
  <si>
    <t>Ode Sounds and Visuals, Inc.</t>
  </si>
  <si>
    <t>The Rocky Horror Picture Show - Original Soundtrack</t>
  </si>
  <si>
    <t>Dubstep</t>
  </si>
  <si>
    <t>Talking Taco Music(Orchard Owned)</t>
  </si>
  <si>
    <t>Massage Tribe</t>
  </si>
  <si>
    <t>50 Tracks: Music for Sleep (Massage Music, Spa, New Age &amp; Relaxation)</t>
  </si>
  <si>
    <t>iTUNES CHARTS - February 16 - 22 (ORCHARD &amp; IODA)</t>
  </si>
  <si>
    <t>Alias Music, SL</t>
  </si>
  <si>
    <t>Chenoa</t>
  </si>
  <si>
    <t>Júrame</t>
  </si>
  <si>
    <t>Нет для любви преград</t>
  </si>
  <si>
    <t>Дима Билан</t>
  </si>
  <si>
    <t>Дотянись</t>
  </si>
  <si>
    <t>Montgomery Gentry</t>
  </si>
  <si>
    <t>Titty's Beer</t>
  </si>
  <si>
    <t>The Lacs</t>
  </si>
  <si>
    <t>Kickin' Up Mud</t>
  </si>
  <si>
    <t>Pitbull Feat. Trina &amp; Young Boss</t>
  </si>
  <si>
    <t>Go Girl</t>
  </si>
  <si>
    <t>Shake It (feat Big &amp; Rich)</t>
  </si>
  <si>
    <t>Kretz Media Holdings, LLC</t>
  </si>
  <si>
    <t>Kretz Media Holdings</t>
  </si>
  <si>
    <t>Why We Ride</t>
  </si>
  <si>
    <t>Manifesto Sport Management Inc.</t>
  </si>
  <si>
    <t>Manifesto Sport Management</t>
  </si>
  <si>
    <t>Making Your Mark: The Snowboard Life of Mark Mcmorris</t>
  </si>
  <si>
    <t>Inspired Media Concepts LLC</t>
  </si>
  <si>
    <t>Inspired Media</t>
  </si>
  <si>
    <t>Let It Flow: The B&amp;E Movie</t>
  </si>
  <si>
    <t>In This Moment</t>
  </si>
  <si>
    <t>In This Moment: Blood at the Orpheum</t>
  </si>
  <si>
    <t>Dan Gardiner Films LLC</t>
  </si>
  <si>
    <t>Boondockers 10</t>
  </si>
  <si>
    <t>Together Again Productions, Inc. (Video Content)</t>
  </si>
  <si>
    <t>Kidsongs (Season 1)</t>
  </si>
  <si>
    <t>A Day At Old MacDonald’s Farm</t>
  </si>
  <si>
    <t>Magic Tricks with Pocoyo</t>
  </si>
  <si>
    <t>Forever Friends with Pocoyó</t>
  </si>
  <si>
    <t>Cherish Pocoyo and Friends</t>
  </si>
  <si>
    <t>Learning to Live with Pocoyo</t>
  </si>
  <si>
    <t>A Day with the Animals</t>
  </si>
  <si>
    <t>Psirico</t>
  </si>
  <si>
    <t>Lepo Lepo</t>
  </si>
  <si>
    <t>Lawrence Music Group, LLC</t>
  </si>
  <si>
    <t>Tracy Lawrence</t>
  </si>
  <si>
    <t>Lie</t>
  </si>
  <si>
    <t>Danny Glover</t>
  </si>
  <si>
    <t>Keys N Krates</t>
  </si>
  <si>
    <t>Dum Dee Dum</t>
  </si>
  <si>
    <t>Yiruma</t>
  </si>
  <si>
    <t>River Flows In You</t>
  </si>
  <si>
    <t>Deorro</t>
  </si>
  <si>
    <t>Dechorro</t>
  </si>
  <si>
    <t>Нюша</t>
  </si>
  <si>
    <t>Только</t>
  </si>
  <si>
    <t>Ace Records Limited</t>
  </si>
  <si>
    <t>Proper Records Ltd.</t>
  </si>
  <si>
    <t>Dominion Entertainment, Inc.</t>
  </si>
  <si>
    <t>Vee Jay Records</t>
  </si>
  <si>
    <t>RADIO SUISSE ROMANDE</t>
  </si>
  <si>
    <t>Sony ATV Europe Limited</t>
  </si>
  <si>
    <t>Tipitina's</t>
  </si>
  <si>
    <t>Soul Concerts.com Limited</t>
  </si>
  <si>
    <t>(RED) Hickory Records (2009 Deal)</t>
  </si>
  <si>
    <t>Memory Lane Media Limited</t>
  </si>
  <si>
    <t>YTD Ending Feb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</si>
</sst>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0"/>
  </numFmts>
  <fonts count="7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1"/>
      <color indexed="60"/>
      <name val="Calibri"/>
      <family val="2"/>
    </font>
    <font>
      <i/>
      <sz val="10"/>
      <name val="Arial"/>
      <family val="2"/>
    </font>
    <font>
      <sz val="10"/>
      <color indexed="8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8.5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b/>
      <u/>
      <sz val="10"/>
      <color indexed="8"/>
      <name val="Calibri"/>
      <family val="2"/>
    </font>
    <font>
      <b/>
      <i/>
      <u/>
      <sz val="10"/>
      <color indexed="8"/>
      <name val="Calibri"/>
      <family val="2"/>
    </font>
    <font>
      <b/>
      <i/>
      <sz val="10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i/>
      <sz val="8.5"/>
      <name val="Arial"/>
      <family val="2"/>
    </font>
    <font>
      <sz val="10"/>
      <color rgb="FFFF0000"/>
      <name val="Arial"/>
      <family val="2"/>
    </font>
    <font>
      <sz val="7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8"/>
      <name val="Arial"/>
      <family val="2"/>
    </font>
    <font>
      <sz val="10"/>
      <color rgb="FF222222"/>
      <name val="Arial"/>
      <family val="2"/>
    </font>
    <font>
      <sz val="1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63">
    <xf numFmtId="0" fontId="0" fillId="0" borderId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8" fillId="31" borderId="0" applyNumberFormat="0" applyBorder="0" applyAlignment="0" applyProtection="0"/>
    <xf numFmtId="0" fontId="39" fillId="32" borderId="68" applyNumberFormat="0" applyAlignment="0" applyProtection="0"/>
    <xf numFmtId="0" fontId="40" fillId="33" borderId="69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43" fillId="0" borderId="70" applyNumberFormat="0" applyFill="0" applyAlignment="0" applyProtection="0"/>
    <xf numFmtId="0" fontId="44" fillId="0" borderId="71" applyNumberFormat="0" applyFill="0" applyAlignment="0" applyProtection="0"/>
    <xf numFmtId="0" fontId="45" fillId="0" borderId="72" applyNumberFormat="0" applyFill="0" applyAlignment="0" applyProtection="0"/>
    <xf numFmtId="0" fontId="45" fillId="0" borderId="0" applyNumberFormat="0" applyFill="0" applyBorder="0" applyAlignment="0" applyProtection="0"/>
    <xf numFmtId="0" fontId="46" fillId="35" borderId="68" applyNumberFormat="0" applyAlignment="0" applyProtection="0"/>
    <xf numFmtId="0" fontId="47" fillId="0" borderId="73" applyNumberFormat="0" applyFill="0" applyAlignment="0" applyProtection="0"/>
    <xf numFmtId="0" fontId="48" fillId="36" borderId="0" applyNumberFormat="0" applyBorder="0" applyAlignment="0" applyProtection="0"/>
    <xf numFmtId="0" fontId="36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1" fillId="0" borderId="0"/>
    <xf numFmtId="0" fontId="10" fillId="0" borderId="0"/>
    <xf numFmtId="0" fontId="36" fillId="0" borderId="0"/>
    <xf numFmtId="0" fontId="10" fillId="0" borderId="0"/>
    <xf numFmtId="0" fontId="29" fillId="37" borderId="74" applyNumberFormat="0" applyFont="0" applyAlignment="0" applyProtection="0"/>
    <xf numFmtId="0" fontId="4" fillId="37" borderId="74" applyNumberFormat="0" applyFont="0" applyAlignment="0" applyProtection="0"/>
    <xf numFmtId="0" fontId="36" fillId="37" borderId="74" applyNumberFormat="0" applyFont="0" applyAlignment="0" applyProtection="0"/>
    <xf numFmtId="0" fontId="49" fillId="32" borderId="75" applyNumberFormat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76" applyNumberFormat="0" applyFill="0" applyAlignment="0" applyProtection="0"/>
    <xf numFmtId="0" fontId="5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</cellStyleXfs>
  <cellXfs count="628">
    <xf numFmtId="0" fontId="0" fillId="0" borderId="0" xfId="0"/>
    <xf numFmtId="0" fontId="0" fillId="0" borderId="0" xfId="0" applyAlignment="1">
      <alignment wrapText="1"/>
    </xf>
    <xf numFmtId="0" fontId="14" fillId="0" borderId="0" xfId="0" applyFont="1" applyFill="1" applyBorder="1"/>
    <xf numFmtId="0" fontId="14" fillId="0" borderId="0" xfId="0" applyFont="1"/>
    <xf numFmtId="0" fontId="15" fillId="0" borderId="0" xfId="55" applyFont="1"/>
    <xf numFmtId="0" fontId="15" fillId="2" borderId="0" xfId="55" applyFont="1" applyFill="1"/>
    <xf numFmtId="0" fontId="36" fillId="0" borderId="0" xfId="55" applyAlignment="1">
      <alignment wrapText="1"/>
    </xf>
    <xf numFmtId="8" fontId="36" fillId="0" borderId="0" xfId="55" applyNumberFormat="1" applyAlignment="1">
      <alignment horizontal="right" wrapText="1"/>
    </xf>
    <xf numFmtId="0" fontId="36" fillId="0" borderId="0" xfId="55" applyAlignment="1"/>
    <xf numFmtId="0" fontId="36" fillId="2" borderId="0" xfId="55" applyFill="1"/>
    <xf numFmtId="0" fontId="36" fillId="0" borderId="0" xfId="55"/>
    <xf numFmtId="0" fontId="9" fillId="0" borderId="0" xfId="55" applyFont="1" applyAlignment="1">
      <alignment horizontal="center" vertical="center" wrapText="1"/>
    </xf>
    <xf numFmtId="0" fontId="15" fillId="0" borderId="0" xfId="55" applyFont="1" applyAlignment="1">
      <alignment horizontal="center" vertical="center" wrapText="1"/>
    </xf>
    <xf numFmtId="8" fontId="15" fillId="0" borderId="0" xfId="55" applyNumberFormat="1" applyFont="1" applyAlignment="1">
      <alignment horizontal="center" vertical="center" wrapText="1"/>
    </xf>
    <xf numFmtId="0" fontId="16" fillId="0" borderId="0" xfId="55" applyFont="1" applyAlignment="1">
      <alignment horizontal="right"/>
    </xf>
    <xf numFmtId="8" fontId="36" fillId="0" borderId="0" xfId="55" applyNumberFormat="1" applyAlignment="1">
      <alignment horizontal="right"/>
    </xf>
    <xf numFmtId="0" fontId="16" fillId="3" borderId="0" xfId="55" applyFont="1" applyFill="1" applyAlignment="1">
      <alignment horizontal="right"/>
    </xf>
    <xf numFmtId="8" fontId="36" fillId="3" borderId="0" xfId="55" applyNumberFormat="1" applyFill="1"/>
    <xf numFmtId="0" fontId="36" fillId="3" borderId="0" xfId="55" applyFill="1" applyAlignment="1"/>
    <xf numFmtId="0" fontId="17" fillId="0" borderId="0" xfId="55" quotePrefix="1" applyFont="1"/>
    <xf numFmtId="8" fontId="36" fillId="0" borderId="0" xfId="55" applyNumberFormat="1"/>
    <xf numFmtId="0" fontId="18" fillId="4" borderId="0" xfId="55" applyFont="1" applyFill="1" applyAlignment="1">
      <alignment horizontal="right"/>
    </xf>
    <xf numFmtId="8" fontId="36" fillId="4" borderId="0" xfId="55" applyNumberFormat="1" applyFill="1"/>
    <xf numFmtId="0" fontId="36" fillId="4" borderId="0" xfId="55" applyFill="1" applyAlignment="1"/>
    <xf numFmtId="10" fontId="7" fillId="4" borderId="0" xfId="69" applyNumberFormat="1" applyFont="1" applyFill="1" applyAlignment="1"/>
    <xf numFmtId="0" fontId="20" fillId="2" borderId="0" xfId="55" applyFont="1" applyFill="1"/>
    <xf numFmtId="0" fontId="21" fillId="0" borderId="0" xfId="0" quotePrefix="1" applyFont="1" applyBorder="1"/>
    <xf numFmtId="0" fontId="11" fillId="5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1" fillId="0" borderId="4" xfId="0" applyFont="1" applyBorder="1"/>
    <xf numFmtId="8" fontId="0" fillId="0" borderId="0" xfId="0" applyNumberFormat="1"/>
    <xf numFmtId="0" fontId="11" fillId="5" borderId="4" xfId="0" applyFont="1" applyFill="1" applyBorder="1" applyAlignment="1">
      <alignment horizontal="center" vertical="center" wrapText="1"/>
    </xf>
    <xf numFmtId="164" fontId="25" fillId="0" borderId="5" xfId="34" applyNumberFormat="1" applyFont="1" applyBorder="1"/>
    <xf numFmtId="6" fontId="0" fillId="0" borderId="3" xfId="0" applyNumberFormat="1" applyBorder="1"/>
    <xf numFmtId="164" fontId="25" fillId="0" borderId="5" xfId="0" applyNumberFormat="1" applyFont="1" applyBorder="1"/>
    <xf numFmtId="164" fontId="25" fillId="0" borderId="5" xfId="0" applyNumberFormat="1" applyFont="1" applyFill="1" applyBorder="1"/>
    <xf numFmtId="164" fontId="11" fillId="0" borderId="1" xfId="0" applyNumberFormat="1" applyFont="1" applyBorder="1"/>
    <xf numFmtId="9" fontId="11" fillId="0" borderId="8" xfId="68" applyFont="1" applyBorder="1" applyAlignment="1">
      <alignment horizontal="center"/>
    </xf>
    <xf numFmtId="0" fontId="36" fillId="0" borderId="5" xfId="55" applyBorder="1" applyAlignment="1"/>
    <xf numFmtId="0" fontId="36" fillId="2" borderId="0" xfId="55" applyFill="1" applyAlignment="1"/>
    <xf numFmtId="8" fontId="36" fillId="0" borderId="0" xfId="55" applyNumberFormat="1" applyAlignment="1"/>
    <xf numFmtId="0" fontId="4" fillId="0" borderId="0" xfId="55" applyFont="1" applyFill="1" applyAlignment="1">
      <alignment wrapText="1"/>
    </xf>
    <xf numFmtId="164" fontId="26" fillId="0" borderId="5" xfId="34" applyNumberFormat="1" applyFont="1" applyFill="1" applyBorder="1"/>
    <xf numFmtId="0" fontId="0" fillId="0" borderId="0" xfId="0" applyAlignment="1"/>
    <xf numFmtId="164" fontId="25" fillId="0" borderId="3" xfId="34" applyNumberFormat="1" applyFont="1" applyBorder="1"/>
    <xf numFmtId="164" fontId="25" fillId="0" borderId="3" xfId="0" applyNumberFormat="1" applyFont="1" applyBorder="1"/>
    <xf numFmtId="0" fontId="16" fillId="0" borderId="0" xfId="55" applyFont="1" applyFill="1" applyAlignment="1">
      <alignment horizontal="right"/>
    </xf>
    <xf numFmtId="8" fontId="36" fillId="0" borderId="0" xfId="55" applyNumberFormat="1" applyFill="1"/>
    <xf numFmtId="0" fontId="36" fillId="0" borderId="0" xfId="55" applyFill="1"/>
    <xf numFmtId="0" fontId="4" fillId="0" borderId="0" xfId="55" applyFont="1"/>
    <xf numFmtId="44" fontId="29" fillId="0" borderId="0" xfId="34" applyFont="1" applyAlignment="1">
      <alignment horizontal="right"/>
    </xf>
    <xf numFmtId="165" fontId="0" fillId="0" borderId="13" xfId="28" applyNumberFormat="1" applyFont="1" applyBorder="1"/>
    <xf numFmtId="0" fontId="0" fillId="0" borderId="3" xfId="0" applyFill="1" applyBorder="1"/>
    <xf numFmtId="164" fontId="28" fillId="0" borderId="1" xfId="34" applyNumberFormat="1" applyFont="1" applyFill="1" applyBorder="1"/>
    <xf numFmtId="164" fontId="25" fillId="0" borderId="14" xfId="34" applyNumberFormat="1" applyFont="1" applyBorder="1"/>
    <xf numFmtId="0" fontId="0" fillId="0" borderId="15" xfId="0" applyBorder="1"/>
    <xf numFmtId="0" fontId="0" fillId="0" borderId="0" xfId="0" applyFont="1"/>
    <xf numFmtId="0" fontId="15" fillId="0" borderId="0" xfId="55" applyFont="1" applyAlignment="1"/>
    <xf numFmtId="0" fontId="7" fillId="0" borderId="0" xfId="55" applyFont="1" applyFill="1" applyAlignment="1"/>
    <xf numFmtId="0" fontId="12" fillId="0" borderId="18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14" fillId="0" borderId="0" xfId="0" applyFont="1" applyBorder="1" applyAlignment="1">
      <alignment horizontal="center"/>
    </xf>
    <xf numFmtId="0" fontId="23" fillId="5" borderId="21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/>
    <xf numFmtId="165" fontId="0" fillId="0" borderId="19" xfId="28" applyNumberFormat="1" applyFont="1" applyBorder="1"/>
    <xf numFmtId="0" fontId="0" fillId="0" borderId="19" xfId="0" applyBorder="1" applyAlignment="1">
      <alignment horizontal="center"/>
    </xf>
    <xf numFmtId="0" fontId="23" fillId="0" borderId="29" xfId="0" applyFont="1" applyFill="1" applyBorder="1"/>
    <xf numFmtId="0" fontId="11" fillId="0" borderId="30" xfId="0" applyFont="1" applyFill="1" applyBorder="1"/>
    <xf numFmtId="0" fontId="11" fillId="5" borderId="22" xfId="0" applyFont="1" applyFill="1" applyBorder="1" applyAlignment="1">
      <alignment horizontal="center" vertical="center" wrapText="1"/>
    </xf>
    <xf numFmtId="44" fontId="0" fillId="0" borderId="0" xfId="34" applyFont="1"/>
    <xf numFmtId="0" fontId="0" fillId="0" borderId="3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34" xfId="0" applyBorder="1" applyAlignment="1"/>
    <xf numFmtId="9" fontId="0" fillId="0" borderId="35" xfId="68" applyFont="1" applyBorder="1" applyAlignment="1">
      <alignment horizontal="center"/>
    </xf>
    <xf numFmtId="164" fontId="11" fillId="0" borderId="4" xfId="0" applyNumberFormat="1" applyFont="1" applyBorder="1"/>
    <xf numFmtId="164" fontId="25" fillId="0" borderId="6" xfId="34" applyNumberFormat="1" applyFont="1" applyFill="1" applyBorder="1"/>
    <xf numFmtId="0" fontId="15" fillId="2" borderId="0" xfId="55" applyFont="1" applyFill="1" applyAlignment="1"/>
    <xf numFmtId="0" fontId="4" fillId="0" borderId="0" xfId="55" applyFont="1" applyAlignment="1"/>
    <xf numFmtId="0" fontId="4" fillId="0" borderId="0" xfId="55" applyFont="1" applyFill="1" applyAlignment="1"/>
    <xf numFmtId="0" fontId="9" fillId="0" borderId="0" xfId="55" applyFont="1" applyAlignment="1">
      <alignment horizontal="center" vertical="center"/>
    </xf>
    <xf numFmtId="8" fontId="15" fillId="0" borderId="0" xfId="55" applyNumberFormat="1" applyFont="1" applyAlignment="1">
      <alignment horizontal="center" vertical="center"/>
    </xf>
    <xf numFmtId="0" fontId="15" fillId="0" borderId="0" xfId="55" applyFont="1" applyAlignment="1">
      <alignment horizontal="center" vertical="center"/>
    </xf>
    <xf numFmtId="8" fontId="36" fillId="3" borderId="0" xfId="55" applyNumberFormat="1" applyFill="1" applyAlignment="1"/>
    <xf numFmtId="0" fontId="17" fillId="0" borderId="0" xfId="55" quotePrefix="1" applyFont="1" applyAlignment="1"/>
    <xf numFmtId="0" fontId="21" fillId="0" borderId="0" xfId="0" quotePrefix="1" applyFont="1" applyBorder="1" applyAlignment="1"/>
    <xf numFmtId="8" fontId="36" fillId="4" borderId="0" xfId="55" applyNumberFormat="1" applyFill="1" applyAlignment="1"/>
    <xf numFmtId="0" fontId="0" fillId="0" borderId="22" xfId="0" applyFill="1" applyBorder="1" applyAlignment="1"/>
    <xf numFmtId="0" fontId="0" fillId="0" borderId="36" xfId="0" applyFill="1" applyBorder="1"/>
    <xf numFmtId="164" fontId="25" fillId="0" borderId="5" xfId="34" applyNumberFormat="1" applyFont="1" applyFill="1" applyBorder="1"/>
    <xf numFmtId="0" fontId="0" fillId="0" borderId="37" xfId="0" applyBorder="1" applyAlignment="1">
      <alignment horizontal="center"/>
    </xf>
    <xf numFmtId="0" fontId="23" fillId="5" borderId="7" xfId="0" applyFont="1" applyFill="1" applyBorder="1" applyAlignment="1">
      <alignment horizontal="center" vertical="center" wrapText="1"/>
    </xf>
    <xf numFmtId="9" fontId="25" fillId="0" borderId="38" xfId="68" applyFont="1" applyBorder="1" applyAlignment="1">
      <alignment horizontal="center"/>
    </xf>
    <xf numFmtId="0" fontId="30" fillId="0" borderId="18" xfId="0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" xfId="0" applyFont="1" applyBorder="1"/>
    <xf numFmtId="164" fontId="0" fillId="0" borderId="3" xfId="34" applyNumberFormat="1" applyFont="1" applyBorder="1"/>
    <xf numFmtId="164" fontId="0" fillId="0" borderId="3" xfId="0" applyNumberFormat="1" applyFont="1" applyBorder="1"/>
    <xf numFmtId="164" fontId="11" fillId="0" borderId="3" xfId="0" applyNumberFormat="1" applyFont="1" applyBorder="1"/>
    <xf numFmtId="164" fontId="0" fillId="0" borderId="0" xfId="0" applyNumberFormat="1"/>
    <xf numFmtId="0" fontId="23" fillId="5" borderId="9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36" xfId="0" applyFont="1" applyBorder="1"/>
    <xf numFmtId="0" fontId="0" fillId="0" borderId="34" xfId="0" applyFill="1" applyBorder="1" applyAlignment="1"/>
    <xf numFmtId="9" fontId="25" fillId="0" borderId="38" xfId="68" applyFont="1" applyFill="1" applyBorder="1" applyAlignment="1">
      <alignment horizontal="center"/>
    </xf>
    <xf numFmtId="9" fontId="25" fillId="0" borderId="35" xfId="68" applyFont="1" applyFill="1" applyBorder="1" applyAlignment="1">
      <alignment horizontal="center"/>
    </xf>
    <xf numFmtId="9" fontId="11" fillId="0" borderId="8" xfId="68" applyNumberFormat="1" applyFont="1" applyFill="1" applyBorder="1" applyAlignment="1">
      <alignment horizontal="center"/>
    </xf>
    <xf numFmtId="164" fontId="11" fillId="0" borderId="4" xfId="34" applyNumberFormat="1" applyFont="1" applyBorder="1"/>
    <xf numFmtId="44" fontId="15" fillId="0" borderId="0" xfId="55" applyNumberFormat="1" applyFont="1" applyAlignment="1">
      <alignment horizontal="center" vertical="center"/>
    </xf>
    <xf numFmtId="0" fontId="32" fillId="0" borderId="0" xfId="55" applyFont="1"/>
    <xf numFmtId="0" fontId="32" fillId="2" borderId="0" xfId="55" applyFont="1" applyFill="1"/>
    <xf numFmtId="0" fontId="10" fillId="0" borderId="0" xfId="0" applyFont="1"/>
    <xf numFmtId="0" fontId="53" fillId="2" borderId="0" xfId="55" applyFont="1" applyFill="1"/>
    <xf numFmtId="0" fontId="53" fillId="2" borderId="0" xfId="55" applyFont="1" applyFill="1" applyAlignment="1"/>
    <xf numFmtId="0" fontId="53" fillId="0" borderId="0" xfId="55" applyFont="1"/>
    <xf numFmtId="0" fontId="53" fillId="0" borderId="0" xfId="55" applyFont="1" applyAlignment="1">
      <alignment wrapText="1"/>
    </xf>
    <xf numFmtId="8" fontId="53" fillId="0" borderId="0" xfId="55" applyNumberFormat="1" applyFont="1" applyAlignment="1">
      <alignment horizontal="right" wrapText="1"/>
    </xf>
    <xf numFmtId="0" fontId="33" fillId="0" borderId="0" xfId="55" applyFont="1" applyAlignment="1">
      <alignment horizontal="right"/>
    </xf>
    <xf numFmtId="8" fontId="53" fillId="0" borderId="0" xfId="55" applyNumberFormat="1" applyFont="1" applyAlignment="1">
      <alignment horizontal="right"/>
    </xf>
    <xf numFmtId="0" fontId="32" fillId="0" borderId="0" xfId="55" applyFont="1" applyAlignment="1">
      <alignment horizontal="center" vertical="center" wrapText="1"/>
    </xf>
    <xf numFmtId="0" fontId="33" fillId="0" borderId="0" xfId="55" applyFont="1" applyFill="1" applyAlignment="1">
      <alignment horizontal="right"/>
    </xf>
    <xf numFmtId="8" fontId="53" fillId="0" borderId="0" xfId="55" applyNumberFormat="1" applyFont="1" applyFill="1"/>
    <xf numFmtId="0" fontId="53" fillId="0" borderId="0" xfId="55" applyFont="1" applyFill="1"/>
    <xf numFmtId="0" fontId="34" fillId="4" borderId="0" xfId="55" applyFont="1" applyFill="1" applyAlignment="1">
      <alignment horizontal="right"/>
    </xf>
    <xf numFmtId="8" fontId="53" fillId="4" borderId="0" xfId="55" applyNumberFormat="1" applyFont="1" applyFill="1"/>
    <xf numFmtId="0" fontId="35" fillId="2" borderId="0" xfId="55" applyFont="1" applyFill="1"/>
    <xf numFmtId="44" fontId="22" fillId="0" borderId="0" xfId="34" applyFont="1" applyAlignment="1">
      <alignment horizontal="right"/>
    </xf>
    <xf numFmtId="8" fontId="53" fillId="0" borderId="0" xfId="55" applyNumberFormat="1" applyFont="1"/>
    <xf numFmtId="44" fontId="53" fillId="0" borderId="0" xfId="55" applyNumberFormat="1" applyFont="1"/>
    <xf numFmtId="164" fontId="25" fillId="0" borderId="6" xfId="38" applyNumberFormat="1" applyFont="1" applyFill="1" applyBorder="1"/>
    <xf numFmtId="9" fontId="0" fillId="0" borderId="35" xfId="70" applyFont="1" applyBorder="1" applyAlignment="1">
      <alignment horizontal="center"/>
    </xf>
    <xf numFmtId="9" fontId="11" fillId="0" borderId="8" xfId="70" applyFont="1" applyBorder="1" applyAlignment="1">
      <alignment horizontal="center"/>
    </xf>
    <xf numFmtId="44" fontId="36" fillId="0" borderId="0" xfId="34" applyFont="1"/>
    <xf numFmtId="0" fontId="9" fillId="2" borderId="0" xfId="55" applyFont="1" applyFill="1" applyAlignment="1"/>
    <xf numFmtId="164" fontId="25" fillId="0" borderId="19" xfId="0" applyNumberFormat="1" applyFont="1" applyFill="1" applyBorder="1"/>
    <xf numFmtId="164" fontId="26" fillId="0" borderId="19" xfId="34" applyNumberFormat="1" applyFont="1" applyFill="1" applyBorder="1"/>
    <xf numFmtId="9" fontId="25" fillId="0" borderId="34" xfId="68" applyFont="1" applyFill="1" applyBorder="1" applyAlignment="1">
      <alignment horizontal="center"/>
    </xf>
    <xf numFmtId="0" fontId="23" fillId="5" borderId="33" xfId="0" applyFont="1" applyFill="1" applyBorder="1" applyAlignment="1">
      <alignment horizontal="center" vertical="center" wrapText="1"/>
    </xf>
    <xf numFmtId="164" fontId="25" fillId="0" borderId="10" xfId="0" applyNumberFormat="1" applyFont="1" applyBorder="1"/>
    <xf numFmtId="164" fontId="25" fillId="0" borderId="16" xfId="34" applyNumberFormat="1" applyFont="1" applyBorder="1"/>
    <xf numFmtId="0" fontId="23" fillId="5" borderId="4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11" fillId="0" borderId="50" xfId="0" applyFont="1" applyFill="1" applyBorder="1"/>
    <xf numFmtId="0" fontId="11" fillId="0" borderId="32" xfId="0" applyFont="1" applyFill="1" applyBorder="1"/>
    <xf numFmtId="0" fontId="11" fillId="0" borderId="0" xfId="0" applyFont="1"/>
    <xf numFmtId="165" fontId="11" fillId="0" borderId="0" xfId="0" applyNumberFormat="1" applyFont="1"/>
    <xf numFmtId="164" fontId="25" fillId="0" borderId="19" xfId="0" applyNumberFormat="1" applyFont="1" applyBorder="1"/>
    <xf numFmtId="164" fontId="25" fillId="0" borderId="13" xfId="0" applyNumberFormat="1" applyFont="1" applyFill="1" applyBorder="1"/>
    <xf numFmtId="164" fontId="25" fillId="0" borderId="17" xfId="34" applyNumberFormat="1" applyFont="1" applyBorder="1"/>
    <xf numFmtId="164" fontId="11" fillId="0" borderId="55" xfId="0" applyNumberFormat="1" applyFont="1" applyBorder="1"/>
    <xf numFmtId="0" fontId="11" fillId="0" borderId="31" xfId="0" applyFont="1" applyFill="1" applyBorder="1"/>
    <xf numFmtId="0" fontId="0" fillId="38" borderId="0" xfId="0" applyFill="1" applyBorder="1"/>
    <xf numFmtId="44" fontId="0" fillId="0" borderId="0" xfId="0" applyNumberFormat="1"/>
    <xf numFmtId="165" fontId="0" fillId="0" borderId="0" xfId="0" applyNumberFormat="1"/>
    <xf numFmtId="0" fontId="11" fillId="0" borderId="0" xfId="0" applyFont="1" applyFill="1" applyBorder="1"/>
    <xf numFmtId="44" fontId="54" fillId="0" borderId="0" xfId="34" applyFont="1"/>
    <xf numFmtId="44" fontId="54" fillId="0" borderId="0" xfId="34" applyFont="1" applyAlignment="1">
      <alignment wrapText="1"/>
    </xf>
    <xf numFmtId="44" fontId="54" fillId="0" borderId="0" xfId="34" applyFont="1" applyAlignment="1"/>
    <xf numFmtId="44" fontId="55" fillId="0" borderId="0" xfId="34" applyFont="1"/>
    <xf numFmtId="0" fontId="0" fillId="0" borderId="56" xfId="0" applyBorder="1" applyAlignment="1"/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44" fontId="36" fillId="0" borderId="0" xfId="55" applyNumberFormat="1" applyAlignment="1">
      <alignment horizontal="right" wrapText="1"/>
    </xf>
    <xf numFmtId="164" fontId="25" fillId="0" borderId="13" xfId="0" applyNumberFormat="1" applyFont="1" applyBorder="1"/>
    <xf numFmtId="9" fontId="23" fillId="0" borderId="38" xfId="68" applyFont="1" applyBorder="1" applyAlignment="1">
      <alignment horizontal="center"/>
    </xf>
    <xf numFmtId="164" fontId="23" fillId="0" borderId="57" xfId="34" applyNumberFormat="1" applyFont="1" applyBorder="1"/>
    <xf numFmtId="164" fontId="25" fillId="0" borderId="61" xfId="34" applyNumberFormat="1" applyFont="1" applyBorder="1"/>
    <xf numFmtId="0" fontId="54" fillId="0" borderId="0" xfId="0" applyFont="1"/>
    <xf numFmtId="0" fontId="56" fillId="0" borderId="0" xfId="0" applyFont="1"/>
    <xf numFmtId="0" fontId="54" fillId="0" borderId="5" xfId="0" applyFont="1" applyBorder="1"/>
    <xf numFmtId="0" fontId="54" fillId="0" borderId="5" xfId="0" applyFont="1" applyBorder="1" applyAlignment="1">
      <alignment horizontal="left"/>
    </xf>
    <xf numFmtId="0" fontId="23" fillId="0" borderId="59" xfId="0" applyFont="1" applyBorder="1" applyAlignment="1">
      <alignment horizontal="center"/>
    </xf>
    <xf numFmtId="164" fontId="25" fillId="0" borderId="63" xfId="34" applyNumberFormat="1" applyFont="1" applyBorder="1"/>
    <xf numFmtId="164" fontId="23" fillId="0" borderId="60" xfId="34" applyNumberFormat="1" applyFont="1" applyBorder="1"/>
    <xf numFmtId="0" fontId="11" fillId="39" borderId="22" xfId="0" applyFont="1" applyFill="1" applyBorder="1" applyAlignment="1">
      <alignment horizontal="center" vertical="center" wrapText="1"/>
    </xf>
    <xf numFmtId="164" fontId="25" fillId="0" borderId="34" xfId="34" applyNumberFormat="1" applyFont="1" applyBorder="1"/>
    <xf numFmtId="0" fontId="11" fillId="0" borderId="64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47" xfId="0" applyFont="1" applyFill="1" applyBorder="1" applyAlignment="1">
      <alignment horizontal="center" vertical="center" wrapText="1"/>
    </xf>
    <xf numFmtId="165" fontId="25" fillId="0" borderId="12" xfId="28" applyNumberFormat="1" applyFont="1" applyBorder="1" applyAlignment="1"/>
    <xf numFmtId="165" fontId="25" fillId="0" borderId="62" xfId="28" applyNumberFormat="1" applyFont="1" applyBorder="1" applyAlignment="1"/>
    <xf numFmtId="165" fontId="23" fillId="0" borderId="59" xfId="28" applyNumberFormat="1" applyFont="1" applyBorder="1" applyAlignment="1"/>
    <xf numFmtId="0" fontId="56" fillId="0" borderId="52" xfId="0" applyFont="1" applyBorder="1"/>
    <xf numFmtId="0" fontId="56" fillId="0" borderId="36" xfId="0" applyFont="1" applyBorder="1"/>
    <xf numFmtId="0" fontId="0" fillId="0" borderId="0" xfId="0" applyNumberFormat="1"/>
    <xf numFmtId="0" fontId="57" fillId="41" borderId="5" xfId="0" applyFont="1" applyFill="1" applyBorder="1"/>
    <xf numFmtId="164" fontId="25" fillId="0" borderId="19" xfId="34" applyNumberFormat="1" applyFont="1" applyFill="1" applyBorder="1"/>
    <xf numFmtId="0" fontId="25" fillId="0" borderId="30" xfId="0" applyFont="1" applyBorder="1" applyAlignment="1">
      <alignment horizontal="center" wrapText="1"/>
    </xf>
    <xf numFmtId="0" fontId="25" fillId="0" borderId="31" xfId="0" applyFont="1" applyBorder="1" applyAlignment="1">
      <alignment horizontal="center"/>
    </xf>
    <xf numFmtId="0" fontId="25" fillId="0" borderId="31" xfId="0" applyFont="1" applyBorder="1" applyAlignment="1">
      <alignment horizontal="center" wrapText="1"/>
    </xf>
    <xf numFmtId="0" fontId="25" fillId="0" borderId="32" xfId="0" applyFont="1" applyBorder="1" applyAlignment="1">
      <alignment horizontal="center" wrapText="1"/>
    </xf>
    <xf numFmtId="44" fontId="36" fillId="0" borderId="0" xfId="55" applyNumberFormat="1" applyAlignment="1">
      <alignment horizontal="right"/>
    </xf>
    <xf numFmtId="0" fontId="11" fillId="39" borderId="1" xfId="0" applyFont="1" applyFill="1" applyBorder="1" applyAlignment="1">
      <alignment horizontal="center" vertical="center"/>
    </xf>
    <xf numFmtId="0" fontId="11" fillId="39" borderId="8" xfId="0" applyFont="1" applyFill="1" applyBorder="1" applyAlignment="1">
      <alignment horizontal="center" vertical="center"/>
    </xf>
    <xf numFmtId="0" fontId="11" fillId="39" borderId="55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21" fillId="0" borderId="0" xfId="0" applyFont="1"/>
    <xf numFmtId="0" fontId="11" fillId="39" borderId="21" xfId="0" applyFont="1" applyFill="1" applyBorder="1" applyAlignment="1">
      <alignment horizontal="center" vertical="center"/>
    </xf>
    <xf numFmtId="0" fontId="11" fillId="39" borderId="22" xfId="0" applyFont="1" applyFill="1" applyBorder="1" applyAlignment="1">
      <alignment horizontal="center" vertical="center"/>
    </xf>
    <xf numFmtId="0" fontId="11" fillId="39" borderId="23" xfId="0" applyFont="1" applyFill="1" applyBorder="1" applyAlignment="1">
      <alignment horizontal="center" vertical="center"/>
    </xf>
    <xf numFmtId="165" fontId="0" fillId="0" borderId="10" xfId="28" applyNumberFormat="1" applyFont="1" applyBorder="1" applyAlignment="1"/>
    <xf numFmtId="165" fontId="0" fillId="0" borderId="58" xfId="28" applyNumberFormat="1" applyFont="1" applyBorder="1" applyAlignment="1"/>
    <xf numFmtId="0" fontId="11" fillId="0" borderId="43" xfId="0" applyFont="1" applyBorder="1" applyAlignment="1">
      <alignment horizontal="center"/>
    </xf>
    <xf numFmtId="166" fontId="0" fillId="0" borderId="42" xfId="68" applyNumberFormat="1" applyFont="1" applyBorder="1" applyAlignment="1">
      <alignment horizontal="center"/>
    </xf>
    <xf numFmtId="166" fontId="0" fillId="0" borderId="57" xfId="68" applyNumberFormat="1" applyFont="1" applyBorder="1" applyAlignment="1">
      <alignment horizontal="center"/>
    </xf>
    <xf numFmtId="44" fontId="22" fillId="0" borderId="0" xfId="34" applyFont="1"/>
    <xf numFmtId="6" fontId="53" fillId="0" borderId="0" xfId="55" applyNumberFormat="1" applyFont="1" applyAlignment="1">
      <alignment horizontal="right"/>
    </xf>
    <xf numFmtId="44" fontId="53" fillId="0" borderId="0" xfId="34" applyFont="1" applyAlignment="1">
      <alignment horizontal="right" wrapText="1"/>
    </xf>
    <xf numFmtId="44" fontId="53" fillId="0" borderId="0" xfId="34" applyFont="1"/>
    <xf numFmtId="165" fontId="0" fillId="0" borderId="54" xfId="28" applyNumberFormat="1" applyFont="1" applyFill="1" applyBorder="1" applyAlignment="1"/>
    <xf numFmtId="44" fontId="15" fillId="0" borderId="0" xfId="34" applyFont="1"/>
    <xf numFmtId="44" fontId="36" fillId="3" borderId="0" xfId="34" applyFont="1" applyFill="1"/>
    <xf numFmtId="44" fontId="36" fillId="3" borderId="0" xfId="34" applyFont="1" applyFill="1" applyAlignment="1"/>
    <xf numFmtId="44" fontId="36" fillId="4" borderId="0" xfId="34" applyFont="1" applyFill="1"/>
    <xf numFmtId="44" fontId="36" fillId="2" borderId="0" xfId="34" applyFont="1" applyFill="1"/>
    <xf numFmtId="44" fontId="36" fillId="0" borderId="0" xfId="34" applyFont="1" applyAlignment="1">
      <alignment horizontal="right" wrapText="1"/>
    </xf>
    <xf numFmtId="9" fontId="0" fillId="0" borderId="0" xfId="68" applyFont="1"/>
    <xf numFmtId="0" fontId="56" fillId="0" borderId="22" xfId="0" applyFont="1" applyBorder="1"/>
    <xf numFmtId="0" fontId="14" fillId="38" borderId="0" xfId="0" applyFont="1" applyFill="1" applyBorder="1"/>
    <xf numFmtId="0" fontId="14" fillId="38" borderId="48" xfId="0" applyFont="1" applyFill="1" applyBorder="1"/>
    <xf numFmtId="165" fontId="10" fillId="0" borderId="37" xfId="28" applyNumberFormat="1" applyFont="1" applyBorder="1"/>
    <xf numFmtId="44" fontId="56" fillId="0" borderId="0" xfId="34" applyFont="1"/>
    <xf numFmtId="9" fontId="0" fillId="0" borderId="0" xfId="68" applyFont="1" applyAlignment="1">
      <alignment wrapText="1"/>
    </xf>
    <xf numFmtId="9" fontId="0" fillId="0" borderId="0" xfId="68" applyFont="1" applyAlignment="1"/>
    <xf numFmtId="9" fontId="14" fillId="0" borderId="0" xfId="68" applyFont="1"/>
    <xf numFmtId="164" fontId="0" fillId="0" borderId="0" xfId="68" applyNumberFormat="1" applyFont="1"/>
    <xf numFmtId="164" fontId="0" fillId="0" borderId="0" xfId="34" applyNumberFormat="1" applyFont="1"/>
    <xf numFmtId="0" fontId="23" fillId="0" borderId="6" xfId="0" applyFont="1" applyBorder="1"/>
    <xf numFmtId="0" fontId="23" fillId="0" borderId="2" xfId="0" applyFont="1" applyBorder="1"/>
    <xf numFmtId="0" fontId="11" fillId="0" borderId="6" xfId="0" applyFont="1" applyBorder="1"/>
    <xf numFmtId="0" fontId="11" fillId="0" borderId="2" xfId="0" applyFont="1" applyBorder="1"/>
    <xf numFmtId="164" fontId="23" fillId="0" borderId="5" xfId="34" applyNumberFormat="1" applyFont="1" applyBorder="1"/>
    <xf numFmtId="164" fontId="23" fillId="0" borderId="5" xfId="0" applyNumberFormat="1" applyFont="1" applyBorder="1"/>
    <xf numFmtId="164" fontId="23" fillId="0" borderId="14" xfId="34" applyNumberFormat="1" applyFont="1" applyBorder="1"/>
    <xf numFmtId="164" fontId="23" fillId="0" borderId="14" xfId="34" applyNumberFormat="1" applyFont="1" applyFill="1" applyBorder="1" applyAlignment="1"/>
    <xf numFmtId="164" fontId="60" fillId="0" borderId="5" xfId="34" applyNumberFormat="1" applyFont="1" applyFill="1" applyBorder="1"/>
    <xf numFmtId="9" fontId="23" fillId="0" borderId="38" xfId="68" applyFont="1" applyFill="1" applyBorder="1" applyAlignment="1">
      <alignment horizontal="center"/>
    </xf>
    <xf numFmtId="164" fontId="23" fillId="0" borderId="3" xfId="34" applyNumberFormat="1" applyFont="1" applyBorder="1"/>
    <xf numFmtId="164" fontId="23" fillId="0" borderId="3" xfId="0" applyNumberFormat="1" applyFont="1" applyBorder="1"/>
    <xf numFmtId="164" fontId="23" fillId="0" borderId="5" xfId="0" applyNumberFormat="1" applyFont="1" applyFill="1" applyBorder="1"/>
    <xf numFmtId="164" fontId="23" fillId="0" borderId="15" xfId="34" applyNumberFormat="1" applyFont="1" applyFill="1" applyBorder="1" applyAlignment="1"/>
    <xf numFmtId="164" fontId="60" fillId="0" borderId="3" xfId="34" applyNumberFormat="1" applyFont="1" applyFill="1" applyBorder="1"/>
    <xf numFmtId="164" fontId="11" fillId="0" borderId="5" xfId="34" applyNumberFormat="1" applyFont="1" applyBorder="1"/>
    <xf numFmtId="164" fontId="11" fillId="0" borderId="5" xfId="0" applyNumberFormat="1" applyFont="1" applyBorder="1"/>
    <xf numFmtId="164" fontId="23" fillId="0" borderId="39" xfId="34" applyNumberFormat="1" applyFont="1" applyFill="1" applyBorder="1" applyAlignment="1"/>
    <xf numFmtId="164" fontId="23" fillId="0" borderId="41" xfId="34" applyNumberFormat="1" applyFont="1" applyFill="1" applyBorder="1" applyAlignment="1"/>
    <xf numFmtId="9" fontId="10" fillId="0" borderId="0" xfId="68" applyFont="1"/>
    <xf numFmtId="0" fontId="25" fillId="0" borderId="2" xfId="0" applyFont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4" fillId="0" borderId="2" xfId="0" applyFont="1" applyBorder="1" applyAlignment="1">
      <alignment horizontal="right"/>
    </xf>
    <xf numFmtId="164" fontId="14" fillId="0" borderId="5" xfId="34" applyNumberFormat="1" applyFont="1" applyBorder="1"/>
    <xf numFmtId="164" fontId="14" fillId="0" borderId="5" xfId="0" applyNumberFormat="1" applyFont="1" applyBorder="1"/>
    <xf numFmtId="164" fontId="14" fillId="0" borderId="14" xfId="34" applyNumberFormat="1" applyFont="1" applyFill="1" applyBorder="1" applyAlignment="1"/>
    <xf numFmtId="164" fontId="61" fillId="0" borderId="5" xfId="34" applyNumberFormat="1" applyFont="1" applyFill="1" applyBorder="1"/>
    <xf numFmtId="9" fontId="14" fillId="0" borderId="38" xfId="68" applyFont="1" applyFill="1" applyBorder="1" applyAlignment="1">
      <alignment horizontal="center"/>
    </xf>
    <xf numFmtId="164" fontId="14" fillId="0" borderId="5" xfId="38" applyNumberFormat="1" applyFont="1" applyBorder="1"/>
    <xf numFmtId="0" fontId="14" fillId="0" borderId="6" xfId="0" applyFont="1" applyBorder="1" applyAlignment="1">
      <alignment horizontal="right"/>
    </xf>
    <xf numFmtId="44" fontId="23" fillId="0" borderId="5" xfId="34" applyFont="1" applyBorder="1"/>
    <xf numFmtId="166" fontId="0" fillId="0" borderId="34" xfId="70" applyNumberFormat="1" applyFont="1" applyBorder="1" applyAlignment="1">
      <alignment horizontal="center"/>
    </xf>
    <xf numFmtId="166" fontId="0" fillId="0" borderId="53" xfId="70" applyNumberFormat="1" applyFont="1" applyBorder="1" applyAlignment="1">
      <alignment horizontal="center"/>
    </xf>
    <xf numFmtId="164" fontId="23" fillId="0" borderId="6" xfId="38" applyNumberFormat="1" applyFont="1" applyFill="1" applyBorder="1"/>
    <xf numFmtId="164" fontId="23" fillId="0" borderId="5" xfId="38" applyNumberFormat="1" applyFont="1" applyBorder="1"/>
    <xf numFmtId="9" fontId="11" fillId="0" borderId="0" xfId="68" applyFont="1"/>
    <xf numFmtId="164" fontId="11" fillId="0" borderId="0" xfId="0" applyNumberFormat="1" applyFont="1"/>
    <xf numFmtId="164" fontId="23" fillId="0" borderId="6" xfId="34" applyNumberFormat="1" applyFont="1" applyFill="1" applyBorder="1"/>
    <xf numFmtId="44" fontId="13" fillId="6" borderId="9" xfId="34" applyFont="1" applyFill="1" applyBorder="1" applyAlignment="1">
      <alignment horizontal="center"/>
    </xf>
    <xf numFmtId="44" fontId="23" fillId="5" borderId="77" xfId="34" applyFont="1" applyFill="1" applyBorder="1" applyAlignment="1">
      <alignment horizontal="center" vertical="center" wrapText="1"/>
    </xf>
    <xf numFmtId="44" fontId="0" fillId="0" borderId="78" xfId="34" applyFont="1" applyFill="1" applyBorder="1" applyAlignment="1"/>
    <xf numFmtId="44" fontId="23" fillId="0" borderId="39" xfId="34" applyFont="1" applyFill="1" applyBorder="1" applyAlignment="1">
      <alignment horizontal="center"/>
    </xf>
    <xf numFmtId="44" fontId="14" fillId="0" borderId="39" xfId="34" applyFont="1" applyFill="1" applyBorder="1" applyAlignment="1">
      <alignment horizontal="center"/>
    </xf>
    <xf numFmtId="44" fontId="25" fillId="0" borderId="39" xfId="34" applyFont="1" applyFill="1" applyBorder="1" applyAlignment="1">
      <alignment horizontal="center"/>
    </xf>
    <xf numFmtId="44" fontId="25" fillId="0" borderId="41" xfId="34" applyFont="1" applyFill="1" applyBorder="1" applyAlignment="1">
      <alignment horizontal="center"/>
    </xf>
    <xf numFmtId="44" fontId="14" fillId="0" borderId="0" xfId="34" applyFont="1"/>
    <xf numFmtId="0" fontId="0" fillId="0" borderId="40" xfId="0" applyBorder="1"/>
    <xf numFmtId="44" fontId="23" fillId="0" borderId="14" xfId="34" applyFont="1" applyFill="1" applyBorder="1" applyAlignment="1">
      <alignment horizontal="center"/>
    </xf>
    <xf numFmtId="44" fontId="14" fillId="0" borderId="14" xfId="34" applyFont="1" applyFill="1" applyBorder="1" applyAlignment="1">
      <alignment horizontal="center"/>
    </xf>
    <xf numFmtId="44" fontId="25" fillId="0" borderId="46" xfId="34" applyFont="1" applyFill="1" applyBorder="1" applyAlignment="1">
      <alignment horizontal="center"/>
    </xf>
    <xf numFmtId="44" fontId="11" fillId="0" borderId="1" xfId="34" applyFont="1" applyBorder="1"/>
    <xf numFmtId="165" fontId="0" fillId="0" borderId="13" xfId="28" applyNumberFormat="1" applyFont="1" applyFill="1" applyBorder="1" applyAlignment="1">
      <alignment wrapText="1"/>
    </xf>
    <xf numFmtId="0" fontId="0" fillId="0" borderId="0" xfId="0"/>
    <xf numFmtId="0" fontId="9" fillId="0" borderId="0" xfId="55" applyFont="1"/>
    <xf numFmtId="164" fontId="23" fillId="0" borderId="5" xfId="38" applyNumberFormat="1" applyFont="1" applyFill="1" applyBorder="1"/>
    <xf numFmtId="164" fontId="14" fillId="0" borderId="5" xfId="38" applyNumberFormat="1" applyFont="1" applyFill="1" applyBorder="1"/>
    <xf numFmtId="164" fontId="25" fillId="0" borderId="5" xfId="38" applyNumberFormat="1" applyFont="1" applyFill="1" applyBorder="1"/>
    <xf numFmtId="44" fontId="14" fillId="0" borderId="5" xfId="0" applyNumberFormat="1" applyFont="1" applyFill="1" applyBorder="1"/>
    <xf numFmtId="164" fontId="14" fillId="0" borderId="0" xfId="0" applyNumberFormat="1" applyFont="1"/>
    <xf numFmtId="44" fontId="11" fillId="0" borderId="0" xfId="0" applyNumberFormat="1" applyFont="1"/>
    <xf numFmtId="44" fontId="14" fillId="0" borderId="0" xfId="0" applyNumberFormat="1" applyFont="1"/>
    <xf numFmtId="165" fontId="0" fillId="0" borderId="0" xfId="0" applyNumberFormat="1" applyFont="1" applyFill="1" applyBorder="1" applyAlignment="1">
      <alignment horizontal="center" vertical="center" wrapText="1"/>
    </xf>
    <xf numFmtId="0" fontId="14" fillId="0" borderId="64" xfId="0" applyFont="1" applyBorder="1" applyAlignment="1">
      <alignment horizontal="center"/>
    </xf>
    <xf numFmtId="0" fontId="11" fillId="40" borderId="49" xfId="0" applyFont="1" applyFill="1" applyBorder="1" applyAlignment="1">
      <alignment horizontal="center" vertical="center" wrapText="1"/>
    </xf>
    <xf numFmtId="0" fontId="11" fillId="0" borderId="50" xfId="0" applyFont="1" applyBorder="1"/>
    <xf numFmtId="165" fontId="11" fillId="0" borderId="0" xfId="28" applyNumberFormat="1" applyFont="1" applyFill="1" applyBorder="1"/>
    <xf numFmtId="0" fontId="14" fillId="0" borderId="79" xfId="0" applyFont="1" applyBorder="1" applyAlignment="1">
      <alignment horizontal="center"/>
    </xf>
    <xf numFmtId="0" fontId="11" fillId="40" borderId="11" xfId="0" applyFont="1" applyFill="1" applyBorder="1" applyAlignment="1">
      <alignment horizontal="center" vertical="center"/>
    </xf>
    <xf numFmtId="0" fontId="11" fillId="40" borderId="28" xfId="0" applyFont="1" applyFill="1" applyBorder="1" applyAlignment="1">
      <alignment horizontal="center" vertical="center"/>
    </xf>
    <xf numFmtId="0" fontId="11" fillId="44" borderId="77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/>
    </xf>
    <xf numFmtId="0" fontId="11" fillId="39" borderId="4" xfId="0" applyFont="1" applyFill="1" applyBorder="1" applyAlignment="1">
      <alignment horizontal="center" vertical="center" wrapText="1"/>
    </xf>
    <xf numFmtId="0" fontId="11" fillId="39" borderId="8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 applyAlignment="1"/>
    <xf numFmtId="0" fontId="25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Fill="1"/>
    <xf numFmtId="0" fontId="11" fillId="5" borderId="29" xfId="0" applyFont="1" applyFill="1" applyBorder="1" applyAlignment="1">
      <alignment horizontal="center" vertical="center" wrapText="1"/>
    </xf>
    <xf numFmtId="0" fontId="11" fillId="0" borderId="31" xfId="0" applyFont="1" applyBorder="1"/>
    <xf numFmtId="0" fontId="23" fillId="5" borderId="55" xfId="0" applyFont="1" applyFill="1" applyBorder="1" applyAlignment="1">
      <alignment horizontal="center" vertical="center" wrapText="1"/>
    </xf>
    <xf numFmtId="164" fontId="25" fillId="0" borderId="17" xfId="0" applyNumberFormat="1" applyFont="1" applyFill="1" applyBorder="1"/>
    <xf numFmtId="164" fontId="25" fillId="0" borderId="58" xfId="0" applyNumberFormat="1" applyFont="1" applyFill="1" applyBorder="1"/>
    <xf numFmtId="0" fontId="23" fillId="40" borderId="49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/>
    <xf numFmtId="0" fontId="11" fillId="45" borderId="49" xfId="0" applyFont="1" applyFill="1" applyBorder="1" applyAlignment="1">
      <alignment horizontal="center" vertical="center"/>
    </xf>
    <xf numFmtId="0" fontId="0" fillId="0" borderId="19" xfId="0" applyFont="1" applyBorder="1"/>
    <xf numFmtId="0" fontId="11" fillId="0" borderId="18" xfId="0" applyFont="1" applyBorder="1"/>
    <xf numFmtId="0" fontId="11" fillId="0" borderId="18" xfId="0" applyFont="1" applyFill="1" applyBorder="1"/>
    <xf numFmtId="0" fontId="11" fillId="6" borderId="11" xfId="0" applyFont="1" applyFill="1" applyBorder="1" applyAlignment="1">
      <alignment horizontal="center" vertical="center"/>
    </xf>
    <xf numFmtId="164" fontId="11" fillId="40" borderId="81" xfId="0" applyNumberFormat="1" applyFont="1" applyFill="1" applyBorder="1"/>
    <xf numFmtId="9" fontId="11" fillId="0" borderId="57" xfId="68" applyNumberFormat="1" applyFont="1" applyFill="1" applyBorder="1" applyAlignment="1">
      <alignment horizontal="center"/>
    </xf>
    <xf numFmtId="0" fontId="11" fillId="0" borderId="30" xfId="0" applyFont="1" applyBorder="1"/>
    <xf numFmtId="164" fontId="25" fillId="0" borderId="37" xfId="34" applyNumberFormat="1" applyFont="1" applyBorder="1"/>
    <xf numFmtId="0" fontId="11" fillId="0" borderId="67" xfId="0" applyFont="1" applyBorder="1"/>
    <xf numFmtId="164" fontId="11" fillId="0" borderId="0" xfId="0" applyNumberFormat="1" applyFont="1" applyBorder="1"/>
    <xf numFmtId="164" fontId="11" fillId="0" borderId="0" xfId="34" applyNumberFormat="1" applyFont="1" applyBorder="1"/>
    <xf numFmtId="164" fontId="28" fillId="0" borderId="0" xfId="34" applyNumberFormat="1" applyFont="1" applyFill="1" applyBorder="1"/>
    <xf numFmtId="9" fontId="11" fillId="0" borderId="0" xfId="68" applyNumberFormat="1" applyFont="1" applyFill="1" applyBorder="1" applyAlignment="1">
      <alignment horizontal="center"/>
    </xf>
    <xf numFmtId="164" fontId="11" fillId="0" borderId="0" xfId="0" applyNumberFormat="1" applyFont="1" applyFill="1" applyBorder="1"/>
    <xf numFmtId="0" fontId="11" fillId="0" borderId="14" xfId="0" applyFont="1" applyBorder="1"/>
    <xf numFmtId="166" fontId="14" fillId="0" borderId="0" xfId="68" applyNumberFormat="1" applyFont="1"/>
    <xf numFmtId="44" fontId="27" fillId="0" borderId="0" xfId="0" applyNumberFormat="1" applyFont="1" applyFill="1" applyBorder="1" applyAlignment="1"/>
    <xf numFmtId="0" fontId="67" fillId="0" borderId="0" xfId="0" applyFont="1"/>
    <xf numFmtId="164" fontId="23" fillId="0" borderId="14" xfId="38" applyNumberFormat="1" applyFont="1" applyFill="1" applyBorder="1" applyAlignment="1"/>
    <xf numFmtId="164" fontId="25" fillId="0" borderId="14" xfId="38" applyNumberFormat="1" applyFont="1" applyFill="1" applyBorder="1" applyAlignment="1"/>
    <xf numFmtId="164" fontId="14" fillId="0" borderId="14" xfId="38" applyNumberFormat="1" applyFont="1" applyFill="1" applyBorder="1" applyAlignment="1"/>
    <xf numFmtId="164" fontId="23" fillId="0" borderId="39" xfId="38" applyNumberFormat="1" applyFont="1" applyFill="1" applyBorder="1" applyAlignment="1"/>
    <xf numFmtId="164" fontId="23" fillId="0" borderId="41" xfId="38" applyNumberFormat="1" applyFont="1" applyFill="1" applyBorder="1" applyAlignment="1"/>
    <xf numFmtId="44" fontId="0" fillId="0" borderId="0" xfId="34" applyFont="1" applyAlignment="1"/>
    <xf numFmtId="0" fontId="0" fillId="0" borderId="5" xfId="0" applyBorder="1"/>
    <xf numFmtId="0" fontId="56" fillId="0" borderId="21" xfId="0" applyFont="1" applyBorder="1" applyAlignment="1"/>
    <xf numFmtId="0" fontId="54" fillId="0" borderId="5" xfId="0" applyFont="1" applyBorder="1" applyAlignment="1"/>
    <xf numFmtId="0" fontId="57" fillId="41" borderId="5" xfId="0" applyFont="1" applyFill="1" applyBorder="1" applyAlignment="1"/>
    <xf numFmtId="0" fontId="54" fillId="0" borderId="0" xfId="0" applyFont="1" applyAlignment="1"/>
    <xf numFmtId="44" fontId="56" fillId="0" borderId="23" xfId="34" applyFont="1" applyBorder="1"/>
    <xf numFmtId="0" fontId="54" fillId="0" borderId="5" xfId="0" applyFont="1" applyBorder="1" applyAlignment="1">
      <alignment horizontal="right"/>
    </xf>
    <xf numFmtId="44" fontId="56" fillId="0" borderId="51" xfId="34" applyFont="1" applyBorder="1"/>
    <xf numFmtId="44" fontId="56" fillId="0" borderId="0" xfId="34" applyFont="1" applyBorder="1"/>
    <xf numFmtId="0" fontId="11" fillId="40" borderId="49" xfId="0" applyFont="1" applyFill="1" applyBorder="1" applyAlignment="1">
      <alignment horizontal="center" vertical="center"/>
    </xf>
    <xf numFmtId="0" fontId="11" fillId="0" borderId="32" xfId="0" applyFont="1" applyBorder="1"/>
    <xf numFmtId="44" fontId="0" fillId="0" borderId="5" xfId="34" applyFont="1" applyBorder="1"/>
    <xf numFmtId="0" fontId="11" fillId="40" borderId="11" xfId="0" applyFont="1" applyFill="1" applyBorder="1"/>
    <xf numFmtId="44" fontId="0" fillId="0" borderId="6" xfId="34" applyFont="1" applyBorder="1"/>
    <xf numFmtId="44" fontId="0" fillId="0" borderId="38" xfId="34" applyFont="1" applyBorder="1"/>
    <xf numFmtId="44" fontId="0" fillId="0" borderId="46" xfId="34" applyFont="1" applyBorder="1"/>
    <xf numFmtId="44" fontId="0" fillId="0" borderId="13" xfId="34" applyFont="1" applyBorder="1"/>
    <xf numFmtId="44" fontId="0" fillId="0" borderId="53" xfId="34" applyFont="1" applyBorder="1"/>
    <xf numFmtId="44" fontId="0" fillId="0" borderId="12" xfId="34" applyFont="1" applyBorder="1"/>
    <xf numFmtId="44" fontId="0" fillId="0" borderId="10" xfId="34" applyFont="1" applyBorder="1"/>
    <xf numFmtId="44" fontId="0" fillId="0" borderId="42" xfId="34" applyFont="1" applyBorder="1"/>
    <xf numFmtId="0" fontId="14" fillId="0" borderId="27" xfId="0" applyFont="1" applyBorder="1" applyAlignment="1">
      <alignment horizontal="center"/>
    </xf>
    <xf numFmtId="0" fontId="54" fillId="0" borderId="82" xfId="0" applyFont="1" applyBorder="1" applyAlignment="1"/>
    <xf numFmtId="0" fontId="54" fillId="0" borderId="82" xfId="0" applyFont="1" applyBorder="1"/>
    <xf numFmtId="0" fontId="11" fillId="0" borderId="0" xfId="0" applyFont="1" applyBorder="1" applyAlignment="1">
      <alignment horizontal="left"/>
    </xf>
    <xf numFmtId="164" fontId="25" fillId="0" borderId="83" xfId="34" applyNumberFormat="1" applyFont="1" applyFill="1" applyBorder="1"/>
    <xf numFmtId="164" fontId="26" fillId="0" borderId="83" xfId="34" applyNumberFormat="1" applyFont="1" applyFill="1" applyBorder="1"/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0" fillId="0" borderId="82" xfId="0" applyBorder="1"/>
    <xf numFmtId="0" fontId="0" fillId="0" borderId="85" xfId="0" applyFont="1" applyBorder="1"/>
    <xf numFmtId="165" fontId="0" fillId="0" borderId="85" xfId="28" applyNumberFormat="1" applyFont="1" applyBorder="1" applyAlignment="1">
      <alignment horizontal="right"/>
    </xf>
    <xf numFmtId="165" fontId="0" fillId="0" borderId="85" xfId="28" applyNumberFormat="1" applyFont="1" applyFill="1" applyBorder="1" applyAlignment="1">
      <alignment horizontal="right" vertical="center" wrapText="1"/>
    </xf>
    <xf numFmtId="0" fontId="10" fillId="0" borderId="10" xfId="28" applyNumberFormat="1" applyFont="1" applyBorder="1"/>
    <xf numFmtId="165" fontId="65" fillId="0" borderId="86" xfId="28" applyNumberFormat="1" applyFont="1" applyBorder="1" applyAlignment="1">
      <alignment horizontal="right"/>
    </xf>
    <xf numFmtId="0" fontId="10" fillId="0" borderId="86" xfId="28" applyNumberFormat="1" applyFont="1" applyBorder="1"/>
    <xf numFmtId="165" fontId="0" fillId="0" borderId="19" xfId="28" applyNumberFormat="1" applyFont="1" applyBorder="1" applyAlignment="1">
      <alignment horizontal="right"/>
    </xf>
    <xf numFmtId="0" fontId="11" fillId="0" borderId="87" xfId="0" applyFont="1" applyFill="1" applyBorder="1"/>
    <xf numFmtId="165" fontId="10" fillId="0" borderId="85" xfId="28" applyNumberFormat="1" applyFont="1" applyFill="1" applyBorder="1" applyAlignment="1">
      <alignment horizontal="center" vertical="center" wrapText="1"/>
    </xf>
    <xf numFmtId="165" fontId="0" fillId="0" borderId="85" xfId="28" applyNumberFormat="1" applyFont="1" applyBorder="1"/>
    <xf numFmtId="165" fontId="0" fillId="0" borderId="85" xfId="0" applyNumberFormat="1" applyFont="1" applyFill="1" applyBorder="1" applyAlignment="1">
      <alignment horizontal="center" vertical="center" wrapText="1"/>
    </xf>
    <xf numFmtId="165" fontId="0" fillId="0" borderId="85" xfId="28" applyNumberFormat="1" applyFont="1" applyFill="1" applyBorder="1" applyAlignment="1">
      <alignment horizontal="center" vertical="center" wrapText="1"/>
    </xf>
    <xf numFmtId="0" fontId="63" fillId="0" borderId="89" xfId="0" applyFont="1" applyBorder="1"/>
    <xf numFmtId="165" fontId="65" fillId="0" borderId="86" xfId="28" applyNumberFormat="1" applyFont="1" applyBorder="1"/>
    <xf numFmtId="0" fontId="0" fillId="0" borderId="42" xfId="0" applyBorder="1"/>
    <xf numFmtId="0" fontId="0" fillId="0" borderId="88" xfId="0" applyFont="1" applyBorder="1"/>
    <xf numFmtId="0" fontId="11" fillId="0" borderId="91" xfId="0" applyFont="1" applyBorder="1"/>
    <xf numFmtId="0" fontId="0" fillId="0" borderId="86" xfId="0" applyFont="1" applyBorder="1"/>
    <xf numFmtId="0" fontId="0" fillId="0" borderId="90" xfId="0" applyBorder="1"/>
    <xf numFmtId="165" fontId="0" fillId="0" borderId="34" xfId="28" applyNumberFormat="1" applyFont="1" applyBorder="1"/>
    <xf numFmtId="165" fontId="0" fillId="0" borderId="88" xfId="28" applyNumberFormat="1" applyFont="1" applyBorder="1"/>
    <xf numFmtId="165" fontId="0" fillId="0" borderId="88" xfId="28" applyNumberFormat="1" applyFont="1" applyFill="1" applyBorder="1" applyAlignment="1">
      <alignment horizontal="right" vertical="center" wrapText="1"/>
    </xf>
    <xf numFmtId="165" fontId="65" fillId="0" borderId="90" xfId="28" applyNumberFormat="1" applyFont="1" applyBorder="1" applyAlignment="1">
      <alignment horizontal="right"/>
    </xf>
    <xf numFmtId="164" fontId="25" fillId="0" borderId="90" xfId="38" applyNumberFormat="1" applyFont="1" applyBorder="1"/>
    <xf numFmtId="0" fontId="54" fillId="0" borderId="93" xfId="0" applyFont="1" applyBorder="1"/>
    <xf numFmtId="0" fontId="54" fillId="0" borderId="93" xfId="0" applyFont="1" applyBorder="1" applyAlignment="1">
      <alignment horizontal="right"/>
    </xf>
    <xf numFmtId="0" fontId="54" fillId="0" borderId="93" xfId="0" applyFont="1" applyBorder="1" applyAlignment="1"/>
    <xf numFmtId="164" fontId="25" fillId="0" borderId="16" xfId="38" applyNumberFormat="1" applyFont="1" applyFill="1" applyBorder="1" applyAlignment="1"/>
    <xf numFmtId="44" fontId="69" fillId="0" borderId="0" xfId="34" applyFont="1"/>
    <xf numFmtId="0" fontId="69" fillId="0" borderId="0" xfId="0" applyFont="1"/>
    <xf numFmtId="9" fontId="69" fillId="0" borderId="0" xfId="68" applyFont="1"/>
    <xf numFmtId="0" fontId="70" fillId="0" borderId="0" xfId="0" applyFont="1" applyFill="1" applyBorder="1"/>
    <xf numFmtId="0" fontId="70" fillId="0" borderId="0" xfId="0" applyFont="1"/>
    <xf numFmtId="164" fontId="70" fillId="0" borderId="0" xfId="68" applyNumberFormat="1" applyFont="1" applyFill="1" applyBorder="1"/>
    <xf numFmtId="164" fontId="70" fillId="0" borderId="0" xfId="0" applyNumberFormat="1" applyFont="1"/>
    <xf numFmtId="44" fontId="11" fillId="0" borderId="0" xfId="0" applyNumberFormat="1" applyFont="1" applyFill="1" applyBorder="1"/>
    <xf numFmtId="164" fontId="25" fillId="0" borderId="20" xfId="0" applyNumberFormat="1" applyFont="1" applyBorder="1"/>
    <xf numFmtId="164" fontId="25" fillId="0" borderId="16" xfId="0" applyNumberFormat="1" applyFont="1" applyBorder="1"/>
    <xf numFmtId="164" fontId="25" fillId="0" borderId="95" xfId="38" applyNumberFormat="1" applyFont="1" applyFill="1" applyBorder="1" applyAlignment="1"/>
    <xf numFmtId="164" fontId="25" fillId="0" borderId="94" xfId="38" applyNumberFormat="1" applyFont="1" applyBorder="1"/>
    <xf numFmtId="164" fontId="25" fillId="0" borderId="0" xfId="34" applyNumberFormat="1" applyFont="1" applyBorder="1"/>
    <xf numFmtId="164" fontId="25" fillId="0" borderId="93" xfId="34" applyNumberFormat="1" applyFont="1" applyBorder="1"/>
    <xf numFmtId="9" fontId="0" fillId="0" borderId="0" xfId="0" applyNumberFormat="1"/>
    <xf numFmtId="164" fontId="26" fillId="0" borderId="10" xfId="34" applyNumberFormat="1" applyFont="1" applyFill="1" applyBorder="1"/>
    <xf numFmtId="9" fontId="25" fillId="0" borderId="42" xfId="68" applyFont="1" applyFill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1" fillId="0" borderId="92" xfId="0" applyFont="1" applyBorder="1"/>
    <xf numFmtId="0" fontId="11" fillId="0" borderId="64" xfId="0" applyFont="1" applyBorder="1"/>
    <xf numFmtId="0" fontId="11" fillId="0" borderId="89" xfId="0" applyFont="1" applyBorder="1"/>
    <xf numFmtId="0" fontId="0" fillId="0" borderId="0" xfId="0" applyBorder="1"/>
    <xf numFmtId="0" fontId="23" fillId="40" borderId="21" xfId="0" applyFont="1" applyFill="1" applyBorder="1" applyAlignment="1">
      <alignment horizontal="center" vertical="center" wrapText="1"/>
    </xf>
    <xf numFmtId="0" fontId="23" fillId="40" borderId="22" xfId="0" applyFont="1" applyFill="1" applyBorder="1" applyAlignment="1">
      <alignment horizontal="center" vertical="center" wrapText="1"/>
    </xf>
    <xf numFmtId="0" fontId="23" fillId="40" borderId="23" xfId="0" applyFont="1" applyFill="1" applyBorder="1" applyAlignment="1">
      <alignment horizontal="center" vertical="center" wrapText="1"/>
    </xf>
    <xf numFmtId="0" fontId="0" fillId="0" borderId="48" xfId="0" applyBorder="1"/>
    <xf numFmtId="164" fontId="25" fillId="0" borderId="93" xfId="38" applyNumberFormat="1" applyFont="1" applyBorder="1"/>
    <xf numFmtId="164" fontId="25" fillId="0" borderId="18" xfId="38" applyNumberFormat="1" applyFont="1" applyBorder="1"/>
    <xf numFmtId="164" fontId="25" fillId="0" borderId="19" xfId="38" applyNumberFormat="1" applyFont="1" applyBorder="1"/>
    <xf numFmtId="164" fontId="25" fillId="0" borderId="34" xfId="38" applyNumberFormat="1" applyFont="1" applyBorder="1"/>
    <xf numFmtId="164" fontId="25" fillId="0" borderId="87" xfId="38" applyNumberFormat="1" applyFont="1" applyBorder="1"/>
    <xf numFmtId="164" fontId="25" fillId="0" borderId="88" xfId="38" applyNumberFormat="1" applyFont="1" applyBorder="1"/>
    <xf numFmtId="164" fontId="25" fillId="0" borderId="91" xfId="38" applyNumberFormat="1" applyFont="1" applyBorder="1"/>
    <xf numFmtId="164" fontId="25" fillId="0" borderId="86" xfId="38" applyNumberFormat="1" applyFont="1" applyBorder="1"/>
    <xf numFmtId="164" fontId="11" fillId="0" borderId="28" xfId="0" applyNumberFormat="1" applyFont="1" applyBorder="1"/>
    <xf numFmtId="164" fontId="23" fillId="0" borderId="55" xfId="0" applyNumberFormat="1" applyFont="1" applyBorder="1"/>
    <xf numFmtId="164" fontId="23" fillId="0" borderId="1" xfId="0" applyNumberFormat="1" applyFont="1" applyBorder="1"/>
    <xf numFmtId="164" fontId="60" fillId="0" borderId="1" xfId="34" applyNumberFormat="1" applyFont="1" applyFill="1" applyBorder="1"/>
    <xf numFmtId="9" fontId="23" fillId="0" borderId="8" xfId="68" applyFont="1" applyFill="1" applyBorder="1" applyAlignment="1">
      <alignment horizontal="center"/>
    </xf>
    <xf numFmtId="0" fontId="11" fillId="0" borderId="80" xfId="0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47" xfId="0" applyFont="1" applyBorder="1" applyAlignment="1">
      <alignment horizontal="right"/>
    </xf>
    <xf numFmtId="0" fontId="11" fillId="0" borderId="49" xfId="0" applyFont="1" applyBorder="1" applyAlignment="1">
      <alignment horizontal="right"/>
    </xf>
    <xf numFmtId="164" fontId="23" fillId="0" borderId="87" xfId="0" applyNumberFormat="1" applyFont="1" applyBorder="1"/>
    <xf numFmtId="164" fontId="23" fillId="0" borderId="93" xfId="0" applyNumberFormat="1" applyFont="1" applyBorder="1"/>
    <xf numFmtId="164" fontId="23" fillId="0" borderId="88" xfId="0" applyNumberFormat="1" applyFont="1" applyBorder="1"/>
    <xf numFmtId="164" fontId="23" fillId="0" borderId="7" xfId="0" applyNumberFormat="1" applyFont="1" applyBorder="1"/>
    <xf numFmtId="164" fontId="23" fillId="0" borderId="49" xfId="0" applyNumberFormat="1" applyFont="1" applyBorder="1"/>
    <xf numFmtId="44" fontId="36" fillId="0" borderId="0" xfId="34" applyFont="1" applyAlignment="1"/>
    <xf numFmtId="164" fontId="23" fillId="40" borderId="49" xfId="0" applyNumberFormat="1" applyFont="1" applyFill="1" applyBorder="1"/>
    <xf numFmtId="164" fontId="25" fillId="0" borderId="96" xfId="34" applyNumberFormat="1" applyFont="1" applyBorder="1"/>
    <xf numFmtId="0" fontId="23" fillId="40" borderId="24" xfId="0" applyFont="1" applyFill="1" applyBorder="1" applyAlignment="1">
      <alignment horizontal="center" vertical="center" wrapText="1"/>
    </xf>
    <xf numFmtId="164" fontId="25" fillId="0" borderId="20" xfId="38" applyNumberFormat="1" applyFont="1" applyBorder="1"/>
    <xf numFmtId="164" fontId="25" fillId="0" borderId="97" xfId="38" applyNumberFormat="1" applyFont="1" applyBorder="1"/>
    <xf numFmtId="164" fontId="25" fillId="0" borderId="98" xfId="38" applyNumberFormat="1" applyFont="1" applyBorder="1"/>
    <xf numFmtId="0" fontId="68" fillId="46" borderId="84" xfId="0" applyNumberFormat="1" applyFont="1" applyFill="1" applyBorder="1"/>
    <xf numFmtId="164" fontId="25" fillId="0" borderId="40" xfId="34" applyNumberFormat="1" applyFont="1" applyBorder="1"/>
    <xf numFmtId="164" fontId="25" fillId="0" borderId="100" xfId="0" applyNumberFormat="1" applyFont="1" applyBorder="1"/>
    <xf numFmtId="164" fontId="25" fillId="0" borderId="40" xfId="38" applyNumberFormat="1" applyFont="1" applyBorder="1"/>
    <xf numFmtId="164" fontId="26" fillId="0" borderId="3" xfId="34" applyNumberFormat="1" applyFont="1" applyFill="1" applyBorder="1"/>
    <xf numFmtId="0" fontId="11" fillId="0" borderId="11" xfId="0" applyFont="1" applyBorder="1" applyAlignment="1">
      <alignment horizontal="right"/>
    </xf>
    <xf numFmtId="164" fontId="23" fillId="0" borderId="28" xfId="0" applyNumberFormat="1" applyFont="1" applyFill="1" applyBorder="1"/>
    <xf numFmtId="164" fontId="23" fillId="0" borderId="49" xfId="0" applyNumberFormat="1" applyFont="1" applyFill="1" applyBorder="1"/>
    <xf numFmtId="9" fontId="23" fillId="0" borderId="49" xfId="68" applyFont="1" applyFill="1" applyBorder="1" applyAlignment="1">
      <alignment horizontal="center"/>
    </xf>
    <xf numFmtId="44" fontId="23" fillId="0" borderId="5" xfId="0" applyNumberFormat="1" applyFont="1" applyFill="1" applyBorder="1"/>
    <xf numFmtId="10" fontId="0" fillId="0" borderId="0" xfId="68" applyNumberFormat="1" applyFont="1"/>
    <xf numFmtId="0" fontId="71" fillId="0" borderId="0" xfId="0" applyFont="1"/>
    <xf numFmtId="164" fontId="25" fillId="40" borderId="43" xfId="0" applyNumberFormat="1" applyFont="1" applyFill="1" applyBorder="1"/>
    <xf numFmtId="164" fontId="25" fillId="40" borderId="19" xfId="0" applyNumberFormat="1" applyFont="1" applyFill="1" applyBorder="1"/>
    <xf numFmtId="164" fontId="25" fillId="40" borderId="10" xfId="0" applyNumberFormat="1" applyFont="1" applyFill="1" applyBorder="1"/>
    <xf numFmtId="164" fontId="25" fillId="40" borderId="5" xfId="0" applyNumberFormat="1" applyFont="1" applyFill="1" applyBorder="1"/>
    <xf numFmtId="44" fontId="0" fillId="0" borderId="16" xfId="34" applyFont="1" applyBorder="1"/>
    <xf numFmtId="44" fontId="0" fillId="0" borderId="97" xfId="34" applyFont="1" applyBorder="1"/>
    <xf numFmtId="44" fontId="0" fillId="0" borderId="98" xfId="34" applyFont="1" applyBorder="1"/>
    <xf numFmtId="0" fontId="11" fillId="40" borderId="29" xfId="0" applyFont="1" applyFill="1" applyBorder="1" applyAlignment="1">
      <alignment horizontal="center" vertical="center"/>
    </xf>
    <xf numFmtId="44" fontId="0" fillId="0" borderId="45" xfId="34" applyFont="1" applyBorder="1" applyAlignment="1">
      <alignment vertical="center" wrapText="1"/>
    </xf>
    <xf numFmtId="44" fontId="0" fillId="0" borderId="44" xfId="0" applyNumberFormat="1" applyFont="1" applyFill="1" applyBorder="1"/>
    <xf numFmtId="164" fontId="25" fillId="0" borderId="22" xfId="34" applyNumberFormat="1" applyFont="1" applyBorder="1"/>
    <xf numFmtId="44" fontId="0" fillId="0" borderId="43" xfId="0" applyNumberFormat="1" applyFont="1" applyFill="1" applyBorder="1"/>
    <xf numFmtId="10" fontId="0" fillId="0" borderId="0" xfId="0" applyNumberFormat="1"/>
    <xf numFmtId="0" fontId="54" fillId="0" borderId="101" xfId="0" applyFont="1" applyBorder="1"/>
    <xf numFmtId="0" fontId="54" fillId="0" borderId="101" xfId="0" applyFont="1" applyBorder="1" applyAlignment="1"/>
    <xf numFmtId="0" fontId="54" fillId="0" borderId="0" xfId="0" applyFont="1" applyBorder="1"/>
    <xf numFmtId="0" fontId="59" fillId="0" borderId="0" xfId="0" applyFont="1" applyFill="1" applyBorder="1" applyAlignment="1">
      <alignment horizontal="center"/>
    </xf>
    <xf numFmtId="44" fontId="68" fillId="46" borderId="84" xfId="34" applyFont="1" applyFill="1" applyBorder="1"/>
    <xf numFmtId="164" fontId="0" fillId="40" borderId="44" xfId="34" applyNumberFormat="1" applyFont="1" applyFill="1" applyBorder="1"/>
    <xf numFmtId="164" fontId="0" fillId="40" borderId="45" xfId="0" applyNumberFormat="1" applyFont="1" applyFill="1" applyBorder="1"/>
    <xf numFmtId="164" fontId="25" fillId="0" borderId="17" xfId="34" applyNumberFormat="1" applyFont="1" applyFill="1" applyBorder="1"/>
    <xf numFmtId="164" fontId="25" fillId="0" borderId="37" xfId="34" applyNumberFormat="1" applyFont="1" applyFill="1" applyBorder="1"/>
    <xf numFmtId="164" fontId="0" fillId="40" borderId="43" xfId="34" applyNumberFormat="1" applyFont="1" applyFill="1" applyBorder="1"/>
    <xf numFmtId="0" fontId="2" fillId="0" borderId="0" xfId="55" applyFont="1" applyAlignment="1">
      <alignment wrapText="1"/>
    </xf>
    <xf numFmtId="44" fontId="53" fillId="0" borderId="0" xfId="55" applyNumberFormat="1" applyFont="1" applyAlignment="1">
      <alignment horizontal="right" wrapText="1"/>
    </xf>
    <xf numFmtId="44" fontId="53" fillId="0" borderId="0" xfId="55" applyNumberFormat="1" applyFont="1" applyAlignment="1">
      <alignment horizontal="right"/>
    </xf>
    <xf numFmtId="9" fontId="22" fillId="0" borderId="0" xfId="68" applyFont="1"/>
    <xf numFmtId="167" fontId="0" fillId="0" borderId="0" xfId="68" applyNumberFormat="1" applyFont="1"/>
    <xf numFmtId="1" fontId="0" fillId="0" borderId="0" xfId="0" applyNumberFormat="1"/>
    <xf numFmtId="1" fontId="11" fillId="0" borderId="0" xfId="0" applyNumberFormat="1" applyFont="1"/>
    <xf numFmtId="0" fontId="0" fillId="0" borderId="0" xfId="0" applyAlignment="1">
      <alignment vertical="center" wrapText="1"/>
    </xf>
    <xf numFmtId="0" fontId="0" fillId="0" borderId="0" xfId="0" pivotButton="1"/>
    <xf numFmtId="0" fontId="54" fillId="0" borderId="107" xfId="0" applyFont="1" applyBorder="1" applyAlignment="1"/>
    <xf numFmtId="0" fontId="54" fillId="0" borderId="107" xfId="0" applyFont="1" applyBorder="1"/>
    <xf numFmtId="0" fontId="54" fillId="0" borderId="108" xfId="0" applyFont="1" applyBorder="1" applyAlignment="1"/>
    <xf numFmtId="0" fontId="54" fillId="0" borderId="108" xfId="0" applyFont="1" applyBorder="1"/>
    <xf numFmtId="0" fontId="53" fillId="0" borderId="108" xfId="0" applyFont="1" applyBorder="1"/>
    <xf numFmtId="0" fontId="54" fillId="41" borderId="101" xfId="0" applyFont="1" applyFill="1" applyBorder="1"/>
    <xf numFmtId="1" fontId="54" fillId="0" borderId="0" xfId="0" applyNumberFormat="1" applyFont="1"/>
    <xf numFmtId="0" fontId="11" fillId="5" borderId="49" xfId="0" applyFont="1" applyFill="1" applyBorder="1" applyAlignment="1">
      <alignment horizontal="center" vertical="center" wrapText="1"/>
    </xf>
    <xf numFmtId="165" fontId="0" fillId="0" borderId="29" xfId="28" applyNumberFormat="1" applyFont="1" applyBorder="1"/>
    <xf numFmtId="165" fontId="0" fillId="0" borderId="44" xfId="28" applyNumberFormat="1" applyFont="1" applyBorder="1"/>
    <xf numFmtId="165" fontId="0" fillId="0" borderId="44" xfId="28" applyNumberFormat="1" applyFont="1" applyFill="1" applyBorder="1" applyAlignment="1">
      <alignment horizontal="right" vertical="center" wrapText="1"/>
    </xf>
    <xf numFmtId="165" fontId="65" fillId="0" borderId="45" xfId="28" applyNumberFormat="1" applyFont="1" applyBorder="1" applyAlignment="1">
      <alignment horizontal="right"/>
    </xf>
    <xf numFmtId="0" fontId="23" fillId="5" borderId="77" xfId="0" applyFont="1" applyFill="1" applyBorder="1" applyAlignment="1">
      <alignment horizontal="center" vertical="center" wrapText="1"/>
    </xf>
    <xf numFmtId="164" fontId="25" fillId="0" borderId="10" xfId="34" applyNumberFormat="1" applyFont="1" applyBorder="1"/>
    <xf numFmtId="0" fontId="23" fillId="5" borderId="49" xfId="0" applyFont="1" applyFill="1" applyBorder="1" applyAlignment="1">
      <alignment horizontal="center" vertical="center" wrapText="1"/>
    </xf>
    <xf numFmtId="164" fontId="25" fillId="0" borderId="86" xfId="34" applyNumberFormat="1" applyFont="1" applyBorder="1"/>
    <xf numFmtId="44" fontId="0" fillId="0" borderId="30" xfId="0" applyNumberFormat="1" applyFont="1" applyFill="1" applyBorder="1"/>
    <xf numFmtId="44" fontId="0" fillId="0" borderId="102" xfId="0" applyNumberFormat="1" applyFont="1" applyFill="1" applyBorder="1"/>
    <xf numFmtId="44" fontId="0" fillId="0" borderId="103" xfId="34" applyFont="1" applyBorder="1" applyAlignment="1">
      <alignment vertical="center" wrapText="1"/>
    </xf>
    <xf numFmtId="0" fontId="0" fillId="0" borderId="16" xfId="0" applyBorder="1"/>
    <xf numFmtId="0" fontId="0" fillId="0" borderId="97" xfId="0" applyFont="1" applyBorder="1"/>
    <xf numFmtId="0" fontId="0" fillId="0" borderId="105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164" fontId="0" fillId="40" borderId="30" xfId="34" applyNumberFormat="1" applyFont="1" applyFill="1" applyBorder="1"/>
    <xf numFmtId="164" fontId="0" fillId="40" borderId="102" xfId="0" applyNumberFormat="1" applyFont="1" applyFill="1" applyBorder="1"/>
    <xf numFmtId="164" fontId="0" fillId="40" borderId="102" xfId="34" applyNumberFormat="1" applyFont="1" applyFill="1" applyBorder="1"/>
    <xf numFmtId="0" fontId="23" fillId="40" borderId="29" xfId="0" applyFont="1" applyFill="1" applyBorder="1" applyAlignment="1">
      <alignment horizontal="center" vertical="center" wrapText="1"/>
    </xf>
    <xf numFmtId="164" fontId="0" fillId="40" borderId="103" xfId="0" applyNumberFormat="1" applyFont="1" applyFill="1" applyBorder="1"/>
    <xf numFmtId="164" fontId="23" fillId="40" borderId="81" xfId="0" applyNumberFormat="1" applyFont="1" applyFill="1" applyBorder="1"/>
    <xf numFmtId="164" fontId="25" fillId="40" borderId="44" xfId="0" applyNumberFormat="1" applyFont="1" applyFill="1" applyBorder="1"/>
    <xf numFmtId="164" fontId="25" fillId="40" borderId="45" xfId="0" applyNumberFormat="1" applyFont="1" applyFill="1" applyBorder="1"/>
    <xf numFmtId="0" fontId="1" fillId="0" borderId="0" xfId="55" applyFont="1" applyAlignment="1">
      <alignment wrapText="1"/>
    </xf>
    <xf numFmtId="6" fontId="72" fillId="0" borderId="0" xfId="0" applyNumberFormat="1" applyFont="1"/>
    <xf numFmtId="164" fontId="73" fillId="0" borderId="0" xfId="34" applyNumberFormat="1" applyFont="1"/>
    <xf numFmtId="164" fontId="25" fillId="40" borderId="110" xfId="0" applyNumberFormat="1" applyFont="1" applyFill="1" applyBorder="1"/>
    <xf numFmtId="164" fontId="25" fillId="40" borderId="66" xfId="0" applyNumberFormat="1" applyFont="1" applyFill="1" applyBorder="1"/>
    <xf numFmtId="164" fontId="25" fillId="40" borderId="111" xfId="0" applyNumberFormat="1" applyFont="1" applyFill="1" applyBorder="1"/>
    <xf numFmtId="165" fontId="65" fillId="0" borderId="109" xfId="28" applyNumberFormat="1" applyFont="1" applyBorder="1" applyAlignment="1">
      <alignment horizontal="right"/>
    </xf>
    <xf numFmtId="164" fontId="22" fillId="0" borderId="0" xfId="34" applyNumberFormat="1" applyFont="1"/>
    <xf numFmtId="0" fontId="54" fillId="0" borderId="112" xfId="0" applyFont="1" applyBorder="1"/>
    <xf numFmtId="1" fontId="54" fillId="0" borderId="112" xfId="0" applyNumberFormat="1" applyFont="1" applyBorder="1"/>
    <xf numFmtId="44" fontId="54" fillId="0" borderId="112" xfId="0" applyNumberFormat="1" applyFont="1" applyBorder="1"/>
    <xf numFmtId="0" fontId="54" fillId="0" borderId="112" xfId="0" applyFont="1" applyBorder="1" applyAlignment="1"/>
    <xf numFmtId="1" fontId="56" fillId="0" borderId="0" xfId="34" applyNumberFormat="1" applyFont="1" applyBorder="1"/>
    <xf numFmtId="1" fontId="56" fillId="0" borderId="0" xfId="34" applyNumberFormat="1" applyFont="1"/>
    <xf numFmtId="0" fontId="25" fillId="0" borderId="18" xfId="0" applyFont="1" applyBorder="1" applyAlignment="1">
      <alignment horizontal="center"/>
    </xf>
    <xf numFmtId="0" fontId="25" fillId="0" borderId="62" xfId="0" applyFont="1" applyBorder="1" applyAlignment="1">
      <alignment horizontal="center"/>
    </xf>
    <xf numFmtId="44" fontId="68" fillId="46" borderId="84" xfId="0" applyNumberFormat="1" applyFont="1" applyFill="1" applyBorder="1"/>
    <xf numFmtId="9" fontId="25" fillId="0" borderId="90" xfId="68" applyFont="1" applyFill="1" applyBorder="1" applyAlignment="1">
      <alignment horizontal="center"/>
    </xf>
    <xf numFmtId="0" fontId="11" fillId="40" borderId="7" xfId="0" applyFont="1" applyFill="1" applyBorder="1" applyAlignment="1">
      <alignment horizontal="center"/>
    </xf>
    <xf numFmtId="0" fontId="11" fillId="40" borderId="55" xfId="0" applyFont="1" applyFill="1" applyBorder="1" applyAlignment="1">
      <alignment horizontal="center"/>
    </xf>
    <xf numFmtId="0" fontId="11" fillId="40" borderId="28" xfId="0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113" xfId="0" applyFont="1" applyBorder="1" applyAlignment="1">
      <alignment horizontal="center"/>
    </xf>
    <xf numFmtId="0" fontId="14" fillId="0" borderId="99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96" xfId="0" applyFont="1" applyBorder="1" applyAlignment="1">
      <alignment horizontal="center"/>
    </xf>
    <xf numFmtId="0" fontId="14" fillId="0" borderId="102" xfId="0" applyFont="1" applyBorder="1" applyAlignment="1">
      <alignment horizontal="center"/>
    </xf>
    <xf numFmtId="0" fontId="14" fillId="0" borderId="105" xfId="0" applyFont="1" applyBorder="1" applyAlignment="1">
      <alignment horizontal="center"/>
    </xf>
    <xf numFmtId="0" fontId="14" fillId="0" borderId="104" xfId="0" applyFont="1" applyBorder="1" applyAlignment="1">
      <alignment horizontal="center"/>
    </xf>
    <xf numFmtId="0" fontId="14" fillId="0" borderId="106" xfId="0" applyFont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6" borderId="28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40" borderId="11" xfId="0" applyFont="1" applyFill="1" applyBorder="1" applyAlignment="1">
      <alignment horizontal="center"/>
    </xf>
    <xf numFmtId="0" fontId="11" fillId="39" borderId="66" xfId="0" applyFont="1" applyFill="1" applyBorder="1" applyAlignment="1">
      <alignment horizontal="center" vertical="center"/>
    </xf>
    <xf numFmtId="0" fontId="11" fillId="39" borderId="8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1" fillId="42" borderId="11" xfId="0" applyFont="1" applyFill="1" applyBorder="1" applyAlignment="1">
      <alignment horizontal="center"/>
    </xf>
    <xf numFmtId="0" fontId="11" fillId="42" borderId="9" xfId="0" applyFont="1" applyFill="1" applyBorder="1" applyAlignment="1">
      <alignment horizontal="center"/>
    </xf>
    <xf numFmtId="0" fontId="11" fillId="42" borderId="28" xfId="0" applyFont="1" applyFill="1" applyBorder="1" applyAlignment="1">
      <alignment horizontal="center"/>
    </xf>
    <xf numFmtId="0" fontId="14" fillId="0" borderId="102" xfId="0" applyFont="1" applyBorder="1" applyAlignment="1">
      <alignment horizontal="center" vertical="center"/>
    </xf>
    <xf numFmtId="0" fontId="14" fillId="0" borderId="96" xfId="0" applyFont="1" applyBorder="1" applyAlignment="1">
      <alignment horizontal="center" vertical="center"/>
    </xf>
    <xf numFmtId="0" fontId="11" fillId="42" borderId="29" xfId="0" applyFont="1" applyFill="1" applyBorder="1" applyAlignment="1">
      <alignment horizontal="center" vertical="center" wrapText="1"/>
    </xf>
    <xf numFmtId="0" fontId="11" fillId="42" borderId="47" xfId="0" applyFont="1" applyFill="1" applyBorder="1" applyAlignment="1">
      <alignment horizontal="center" vertical="center" wrapText="1"/>
    </xf>
    <xf numFmtId="0" fontId="14" fillId="0" borderId="103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1" fillId="40" borderId="11" xfId="0" applyFont="1" applyFill="1" applyBorder="1" applyAlignment="1">
      <alignment horizontal="center" wrapText="1"/>
    </xf>
    <xf numFmtId="0" fontId="11" fillId="40" borderId="55" xfId="0" applyFont="1" applyFill="1" applyBorder="1" applyAlignment="1">
      <alignment horizontal="center" wrapText="1"/>
    </xf>
    <xf numFmtId="0" fontId="13" fillId="5" borderId="1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1" fillId="40" borderId="28" xfId="0" applyFont="1" applyFill="1" applyBorder="1" applyAlignment="1">
      <alignment horizontal="center" wrapText="1"/>
    </xf>
    <xf numFmtId="0" fontId="66" fillId="0" borderId="20" xfId="0" applyFont="1" applyBorder="1" applyAlignment="1">
      <alignment horizontal="center"/>
    </xf>
    <xf numFmtId="0" fontId="66" fillId="0" borderId="37" xfId="0" applyFont="1" applyBorder="1" applyAlignment="1">
      <alignment horizontal="center"/>
    </xf>
    <xf numFmtId="0" fontId="66" fillId="0" borderId="113" xfId="0" applyFont="1" applyBorder="1" applyAlignment="1">
      <alignment horizontal="center"/>
    </xf>
    <xf numFmtId="0" fontId="66" fillId="0" borderId="96" xfId="0" applyFont="1" applyBorder="1" applyAlignment="1">
      <alignment horizontal="center"/>
    </xf>
    <xf numFmtId="0" fontId="11" fillId="40" borderId="11" xfId="0" applyFont="1" applyFill="1" applyBorder="1" applyAlignment="1">
      <alignment horizontal="center" vertical="center"/>
    </xf>
    <xf numFmtId="0" fontId="11" fillId="40" borderId="9" xfId="0" applyFont="1" applyFill="1" applyBorder="1" applyAlignment="1">
      <alignment horizontal="center" vertical="center"/>
    </xf>
    <xf numFmtId="0" fontId="11" fillId="40" borderId="28" xfId="0" applyFont="1" applyFill="1" applyBorder="1" applyAlignment="1">
      <alignment horizontal="center" vertical="center"/>
    </xf>
    <xf numFmtId="0" fontId="11" fillId="39" borderId="11" xfId="0" applyFont="1" applyFill="1" applyBorder="1" applyAlignment="1">
      <alignment horizontal="center" vertical="center" wrapText="1"/>
    </xf>
    <xf numFmtId="0" fontId="11" fillId="39" borderId="28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6" fillId="0" borderId="105" xfId="0" applyFont="1" applyBorder="1" applyAlignment="1">
      <alignment horizontal="center"/>
    </xf>
    <xf numFmtId="0" fontId="66" fillId="0" borderId="104" xfId="0" applyFont="1" applyBorder="1" applyAlignment="1">
      <alignment horizontal="center"/>
    </xf>
    <xf numFmtId="0" fontId="11" fillId="42" borderId="81" xfId="0" applyFont="1" applyFill="1" applyBorder="1" applyAlignment="1">
      <alignment horizontal="center" vertical="center" wrapText="1"/>
    </xf>
    <xf numFmtId="0" fontId="13" fillId="6" borderId="47" xfId="0" applyFont="1" applyFill="1" applyBorder="1" applyAlignment="1">
      <alignment horizontal="center"/>
    </xf>
    <xf numFmtId="0" fontId="13" fillId="6" borderId="48" xfId="0" applyFont="1" applyFill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11" fillId="39" borderId="67" xfId="0" applyFont="1" applyFill="1" applyBorder="1" applyAlignment="1">
      <alignment horizontal="center" vertical="center"/>
    </xf>
    <xf numFmtId="0" fontId="11" fillId="39" borderId="81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/>
    </xf>
    <xf numFmtId="0" fontId="13" fillId="45" borderId="11" xfId="0" applyFont="1" applyFill="1" applyBorder="1" applyAlignment="1">
      <alignment horizontal="center"/>
    </xf>
    <xf numFmtId="0" fontId="13" fillId="45" borderId="9" xfId="0" applyFont="1" applyFill="1" applyBorder="1" applyAlignment="1">
      <alignment horizontal="center"/>
    </xf>
    <xf numFmtId="0" fontId="13" fillId="45" borderId="28" xfId="0" applyFont="1" applyFill="1" applyBorder="1" applyAlignment="1">
      <alignment horizontal="center"/>
    </xf>
    <xf numFmtId="0" fontId="59" fillId="43" borderId="4" xfId="0" applyFont="1" applyFill="1" applyBorder="1" applyAlignment="1">
      <alignment horizontal="center"/>
    </xf>
    <xf numFmtId="0" fontId="59" fillId="43" borderId="1" xfId="0" applyFont="1" applyFill="1" applyBorder="1" applyAlignment="1">
      <alignment horizontal="center"/>
    </xf>
    <xf numFmtId="0" fontId="59" fillId="43" borderId="8" xfId="0" applyFont="1" applyFill="1" applyBorder="1" applyAlignment="1">
      <alignment horizontal="center"/>
    </xf>
    <xf numFmtId="0" fontId="59" fillId="42" borderId="4" xfId="0" applyFont="1" applyFill="1" applyBorder="1" applyAlignment="1">
      <alignment horizontal="center"/>
    </xf>
    <xf numFmtId="0" fontId="59" fillId="42" borderId="1" xfId="0" applyFont="1" applyFill="1" applyBorder="1" applyAlignment="1">
      <alignment horizontal="center"/>
    </xf>
    <xf numFmtId="0" fontId="59" fillId="42" borderId="8" xfId="0" applyFont="1" applyFill="1" applyBorder="1" applyAlignment="1">
      <alignment horizontal="center"/>
    </xf>
  </cellXfs>
  <cellStyles count="156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urrency" xfId="34" builtinId="4"/>
    <cellStyle name="Currency 10" xfId="80"/>
    <cellStyle name="Currency 2" xfId="35"/>
    <cellStyle name="Currency 3" xfId="36"/>
    <cellStyle name="Currency 4" xfId="37"/>
    <cellStyle name="Currency 4 2" xfId="38"/>
    <cellStyle name="Currency 5" xfId="39"/>
    <cellStyle name="Currency 5 2" xfId="40"/>
    <cellStyle name="Currency 6" xfId="41"/>
    <cellStyle name="Currency 7" xfId="42"/>
    <cellStyle name="Currency 7 2" xfId="43"/>
    <cellStyle name="Currency 8" xfId="44"/>
    <cellStyle name="Currency 9" xfId="45"/>
    <cellStyle name="Explanatory Text" xfId="46" builtinId="53" customBuilti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Hyperlink" xfId="1561" builtinId="8" hidden="1"/>
    <cellStyle name="Hyperlink 10" xfId="97"/>
    <cellStyle name="Hyperlink 100" xfId="277"/>
    <cellStyle name="Hyperlink 101" xfId="279"/>
    <cellStyle name="Hyperlink 102" xfId="281"/>
    <cellStyle name="Hyperlink 103" xfId="283"/>
    <cellStyle name="Hyperlink 104" xfId="285"/>
    <cellStyle name="Hyperlink 105" xfId="287"/>
    <cellStyle name="Hyperlink 106" xfId="289"/>
    <cellStyle name="Hyperlink 107" xfId="291"/>
    <cellStyle name="Hyperlink 108" xfId="293"/>
    <cellStyle name="Hyperlink 109" xfId="295"/>
    <cellStyle name="Hyperlink 11" xfId="99"/>
    <cellStyle name="Hyperlink 110" xfId="297"/>
    <cellStyle name="Hyperlink 111" xfId="299"/>
    <cellStyle name="Hyperlink 112" xfId="301"/>
    <cellStyle name="Hyperlink 113" xfId="303"/>
    <cellStyle name="Hyperlink 114" xfId="305"/>
    <cellStyle name="Hyperlink 115" xfId="307"/>
    <cellStyle name="Hyperlink 116" xfId="309"/>
    <cellStyle name="Hyperlink 117" xfId="311"/>
    <cellStyle name="Hyperlink 118" xfId="313"/>
    <cellStyle name="Hyperlink 119" xfId="315"/>
    <cellStyle name="Hyperlink 12" xfId="101"/>
    <cellStyle name="Hyperlink 120" xfId="317"/>
    <cellStyle name="Hyperlink 121" xfId="319"/>
    <cellStyle name="Hyperlink 122" xfId="321"/>
    <cellStyle name="Hyperlink 123" xfId="323"/>
    <cellStyle name="Hyperlink 124" xfId="325"/>
    <cellStyle name="Hyperlink 125" xfId="327"/>
    <cellStyle name="Hyperlink 126" xfId="329"/>
    <cellStyle name="Hyperlink 127" xfId="331"/>
    <cellStyle name="Hyperlink 128" xfId="333"/>
    <cellStyle name="Hyperlink 129" xfId="335"/>
    <cellStyle name="Hyperlink 13" xfId="103"/>
    <cellStyle name="Hyperlink 130" xfId="337"/>
    <cellStyle name="Hyperlink 131" xfId="339"/>
    <cellStyle name="Hyperlink 132" xfId="341"/>
    <cellStyle name="Hyperlink 133" xfId="343"/>
    <cellStyle name="Hyperlink 134" xfId="345"/>
    <cellStyle name="Hyperlink 135" xfId="347"/>
    <cellStyle name="Hyperlink 136" xfId="349"/>
    <cellStyle name="Hyperlink 137" xfId="351"/>
    <cellStyle name="Hyperlink 138" xfId="353"/>
    <cellStyle name="Hyperlink 139" xfId="355"/>
    <cellStyle name="Hyperlink 14" xfId="105"/>
    <cellStyle name="Hyperlink 140" xfId="357"/>
    <cellStyle name="Hyperlink 141" xfId="359"/>
    <cellStyle name="Hyperlink 142" xfId="361"/>
    <cellStyle name="Hyperlink 143" xfId="363"/>
    <cellStyle name="Hyperlink 144" xfId="365"/>
    <cellStyle name="Hyperlink 145" xfId="367"/>
    <cellStyle name="Hyperlink 146" xfId="369"/>
    <cellStyle name="Hyperlink 147" xfId="371"/>
    <cellStyle name="Hyperlink 148" xfId="373"/>
    <cellStyle name="Hyperlink 149" xfId="375"/>
    <cellStyle name="Hyperlink 15" xfId="107"/>
    <cellStyle name="Hyperlink 150" xfId="377"/>
    <cellStyle name="Hyperlink 151" xfId="379"/>
    <cellStyle name="Hyperlink 152" xfId="381"/>
    <cellStyle name="Hyperlink 153" xfId="383"/>
    <cellStyle name="Hyperlink 154" xfId="385"/>
    <cellStyle name="Hyperlink 155" xfId="387"/>
    <cellStyle name="Hyperlink 156" xfId="389"/>
    <cellStyle name="Hyperlink 157" xfId="391"/>
    <cellStyle name="Hyperlink 158" xfId="393"/>
    <cellStyle name="Hyperlink 159" xfId="395"/>
    <cellStyle name="Hyperlink 16" xfId="109"/>
    <cellStyle name="Hyperlink 160" xfId="397"/>
    <cellStyle name="Hyperlink 161" xfId="399"/>
    <cellStyle name="Hyperlink 162" xfId="401"/>
    <cellStyle name="Hyperlink 163" xfId="403"/>
    <cellStyle name="Hyperlink 164" xfId="405"/>
    <cellStyle name="Hyperlink 165" xfId="407"/>
    <cellStyle name="Hyperlink 166" xfId="409"/>
    <cellStyle name="Hyperlink 167" xfId="411"/>
    <cellStyle name="Hyperlink 168" xfId="413"/>
    <cellStyle name="Hyperlink 169" xfId="415"/>
    <cellStyle name="Hyperlink 17" xfId="111"/>
    <cellStyle name="Hyperlink 170" xfId="417"/>
    <cellStyle name="Hyperlink 171" xfId="419"/>
    <cellStyle name="Hyperlink 172" xfId="421"/>
    <cellStyle name="Hyperlink 173" xfId="423"/>
    <cellStyle name="Hyperlink 174" xfId="425"/>
    <cellStyle name="Hyperlink 175" xfId="427"/>
    <cellStyle name="Hyperlink 176" xfId="429"/>
    <cellStyle name="Hyperlink 177" xfId="431"/>
    <cellStyle name="Hyperlink 178" xfId="433"/>
    <cellStyle name="Hyperlink 179" xfId="435"/>
    <cellStyle name="Hyperlink 18" xfId="113"/>
    <cellStyle name="Hyperlink 180" xfId="437"/>
    <cellStyle name="Hyperlink 181" xfId="439"/>
    <cellStyle name="Hyperlink 182" xfId="441"/>
    <cellStyle name="Hyperlink 183" xfId="443"/>
    <cellStyle name="Hyperlink 184" xfId="445"/>
    <cellStyle name="Hyperlink 185" xfId="447"/>
    <cellStyle name="Hyperlink 186" xfId="449"/>
    <cellStyle name="Hyperlink 187" xfId="451"/>
    <cellStyle name="Hyperlink 188" xfId="453"/>
    <cellStyle name="Hyperlink 189" xfId="455"/>
    <cellStyle name="Hyperlink 19" xfId="115"/>
    <cellStyle name="Hyperlink 190" xfId="457"/>
    <cellStyle name="Hyperlink 191" xfId="459"/>
    <cellStyle name="Hyperlink 192" xfId="461"/>
    <cellStyle name="Hyperlink 193" xfId="463"/>
    <cellStyle name="Hyperlink 194" xfId="465"/>
    <cellStyle name="Hyperlink 195" xfId="467"/>
    <cellStyle name="Hyperlink 196" xfId="469"/>
    <cellStyle name="Hyperlink 197" xfId="471"/>
    <cellStyle name="Hyperlink 198" xfId="473"/>
    <cellStyle name="Hyperlink 199" xfId="475"/>
    <cellStyle name="Hyperlink 2" xfId="81"/>
    <cellStyle name="Hyperlink 20" xfId="117"/>
    <cellStyle name="Hyperlink 200" xfId="477"/>
    <cellStyle name="Hyperlink 201" xfId="479"/>
    <cellStyle name="Hyperlink 202" xfId="481"/>
    <cellStyle name="Hyperlink 203" xfId="483"/>
    <cellStyle name="Hyperlink 204" xfId="485"/>
    <cellStyle name="Hyperlink 205" xfId="487"/>
    <cellStyle name="Hyperlink 206" xfId="489"/>
    <cellStyle name="Hyperlink 207" xfId="491"/>
    <cellStyle name="Hyperlink 208" xfId="493"/>
    <cellStyle name="Hyperlink 209" xfId="495"/>
    <cellStyle name="Hyperlink 21" xfId="119"/>
    <cellStyle name="Hyperlink 210" xfId="497"/>
    <cellStyle name="Hyperlink 211" xfId="499"/>
    <cellStyle name="Hyperlink 212" xfId="501"/>
    <cellStyle name="Hyperlink 213" xfId="503"/>
    <cellStyle name="Hyperlink 214" xfId="505"/>
    <cellStyle name="Hyperlink 215" xfId="507"/>
    <cellStyle name="Hyperlink 216" xfId="509"/>
    <cellStyle name="Hyperlink 217" xfId="511"/>
    <cellStyle name="Hyperlink 218" xfId="513"/>
    <cellStyle name="Hyperlink 219" xfId="515"/>
    <cellStyle name="Hyperlink 22" xfId="121"/>
    <cellStyle name="Hyperlink 220" xfId="517"/>
    <cellStyle name="Hyperlink 221" xfId="519"/>
    <cellStyle name="Hyperlink 222" xfId="521"/>
    <cellStyle name="Hyperlink 223" xfId="523"/>
    <cellStyle name="Hyperlink 224" xfId="525"/>
    <cellStyle name="Hyperlink 225" xfId="527"/>
    <cellStyle name="Hyperlink 226" xfId="529"/>
    <cellStyle name="Hyperlink 227" xfId="531"/>
    <cellStyle name="Hyperlink 228" xfId="533"/>
    <cellStyle name="Hyperlink 229" xfId="535"/>
    <cellStyle name="Hyperlink 23" xfId="123"/>
    <cellStyle name="Hyperlink 230" xfId="537"/>
    <cellStyle name="Hyperlink 231" xfId="539"/>
    <cellStyle name="Hyperlink 232" xfId="541"/>
    <cellStyle name="Hyperlink 233" xfId="543"/>
    <cellStyle name="Hyperlink 234" xfId="545"/>
    <cellStyle name="Hyperlink 235" xfId="547"/>
    <cellStyle name="Hyperlink 236" xfId="549"/>
    <cellStyle name="Hyperlink 237" xfId="551"/>
    <cellStyle name="Hyperlink 238" xfId="553"/>
    <cellStyle name="Hyperlink 239" xfId="555"/>
    <cellStyle name="Hyperlink 24" xfId="125"/>
    <cellStyle name="Hyperlink 240" xfId="557"/>
    <cellStyle name="Hyperlink 241" xfId="559"/>
    <cellStyle name="Hyperlink 242" xfId="561"/>
    <cellStyle name="Hyperlink 243" xfId="563"/>
    <cellStyle name="Hyperlink 244" xfId="565"/>
    <cellStyle name="Hyperlink 245" xfId="567"/>
    <cellStyle name="Hyperlink 246" xfId="569"/>
    <cellStyle name="Hyperlink 247" xfId="571"/>
    <cellStyle name="Hyperlink 248" xfId="573"/>
    <cellStyle name="Hyperlink 249" xfId="575"/>
    <cellStyle name="Hyperlink 25" xfId="127"/>
    <cellStyle name="Hyperlink 250" xfId="577"/>
    <cellStyle name="Hyperlink 251" xfId="579"/>
    <cellStyle name="Hyperlink 252" xfId="581"/>
    <cellStyle name="Hyperlink 253" xfId="583"/>
    <cellStyle name="Hyperlink 254" xfId="585"/>
    <cellStyle name="Hyperlink 255" xfId="587"/>
    <cellStyle name="Hyperlink 256" xfId="589"/>
    <cellStyle name="Hyperlink 257" xfId="591"/>
    <cellStyle name="Hyperlink 258" xfId="593"/>
    <cellStyle name="Hyperlink 259" xfId="595"/>
    <cellStyle name="Hyperlink 26" xfId="129"/>
    <cellStyle name="Hyperlink 260" xfId="597"/>
    <cellStyle name="Hyperlink 261" xfId="599"/>
    <cellStyle name="Hyperlink 262" xfId="601"/>
    <cellStyle name="Hyperlink 263" xfId="603"/>
    <cellStyle name="Hyperlink 264" xfId="605"/>
    <cellStyle name="Hyperlink 265" xfId="607"/>
    <cellStyle name="Hyperlink 266" xfId="609"/>
    <cellStyle name="Hyperlink 267" xfId="611"/>
    <cellStyle name="Hyperlink 268" xfId="613"/>
    <cellStyle name="Hyperlink 269" xfId="615"/>
    <cellStyle name="Hyperlink 27" xfId="131"/>
    <cellStyle name="Hyperlink 270" xfId="617"/>
    <cellStyle name="Hyperlink 271" xfId="619"/>
    <cellStyle name="Hyperlink 272" xfId="621"/>
    <cellStyle name="Hyperlink 273" xfId="623"/>
    <cellStyle name="Hyperlink 274" xfId="625"/>
    <cellStyle name="Hyperlink 275" xfId="627"/>
    <cellStyle name="Hyperlink 276" xfId="629"/>
    <cellStyle name="Hyperlink 277" xfId="631"/>
    <cellStyle name="Hyperlink 278" xfId="633"/>
    <cellStyle name="Hyperlink 279" xfId="635"/>
    <cellStyle name="Hyperlink 28" xfId="133"/>
    <cellStyle name="Hyperlink 280" xfId="637"/>
    <cellStyle name="Hyperlink 281" xfId="639"/>
    <cellStyle name="Hyperlink 282" xfId="641"/>
    <cellStyle name="Hyperlink 283" xfId="643"/>
    <cellStyle name="Hyperlink 284" xfId="645"/>
    <cellStyle name="Hyperlink 285" xfId="647"/>
    <cellStyle name="Hyperlink 286" xfId="649"/>
    <cellStyle name="Hyperlink 287" xfId="651"/>
    <cellStyle name="Hyperlink 288" xfId="653"/>
    <cellStyle name="Hyperlink 289" xfId="655"/>
    <cellStyle name="Hyperlink 29" xfId="135"/>
    <cellStyle name="Hyperlink 290" xfId="657"/>
    <cellStyle name="Hyperlink 291" xfId="659"/>
    <cellStyle name="Hyperlink 292" xfId="661"/>
    <cellStyle name="Hyperlink 293" xfId="663"/>
    <cellStyle name="Hyperlink 294" xfId="665"/>
    <cellStyle name="Hyperlink 295" xfId="667"/>
    <cellStyle name="Hyperlink 296" xfId="669"/>
    <cellStyle name="Hyperlink 297" xfId="671"/>
    <cellStyle name="Hyperlink 298" xfId="673"/>
    <cellStyle name="Hyperlink 299" xfId="675"/>
    <cellStyle name="Hyperlink 3" xfId="83"/>
    <cellStyle name="Hyperlink 30" xfId="137"/>
    <cellStyle name="Hyperlink 300" xfId="677"/>
    <cellStyle name="Hyperlink 301" xfId="679"/>
    <cellStyle name="Hyperlink 302" xfId="681"/>
    <cellStyle name="Hyperlink 303" xfId="683"/>
    <cellStyle name="Hyperlink 304" xfId="685"/>
    <cellStyle name="Hyperlink 305" xfId="687"/>
    <cellStyle name="Hyperlink 306" xfId="689"/>
    <cellStyle name="Hyperlink 307" xfId="691"/>
    <cellStyle name="Hyperlink 308" xfId="693"/>
    <cellStyle name="Hyperlink 309" xfId="695"/>
    <cellStyle name="Hyperlink 31" xfId="139"/>
    <cellStyle name="Hyperlink 310" xfId="697"/>
    <cellStyle name="Hyperlink 311" xfId="699"/>
    <cellStyle name="Hyperlink 312" xfId="701"/>
    <cellStyle name="Hyperlink 313" xfId="703"/>
    <cellStyle name="Hyperlink 314" xfId="705"/>
    <cellStyle name="Hyperlink 315" xfId="707"/>
    <cellStyle name="Hyperlink 316" xfId="709"/>
    <cellStyle name="Hyperlink 317" xfId="711"/>
    <cellStyle name="Hyperlink 318" xfId="713"/>
    <cellStyle name="Hyperlink 319" xfId="715"/>
    <cellStyle name="Hyperlink 32" xfId="141"/>
    <cellStyle name="Hyperlink 320" xfId="717"/>
    <cellStyle name="Hyperlink 321" xfId="719"/>
    <cellStyle name="Hyperlink 322" xfId="721"/>
    <cellStyle name="Hyperlink 323" xfId="723"/>
    <cellStyle name="Hyperlink 324" xfId="725"/>
    <cellStyle name="Hyperlink 325" xfId="727"/>
    <cellStyle name="Hyperlink 326" xfId="729"/>
    <cellStyle name="Hyperlink 327" xfId="731"/>
    <cellStyle name="Hyperlink 328" xfId="733"/>
    <cellStyle name="Hyperlink 329" xfId="735"/>
    <cellStyle name="Hyperlink 33" xfId="143"/>
    <cellStyle name="Hyperlink 330" xfId="737"/>
    <cellStyle name="Hyperlink 331" xfId="739"/>
    <cellStyle name="Hyperlink 332" xfId="741"/>
    <cellStyle name="Hyperlink 333" xfId="743"/>
    <cellStyle name="Hyperlink 334" xfId="745"/>
    <cellStyle name="Hyperlink 335" xfId="747"/>
    <cellStyle name="Hyperlink 336" xfId="749"/>
    <cellStyle name="Hyperlink 337" xfId="751"/>
    <cellStyle name="Hyperlink 338" xfId="753"/>
    <cellStyle name="Hyperlink 339" xfId="755"/>
    <cellStyle name="Hyperlink 34" xfId="145"/>
    <cellStyle name="Hyperlink 340" xfId="757"/>
    <cellStyle name="Hyperlink 341" xfId="759"/>
    <cellStyle name="Hyperlink 342" xfId="761"/>
    <cellStyle name="Hyperlink 343" xfId="763"/>
    <cellStyle name="Hyperlink 344" xfId="765"/>
    <cellStyle name="Hyperlink 345" xfId="767"/>
    <cellStyle name="Hyperlink 346" xfId="769"/>
    <cellStyle name="Hyperlink 347" xfId="771"/>
    <cellStyle name="Hyperlink 348" xfId="773"/>
    <cellStyle name="Hyperlink 349" xfId="775"/>
    <cellStyle name="Hyperlink 35" xfId="147"/>
    <cellStyle name="Hyperlink 350" xfId="777"/>
    <cellStyle name="Hyperlink 351" xfId="779"/>
    <cellStyle name="Hyperlink 352" xfId="781"/>
    <cellStyle name="Hyperlink 353" xfId="783"/>
    <cellStyle name="Hyperlink 354" xfId="785"/>
    <cellStyle name="Hyperlink 355" xfId="787"/>
    <cellStyle name="Hyperlink 356" xfId="789"/>
    <cellStyle name="Hyperlink 357" xfId="791"/>
    <cellStyle name="Hyperlink 358" xfId="793"/>
    <cellStyle name="Hyperlink 359" xfId="795"/>
    <cellStyle name="Hyperlink 36" xfId="149"/>
    <cellStyle name="Hyperlink 360" xfId="797"/>
    <cellStyle name="Hyperlink 361" xfId="799"/>
    <cellStyle name="Hyperlink 362" xfId="801"/>
    <cellStyle name="Hyperlink 363" xfId="803"/>
    <cellStyle name="Hyperlink 364" xfId="805"/>
    <cellStyle name="Hyperlink 365" xfId="807"/>
    <cellStyle name="Hyperlink 366" xfId="809"/>
    <cellStyle name="Hyperlink 367" xfId="811"/>
    <cellStyle name="Hyperlink 368" xfId="813"/>
    <cellStyle name="Hyperlink 369" xfId="815"/>
    <cellStyle name="Hyperlink 37" xfId="151"/>
    <cellStyle name="Hyperlink 370" xfId="817"/>
    <cellStyle name="Hyperlink 371" xfId="819"/>
    <cellStyle name="Hyperlink 372" xfId="821"/>
    <cellStyle name="Hyperlink 373" xfId="823"/>
    <cellStyle name="Hyperlink 374" xfId="825"/>
    <cellStyle name="Hyperlink 375" xfId="827"/>
    <cellStyle name="Hyperlink 376" xfId="829"/>
    <cellStyle name="Hyperlink 377" xfId="831"/>
    <cellStyle name="Hyperlink 378" xfId="833"/>
    <cellStyle name="Hyperlink 379" xfId="835"/>
    <cellStyle name="Hyperlink 38" xfId="153"/>
    <cellStyle name="Hyperlink 380" xfId="837"/>
    <cellStyle name="Hyperlink 381" xfId="839"/>
    <cellStyle name="Hyperlink 382" xfId="841"/>
    <cellStyle name="Hyperlink 383" xfId="843"/>
    <cellStyle name="Hyperlink 384" xfId="845"/>
    <cellStyle name="Hyperlink 385" xfId="847"/>
    <cellStyle name="Hyperlink 386" xfId="849"/>
    <cellStyle name="Hyperlink 387" xfId="851"/>
    <cellStyle name="Hyperlink 388" xfId="853"/>
    <cellStyle name="Hyperlink 389" xfId="855"/>
    <cellStyle name="Hyperlink 39" xfId="155"/>
    <cellStyle name="Hyperlink 390" xfId="857"/>
    <cellStyle name="Hyperlink 391" xfId="859"/>
    <cellStyle name="Hyperlink 392" xfId="861"/>
    <cellStyle name="Hyperlink 393" xfId="863"/>
    <cellStyle name="Hyperlink 394" xfId="865"/>
    <cellStyle name="Hyperlink 395" xfId="867"/>
    <cellStyle name="Hyperlink 396" xfId="869"/>
    <cellStyle name="Hyperlink 397" xfId="871"/>
    <cellStyle name="Hyperlink 398" xfId="873"/>
    <cellStyle name="Hyperlink 399" xfId="875"/>
    <cellStyle name="Hyperlink 4" xfId="85"/>
    <cellStyle name="Hyperlink 40" xfId="157"/>
    <cellStyle name="Hyperlink 400" xfId="877"/>
    <cellStyle name="Hyperlink 401" xfId="879"/>
    <cellStyle name="Hyperlink 402" xfId="881"/>
    <cellStyle name="Hyperlink 403" xfId="883"/>
    <cellStyle name="Hyperlink 404" xfId="885"/>
    <cellStyle name="Hyperlink 405" xfId="887"/>
    <cellStyle name="Hyperlink 406" xfId="889"/>
    <cellStyle name="Hyperlink 407" xfId="891"/>
    <cellStyle name="Hyperlink 408" xfId="893"/>
    <cellStyle name="Hyperlink 409" xfId="895"/>
    <cellStyle name="Hyperlink 41" xfId="159"/>
    <cellStyle name="Hyperlink 410" xfId="897"/>
    <cellStyle name="Hyperlink 411" xfId="899"/>
    <cellStyle name="Hyperlink 412" xfId="901"/>
    <cellStyle name="Hyperlink 413" xfId="903"/>
    <cellStyle name="Hyperlink 414" xfId="905"/>
    <cellStyle name="Hyperlink 415" xfId="907"/>
    <cellStyle name="Hyperlink 416" xfId="909"/>
    <cellStyle name="Hyperlink 417" xfId="911"/>
    <cellStyle name="Hyperlink 418" xfId="913"/>
    <cellStyle name="Hyperlink 419" xfId="915"/>
    <cellStyle name="Hyperlink 42" xfId="161"/>
    <cellStyle name="Hyperlink 420" xfId="917"/>
    <cellStyle name="Hyperlink 421" xfId="919"/>
    <cellStyle name="Hyperlink 422" xfId="921"/>
    <cellStyle name="Hyperlink 423" xfId="923"/>
    <cellStyle name="Hyperlink 424" xfId="925"/>
    <cellStyle name="Hyperlink 425" xfId="927"/>
    <cellStyle name="Hyperlink 426" xfId="929"/>
    <cellStyle name="Hyperlink 427" xfId="931"/>
    <cellStyle name="Hyperlink 428" xfId="933"/>
    <cellStyle name="Hyperlink 429" xfId="935"/>
    <cellStyle name="Hyperlink 43" xfId="163"/>
    <cellStyle name="Hyperlink 430" xfId="937"/>
    <cellStyle name="Hyperlink 431" xfId="939"/>
    <cellStyle name="Hyperlink 432" xfId="941"/>
    <cellStyle name="Hyperlink 433" xfId="943"/>
    <cellStyle name="Hyperlink 434" xfId="945"/>
    <cellStyle name="Hyperlink 435" xfId="947"/>
    <cellStyle name="Hyperlink 436" xfId="949"/>
    <cellStyle name="Hyperlink 437" xfId="951"/>
    <cellStyle name="Hyperlink 438" xfId="953"/>
    <cellStyle name="Hyperlink 439" xfId="955"/>
    <cellStyle name="Hyperlink 44" xfId="165"/>
    <cellStyle name="Hyperlink 440" xfId="957"/>
    <cellStyle name="Hyperlink 441" xfId="959"/>
    <cellStyle name="Hyperlink 442" xfId="961"/>
    <cellStyle name="Hyperlink 443" xfId="963"/>
    <cellStyle name="Hyperlink 444" xfId="965"/>
    <cellStyle name="Hyperlink 445" xfId="967"/>
    <cellStyle name="Hyperlink 446" xfId="969"/>
    <cellStyle name="Hyperlink 447" xfId="971"/>
    <cellStyle name="Hyperlink 448" xfId="973"/>
    <cellStyle name="Hyperlink 449" xfId="975"/>
    <cellStyle name="Hyperlink 45" xfId="167"/>
    <cellStyle name="Hyperlink 450" xfId="977"/>
    <cellStyle name="Hyperlink 451" xfId="979"/>
    <cellStyle name="Hyperlink 452" xfId="981"/>
    <cellStyle name="Hyperlink 453" xfId="983"/>
    <cellStyle name="Hyperlink 454" xfId="985"/>
    <cellStyle name="Hyperlink 455" xfId="987"/>
    <cellStyle name="Hyperlink 456" xfId="989"/>
    <cellStyle name="Hyperlink 457" xfId="991"/>
    <cellStyle name="Hyperlink 458" xfId="993"/>
    <cellStyle name="Hyperlink 459" xfId="995"/>
    <cellStyle name="Hyperlink 46" xfId="169"/>
    <cellStyle name="Hyperlink 460" xfId="997"/>
    <cellStyle name="Hyperlink 461" xfId="999"/>
    <cellStyle name="Hyperlink 462" xfId="1001"/>
    <cellStyle name="Hyperlink 463" xfId="1003"/>
    <cellStyle name="Hyperlink 464" xfId="1005"/>
    <cellStyle name="Hyperlink 465" xfId="1007"/>
    <cellStyle name="Hyperlink 466" xfId="1009"/>
    <cellStyle name="Hyperlink 467" xfId="1011"/>
    <cellStyle name="Hyperlink 468" xfId="1013"/>
    <cellStyle name="Hyperlink 469" xfId="1015"/>
    <cellStyle name="Hyperlink 47" xfId="171"/>
    <cellStyle name="Hyperlink 470" xfId="1017"/>
    <cellStyle name="Hyperlink 471" xfId="1019"/>
    <cellStyle name="Hyperlink 472" xfId="1021"/>
    <cellStyle name="Hyperlink 473" xfId="1023"/>
    <cellStyle name="Hyperlink 474" xfId="1025"/>
    <cellStyle name="Hyperlink 475" xfId="1027"/>
    <cellStyle name="Hyperlink 476" xfId="1029"/>
    <cellStyle name="Hyperlink 477" xfId="1031"/>
    <cellStyle name="Hyperlink 478" xfId="1033"/>
    <cellStyle name="Hyperlink 479" xfId="1035"/>
    <cellStyle name="Hyperlink 48" xfId="173"/>
    <cellStyle name="Hyperlink 480" xfId="1037"/>
    <cellStyle name="Hyperlink 481" xfId="1039"/>
    <cellStyle name="Hyperlink 482" xfId="1041"/>
    <cellStyle name="Hyperlink 483" xfId="1043"/>
    <cellStyle name="Hyperlink 484" xfId="1045"/>
    <cellStyle name="Hyperlink 485" xfId="1047"/>
    <cellStyle name="Hyperlink 486" xfId="1049"/>
    <cellStyle name="Hyperlink 487" xfId="1051"/>
    <cellStyle name="Hyperlink 488" xfId="1053"/>
    <cellStyle name="Hyperlink 489" xfId="1055"/>
    <cellStyle name="Hyperlink 49" xfId="175"/>
    <cellStyle name="Hyperlink 490" xfId="1057"/>
    <cellStyle name="Hyperlink 491" xfId="1059"/>
    <cellStyle name="Hyperlink 492" xfId="1061"/>
    <cellStyle name="Hyperlink 493" xfId="1063"/>
    <cellStyle name="Hyperlink 494" xfId="1065"/>
    <cellStyle name="Hyperlink 495" xfId="1067"/>
    <cellStyle name="Hyperlink 496" xfId="1069"/>
    <cellStyle name="Hyperlink 497" xfId="1071"/>
    <cellStyle name="Hyperlink 498" xfId="1073"/>
    <cellStyle name="Hyperlink 499" xfId="1075"/>
    <cellStyle name="Hyperlink 5" xfId="87"/>
    <cellStyle name="Hyperlink 50" xfId="177"/>
    <cellStyle name="Hyperlink 500" xfId="1077"/>
    <cellStyle name="Hyperlink 501" xfId="1079"/>
    <cellStyle name="Hyperlink 502" xfId="1081"/>
    <cellStyle name="Hyperlink 503" xfId="1083"/>
    <cellStyle name="Hyperlink 504" xfId="1085"/>
    <cellStyle name="Hyperlink 505" xfId="1087"/>
    <cellStyle name="Hyperlink 506" xfId="1089"/>
    <cellStyle name="Hyperlink 507" xfId="1091"/>
    <cellStyle name="Hyperlink 508" xfId="1093"/>
    <cellStyle name="Hyperlink 509" xfId="1095"/>
    <cellStyle name="Hyperlink 51" xfId="179"/>
    <cellStyle name="Hyperlink 510" xfId="1097"/>
    <cellStyle name="Hyperlink 511" xfId="1099"/>
    <cellStyle name="Hyperlink 512" xfId="1101"/>
    <cellStyle name="Hyperlink 513" xfId="1103"/>
    <cellStyle name="Hyperlink 514" xfId="1105"/>
    <cellStyle name="Hyperlink 515" xfId="1107"/>
    <cellStyle name="Hyperlink 516" xfId="1109"/>
    <cellStyle name="Hyperlink 517" xfId="1111"/>
    <cellStyle name="Hyperlink 518" xfId="1113"/>
    <cellStyle name="Hyperlink 519" xfId="1115"/>
    <cellStyle name="Hyperlink 52" xfId="181"/>
    <cellStyle name="Hyperlink 520" xfId="1117"/>
    <cellStyle name="Hyperlink 521" xfId="1119"/>
    <cellStyle name="Hyperlink 522" xfId="1121"/>
    <cellStyle name="Hyperlink 523" xfId="1123"/>
    <cellStyle name="Hyperlink 524" xfId="1125"/>
    <cellStyle name="Hyperlink 525" xfId="1127"/>
    <cellStyle name="Hyperlink 526" xfId="1129"/>
    <cellStyle name="Hyperlink 527" xfId="1131"/>
    <cellStyle name="Hyperlink 528" xfId="1133"/>
    <cellStyle name="Hyperlink 529" xfId="1135"/>
    <cellStyle name="Hyperlink 53" xfId="183"/>
    <cellStyle name="Hyperlink 530" xfId="1137"/>
    <cellStyle name="Hyperlink 531" xfId="1139"/>
    <cellStyle name="Hyperlink 532" xfId="1141"/>
    <cellStyle name="Hyperlink 533" xfId="1143"/>
    <cellStyle name="Hyperlink 534" xfId="1145"/>
    <cellStyle name="Hyperlink 535" xfId="1147"/>
    <cellStyle name="Hyperlink 536" xfId="1149"/>
    <cellStyle name="Hyperlink 537" xfId="1151"/>
    <cellStyle name="Hyperlink 538" xfId="1153"/>
    <cellStyle name="Hyperlink 539" xfId="1155"/>
    <cellStyle name="Hyperlink 54" xfId="185"/>
    <cellStyle name="Hyperlink 540" xfId="1157"/>
    <cellStyle name="Hyperlink 541" xfId="1159"/>
    <cellStyle name="Hyperlink 542" xfId="1161"/>
    <cellStyle name="Hyperlink 543" xfId="1163"/>
    <cellStyle name="Hyperlink 544" xfId="1165"/>
    <cellStyle name="Hyperlink 545" xfId="1167"/>
    <cellStyle name="Hyperlink 546" xfId="1169"/>
    <cellStyle name="Hyperlink 547" xfId="1171"/>
    <cellStyle name="Hyperlink 548" xfId="1173"/>
    <cellStyle name="Hyperlink 549" xfId="1175"/>
    <cellStyle name="Hyperlink 55" xfId="187"/>
    <cellStyle name="Hyperlink 550" xfId="1177"/>
    <cellStyle name="Hyperlink 551" xfId="1179"/>
    <cellStyle name="Hyperlink 552" xfId="1181"/>
    <cellStyle name="Hyperlink 553" xfId="1183"/>
    <cellStyle name="Hyperlink 554" xfId="1185"/>
    <cellStyle name="Hyperlink 555" xfId="1187"/>
    <cellStyle name="Hyperlink 556" xfId="1189"/>
    <cellStyle name="Hyperlink 557" xfId="1191"/>
    <cellStyle name="Hyperlink 558" xfId="1193"/>
    <cellStyle name="Hyperlink 559" xfId="1195"/>
    <cellStyle name="Hyperlink 56" xfId="189"/>
    <cellStyle name="Hyperlink 560" xfId="1197"/>
    <cellStyle name="Hyperlink 561" xfId="1199"/>
    <cellStyle name="Hyperlink 562" xfId="1201"/>
    <cellStyle name="Hyperlink 563" xfId="1203"/>
    <cellStyle name="Hyperlink 564" xfId="1205"/>
    <cellStyle name="Hyperlink 565" xfId="1207"/>
    <cellStyle name="Hyperlink 566" xfId="1209"/>
    <cellStyle name="Hyperlink 567" xfId="1211"/>
    <cellStyle name="Hyperlink 568" xfId="1213"/>
    <cellStyle name="Hyperlink 569" xfId="1215"/>
    <cellStyle name="Hyperlink 57" xfId="191"/>
    <cellStyle name="Hyperlink 570" xfId="1217"/>
    <cellStyle name="Hyperlink 571" xfId="1219"/>
    <cellStyle name="Hyperlink 572" xfId="1221"/>
    <cellStyle name="Hyperlink 573" xfId="1223"/>
    <cellStyle name="Hyperlink 574" xfId="1225"/>
    <cellStyle name="Hyperlink 575" xfId="1227"/>
    <cellStyle name="Hyperlink 576" xfId="1229"/>
    <cellStyle name="Hyperlink 577" xfId="1231"/>
    <cellStyle name="Hyperlink 578" xfId="1233"/>
    <cellStyle name="Hyperlink 579" xfId="1235"/>
    <cellStyle name="Hyperlink 58" xfId="193"/>
    <cellStyle name="Hyperlink 580" xfId="1237"/>
    <cellStyle name="Hyperlink 581" xfId="1239"/>
    <cellStyle name="Hyperlink 582" xfId="1241"/>
    <cellStyle name="Hyperlink 583" xfId="1243"/>
    <cellStyle name="Hyperlink 584" xfId="1245"/>
    <cellStyle name="Hyperlink 585" xfId="1247"/>
    <cellStyle name="Hyperlink 586" xfId="1249"/>
    <cellStyle name="Hyperlink 587" xfId="1251"/>
    <cellStyle name="Hyperlink 588" xfId="1253"/>
    <cellStyle name="Hyperlink 589" xfId="1255"/>
    <cellStyle name="Hyperlink 59" xfId="195"/>
    <cellStyle name="Hyperlink 590" xfId="1257"/>
    <cellStyle name="Hyperlink 591" xfId="1259"/>
    <cellStyle name="Hyperlink 592" xfId="1261"/>
    <cellStyle name="Hyperlink 593" xfId="1263"/>
    <cellStyle name="Hyperlink 594" xfId="1265"/>
    <cellStyle name="Hyperlink 595" xfId="1267"/>
    <cellStyle name="Hyperlink 596" xfId="1269"/>
    <cellStyle name="Hyperlink 597" xfId="1271"/>
    <cellStyle name="Hyperlink 598" xfId="1273"/>
    <cellStyle name="Hyperlink 599" xfId="1275"/>
    <cellStyle name="Hyperlink 6" xfId="89"/>
    <cellStyle name="Hyperlink 60" xfId="197"/>
    <cellStyle name="Hyperlink 600" xfId="1277"/>
    <cellStyle name="Hyperlink 601" xfId="1279"/>
    <cellStyle name="Hyperlink 602" xfId="1281"/>
    <cellStyle name="Hyperlink 603" xfId="1283"/>
    <cellStyle name="Hyperlink 604" xfId="1285"/>
    <cellStyle name="Hyperlink 605" xfId="1287"/>
    <cellStyle name="Hyperlink 606" xfId="1289"/>
    <cellStyle name="Hyperlink 607" xfId="1291"/>
    <cellStyle name="Hyperlink 608" xfId="1293"/>
    <cellStyle name="Hyperlink 609" xfId="1295"/>
    <cellStyle name="Hyperlink 61" xfId="199"/>
    <cellStyle name="Hyperlink 610" xfId="1297"/>
    <cellStyle name="Hyperlink 611" xfId="1299"/>
    <cellStyle name="Hyperlink 612" xfId="1301"/>
    <cellStyle name="Hyperlink 613" xfId="1303"/>
    <cellStyle name="Hyperlink 614" xfId="1305"/>
    <cellStyle name="Hyperlink 615" xfId="1307"/>
    <cellStyle name="Hyperlink 616" xfId="1309"/>
    <cellStyle name="Hyperlink 617" xfId="1311"/>
    <cellStyle name="Hyperlink 618" xfId="1313"/>
    <cellStyle name="Hyperlink 619" xfId="1315"/>
    <cellStyle name="Hyperlink 62" xfId="201"/>
    <cellStyle name="Hyperlink 620" xfId="1317"/>
    <cellStyle name="Hyperlink 621" xfId="1319"/>
    <cellStyle name="Hyperlink 622" xfId="1321"/>
    <cellStyle name="Hyperlink 623" xfId="1323"/>
    <cellStyle name="Hyperlink 624" xfId="1325"/>
    <cellStyle name="Hyperlink 625" xfId="1327"/>
    <cellStyle name="Hyperlink 626" xfId="1329"/>
    <cellStyle name="Hyperlink 627" xfId="1331"/>
    <cellStyle name="Hyperlink 628" xfId="1333"/>
    <cellStyle name="Hyperlink 629" xfId="1335"/>
    <cellStyle name="Hyperlink 63" xfId="203"/>
    <cellStyle name="Hyperlink 630" xfId="1337"/>
    <cellStyle name="Hyperlink 631" xfId="1339"/>
    <cellStyle name="Hyperlink 632" xfId="1341"/>
    <cellStyle name="Hyperlink 633" xfId="1343"/>
    <cellStyle name="Hyperlink 634" xfId="1345"/>
    <cellStyle name="Hyperlink 635" xfId="1347"/>
    <cellStyle name="Hyperlink 636" xfId="1349"/>
    <cellStyle name="Hyperlink 637" xfId="1351"/>
    <cellStyle name="Hyperlink 638" xfId="1353"/>
    <cellStyle name="Hyperlink 639" xfId="1355"/>
    <cellStyle name="Hyperlink 64" xfId="205"/>
    <cellStyle name="Hyperlink 640" xfId="1357"/>
    <cellStyle name="Hyperlink 641" xfId="1359"/>
    <cellStyle name="Hyperlink 642" xfId="1361"/>
    <cellStyle name="Hyperlink 643" xfId="1363"/>
    <cellStyle name="Hyperlink 644" xfId="1365"/>
    <cellStyle name="Hyperlink 645" xfId="1367"/>
    <cellStyle name="Hyperlink 646" xfId="1369"/>
    <cellStyle name="Hyperlink 647" xfId="1371"/>
    <cellStyle name="Hyperlink 648" xfId="1373"/>
    <cellStyle name="Hyperlink 649" xfId="1375"/>
    <cellStyle name="Hyperlink 65" xfId="207"/>
    <cellStyle name="Hyperlink 650" xfId="1377"/>
    <cellStyle name="Hyperlink 651" xfId="1379"/>
    <cellStyle name="Hyperlink 652" xfId="1381"/>
    <cellStyle name="Hyperlink 653" xfId="1383"/>
    <cellStyle name="Hyperlink 654" xfId="1385"/>
    <cellStyle name="Hyperlink 655" xfId="1387"/>
    <cellStyle name="Hyperlink 656" xfId="1389"/>
    <cellStyle name="Hyperlink 657" xfId="1391"/>
    <cellStyle name="Hyperlink 658" xfId="1393"/>
    <cellStyle name="Hyperlink 659" xfId="1395"/>
    <cellStyle name="Hyperlink 66" xfId="209"/>
    <cellStyle name="Hyperlink 660" xfId="1397"/>
    <cellStyle name="Hyperlink 661" xfId="1399"/>
    <cellStyle name="Hyperlink 662" xfId="1401"/>
    <cellStyle name="Hyperlink 663" xfId="1403"/>
    <cellStyle name="Hyperlink 664" xfId="1405"/>
    <cellStyle name="Hyperlink 665" xfId="1407"/>
    <cellStyle name="Hyperlink 666" xfId="1409"/>
    <cellStyle name="Hyperlink 667" xfId="1411"/>
    <cellStyle name="Hyperlink 668" xfId="1413"/>
    <cellStyle name="Hyperlink 669" xfId="1415"/>
    <cellStyle name="Hyperlink 67" xfId="211"/>
    <cellStyle name="Hyperlink 670" xfId="1417"/>
    <cellStyle name="Hyperlink 671" xfId="1419"/>
    <cellStyle name="Hyperlink 672" xfId="1421"/>
    <cellStyle name="Hyperlink 673" xfId="1423"/>
    <cellStyle name="Hyperlink 674" xfId="1425"/>
    <cellStyle name="Hyperlink 675" xfId="1427"/>
    <cellStyle name="Hyperlink 676" xfId="1429"/>
    <cellStyle name="Hyperlink 677" xfId="1431"/>
    <cellStyle name="Hyperlink 678" xfId="1433"/>
    <cellStyle name="Hyperlink 679" xfId="1435"/>
    <cellStyle name="Hyperlink 68" xfId="213"/>
    <cellStyle name="Hyperlink 680" xfId="1437"/>
    <cellStyle name="Hyperlink 681" xfId="1439"/>
    <cellStyle name="Hyperlink 682" xfId="1441"/>
    <cellStyle name="Hyperlink 683" xfId="1443"/>
    <cellStyle name="Hyperlink 684" xfId="1445"/>
    <cellStyle name="Hyperlink 685" xfId="1447"/>
    <cellStyle name="Hyperlink 686" xfId="1449"/>
    <cellStyle name="Hyperlink 687" xfId="1451"/>
    <cellStyle name="Hyperlink 688" xfId="1453"/>
    <cellStyle name="Hyperlink 689" xfId="1455"/>
    <cellStyle name="Hyperlink 69" xfId="215"/>
    <cellStyle name="Hyperlink 690" xfId="1457"/>
    <cellStyle name="Hyperlink 691" xfId="1459"/>
    <cellStyle name="Hyperlink 692" xfId="1461"/>
    <cellStyle name="Hyperlink 693" xfId="1463"/>
    <cellStyle name="Hyperlink 694" xfId="1465"/>
    <cellStyle name="Hyperlink 695" xfId="1467"/>
    <cellStyle name="Hyperlink 696" xfId="1469"/>
    <cellStyle name="Hyperlink 697" xfId="1471"/>
    <cellStyle name="Hyperlink 698" xfId="1473"/>
    <cellStyle name="Hyperlink 699" xfId="1475"/>
    <cellStyle name="Hyperlink 7" xfId="91"/>
    <cellStyle name="Hyperlink 70" xfId="217"/>
    <cellStyle name="Hyperlink 700" xfId="1477"/>
    <cellStyle name="Hyperlink 701" xfId="1479"/>
    <cellStyle name="Hyperlink 702" xfId="1481"/>
    <cellStyle name="Hyperlink 703" xfId="1483"/>
    <cellStyle name="Hyperlink 704" xfId="1485"/>
    <cellStyle name="Hyperlink 705" xfId="1487"/>
    <cellStyle name="Hyperlink 706" xfId="1489"/>
    <cellStyle name="Hyperlink 707" xfId="1491"/>
    <cellStyle name="Hyperlink 708" xfId="1493"/>
    <cellStyle name="Hyperlink 709" xfId="1495"/>
    <cellStyle name="Hyperlink 71" xfId="219"/>
    <cellStyle name="Hyperlink 710" xfId="1497"/>
    <cellStyle name="Hyperlink 711" xfId="1499"/>
    <cellStyle name="Hyperlink 712" xfId="1501"/>
    <cellStyle name="Hyperlink 713" xfId="1503"/>
    <cellStyle name="Hyperlink 714" xfId="1505"/>
    <cellStyle name="Hyperlink 715" xfId="1507"/>
    <cellStyle name="Hyperlink 716" xfId="1509"/>
    <cellStyle name="Hyperlink 717" xfId="1511"/>
    <cellStyle name="Hyperlink 718" xfId="1513"/>
    <cellStyle name="Hyperlink 719" xfId="1515"/>
    <cellStyle name="Hyperlink 72" xfId="221"/>
    <cellStyle name="Hyperlink 720" xfId="1517"/>
    <cellStyle name="Hyperlink 721" xfId="1519"/>
    <cellStyle name="Hyperlink 722" xfId="1521"/>
    <cellStyle name="Hyperlink 723" xfId="1523"/>
    <cellStyle name="Hyperlink 724" xfId="1525"/>
    <cellStyle name="Hyperlink 725" xfId="1527"/>
    <cellStyle name="Hyperlink 726" xfId="1529"/>
    <cellStyle name="Hyperlink 727" xfId="1531"/>
    <cellStyle name="Hyperlink 728" xfId="1533"/>
    <cellStyle name="Hyperlink 729" xfId="1535"/>
    <cellStyle name="Hyperlink 73" xfId="223"/>
    <cellStyle name="Hyperlink 730" xfId="1537"/>
    <cellStyle name="Hyperlink 731" xfId="1539"/>
    <cellStyle name="Hyperlink 732" xfId="1541"/>
    <cellStyle name="Hyperlink 733" xfId="1543"/>
    <cellStyle name="Hyperlink 734" xfId="1545"/>
    <cellStyle name="Hyperlink 735" xfId="1547"/>
    <cellStyle name="Hyperlink 736" xfId="1549"/>
    <cellStyle name="Hyperlink 737" xfId="1551"/>
    <cellStyle name="Hyperlink 738" xfId="1553"/>
    <cellStyle name="Hyperlink 739" xfId="1555"/>
    <cellStyle name="Hyperlink 74" xfId="225"/>
    <cellStyle name="Hyperlink 740" xfId="1557"/>
    <cellStyle name="Hyperlink 741" xfId="1559"/>
    <cellStyle name="Hyperlink 75" xfId="227"/>
    <cellStyle name="Hyperlink 76" xfId="229"/>
    <cellStyle name="Hyperlink 77" xfId="231"/>
    <cellStyle name="Hyperlink 78" xfId="233"/>
    <cellStyle name="Hyperlink 79" xfId="235"/>
    <cellStyle name="Hyperlink 8" xfId="93"/>
    <cellStyle name="Hyperlink 80" xfId="237"/>
    <cellStyle name="Hyperlink 81" xfId="239"/>
    <cellStyle name="Hyperlink 82" xfId="241"/>
    <cellStyle name="Hyperlink 83" xfId="243"/>
    <cellStyle name="Hyperlink 84" xfId="245"/>
    <cellStyle name="Hyperlink 85" xfId="247"/>
    <cellStyle name="Hyperlink 86" xfId="249"/>
    <cellStyle name="Hyperlink 87" xfId="251"/>
    <cellStyle name="Hyperlink 88" xfId="253"/>
    <cellStyle name="Hyperlink 89" xfId="255"/>
    <cellStyle name="Hyperlink 9" xfId="95"/>
    <cellStyle name="Hyperlink 90" xfId="257"/>
    <cellStyle name="Hyperlink 91" xfId="259"/>
    <cellStyle name="Hyperlink 92" xfId="261"/>
    <cellStyle name="Hyperlink 93" xfId="263"/>
    <cellStyle name="Hyperlink 94" xfId="265"/>
    <cellStyle name="Hyperlink 95" xfId="267"/>
    <cellStyle name="Hyperlink 96" xfId="269"/>
    <cellStyle name="Hyperlink 97" xfId="271"/>
    <cellStyle name="Hyperlink 98" xfId="273"/>
    <cellStyle name="Hyperlink 99" xfId="275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rmal 2" xfId="55"/>
    <cellStyle name="Normal 2 2" xfId="56"/>
    <cellStyle name="Normal 2 3" xfId="57"/>
    <cellStyle name="Normal 2 4" xfId="58"/>
    <cellStyle name="Normal 3" xfId="59"/>
    <cellStyle name="Normal 38" xfId="60"/>
    <cellStyle name="Normal 38 2" xfId="61"/>
    <cellStyle name="Normal 4" xfId="62"/>
    <cellStyle name="Normal 5" xfId="79"/>
    <cellStyle name="Normal 5 2" xfId="63"/>
    <cellStyle name="Note 2" xfId="64"/>
    <cellStyle name="Note 2 2" xfId="65"/>
    <cellStyle name="Note 3" xfId="66"/>
    <cellStyle name="Output" xfId="67" builtinId="21" customBuiltin="1"/>
    <cellStyle name="Percent" xfId="68" builtinId="5"/>
    <cellStyle name="Percent 2" xfId="69"/>
    <cellStyle name="Percent 2 2" xfId="70"/>
    <cellStyle name="Percent 3" xfId="71"/>
    <cellStyle name="Percent 4" xfId="72"/>
    <cellStyle name="Percent 4 2" xfId="73"/>
    <cellStyle name="Percent 5" xfId="74"/>
    <cellStyle name="Percent 6" xfId="75"/>
    <cellStyle name="Title" xfId="76" builtinId="15" customBuiltin="1"/>
    <cellStyle name="Total" xfId="77" builtinId="25" customBuiltin="1"/>
    <cellStyle name="Warning Text" xfId="78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Track Ingestion by Territory (excluding RED)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Summary!$A$37</c:f>
              <c:strCache>
                <c:ptCount val="1"/>
                <c:pt idx="0">
                  <c:v>North America</c:v>
                </c:pt>
              </c:strCache>
            </c:strRef>
          </c:tx>
          <c:marker>
            <c:symbol val="none"/>
          </c:marker>
          <c:cat>
            <c:strRef>
              <c:f>Summary!$B$36:$G$36</c:f>
              <c:strCache>
                <c:ptCount val="6"/>
                <c:pt idx="0">
                  <c:v>August</c:v>
                </c:pt>
                <c:pt idx="1">
                  <c:v>September</c:v>
                </c:pt>
                <c:pt idx="2">
                  <c:v>October </c:v>
                </c:pt>
                <c:pt idx="3">
                  <c:v>November </c:v>
                </c:pt>
                <c:pt idx="4">
                  <c:v>December</c:v>
                </c:pt>
                <c:pt idx="5">
                  <c:v>January </c:v>
                </c:pt>
              </c:strCache>
            </c:strRef>
          </c:cat>
          <c:val>
            <c:numRef>
              <c:f>Summary!$B$37:$G$37</c:f>
              <c:numCache>
                <c:formatCode>_(* #,##0_);_(* \(#,##0\);_(* "-"??_);_(@_)</c:formatCode>
                <c:ptCount val="6"/>
                <c:pt idx="0">
                  <c:v>91364</c:v>
                </c:pt>
                <c:pt idx="1">
                  <c:v>61646</c:v>
                </c:pt>
                <c:pt idx="2">
                  <c:v>68494</c:v>
                </c:pt>
                <c:pt idx="3">
                  <c:v>93117</c:v>
                </c:pt>
                <c:pt idx="4">
                  <c:v>49439</c:v>
                </c:pt>
                <c:pt idx="5">
                  <c:v>92884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Summary!$A$38</c:f>
              <c:strCache>
                <c:ptCount val="1"/>
                <c:pt idx="0">
                  <c:v>Europe</c:v>
                </c:pt>
              </c:strCache>
            </c:strRef>
          </c:tx>
          <c:marker>
            <c:symbol val="none"/>
          </c:marker>
          <c:cat>
            <c:strRef>
              <c:f>Summary!$B$36:$G$36</c:f>
              <c:strCache>
                <c:ptCount val="6"/>
                <c:pt idx="0">
                  <c:v>August</c:v>
                </c:pt>
                <c:pt idx="1">
                  <c:v>September</c:v>
                </c:pt>
                <c:pt idx="2">
                  <c:v>October </c:v>
                </c:pt>
                <c:pt idx="3">
                  <c:v>November </c:v>
                </c:pt>
                <c:pt idx="4">
                  <c:v>December</c:v>
                </c:pt>
                <c:pt idx="5">
                  <c:v>January </c:v>
                </c:pt>
              </c:strCache>
            </c:strRef>
          </c:cat>
          <c:val>
            <c:numRef>
              <c:f>Summary!$B$38:$G$38</c:f>
              <c:numCache>
                <c:formatCode>_(* #,##0_);_(* \(#,##0\);_(* "-"??_);_(@_)</c:formatCode>
                <c:ptCount val="6"/>
                <c:pt idx="0">
                  <c:v>82043</c:v>
                </c:pt>
                <c:pt idx="1">
                  <c:v>113813</c:v>
                </c:pt>
                <c:pt idx="2">
                  <c:v>129063</c:v>
                </c:pt>
                <c:pt idx="3">
                  <c:v>129131</c:v>
                </c:pt>
                <c:pt idx="4">
                  <c:v>110347</c:v>
                </c:pt>
                <c:pt idx="5">
                  <c:v>113751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Summary!$A$39</c:f>
              <c:strCache>
                <c:ptCount val="1"/>
                <c:pt idx="0">
                  <c:v>ROW</c:v>
                </c:pt>
              </c:strCache>
            </c:strRef>
          </c:tx>
          <c:marker>
            <c:symbol val="none"/>
          </c:marker>
          <c:cat>
            <c:strRef>
              <c:f>Summary!$B$36:$G$36</c:f>
              <c:strCache>
                <c:ptCount val="6"/>
                <c:pt idx="0">
                  <c:v>August</c:v>
                </c:pt>
                <c:pt idx="1">
                  <c:v>September</c:v>
                </c:pt>
                <c:pt idx="2">
                  <c:v>October </c:v>
                </c:pt>
                <c:pt idx="3">
                  <c:v>November </c:v>
                </c:pt>
                <c:pt idx="4">
                  <c:v>December</c:v>
                </c:pt>
                <c:pt idx="5">
                  <c:v>January </c:v>
                </c:pt>
              </c:strCache>
            </c:strRef>
          </c:cat>
          <c:val>
            <c:numRef>
              <c:f>Summary!$B$39:$G$39</c:f>
              <c:numCache>
                <c:formatCode>_(* #,##0_);_(* \(#,##0\);_(* "-"??_);_(@_)</c:formatCode>
                <c:ptCount val="6"/>
                <c:pt idx="0">
                  <c:v>19734</c:v>
                </c:pt>
                <c:pt idx="1">
                  <c:v>64885</c:v>
                </c:pt>
                <c:pt idx="2">
                  <c:v>42937</c:v>
                </c:pt>
                <c:pt idx="3">
                  <c:v>21213</c:v>
                </c:pt>
                <c:pt idx="4">
                  <c:v>14867</c:v>
                </c:pt>
                <c:pt idx="5">
                  <c:v>21722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23232"/>
        <c:axId val="92038848"/>
      </c:lineChart>
      <c:catAx>
        <c:axId val="9462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2038848"/>
        <c:crosses val="autoZero"/>
        <c:auto val="1"/>
        <c:lblAlgn val="ctr"/>
        <c:lblOffset val="100"/>
        <c:noMultiLvlLbl val="0"/>
      </c:catAx>
      <c:valAx>
        <c:axId val="92038848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462323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 w="1270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32</xdr:row>
      <xdr:rowOff>28575</xdr:rowOff>
    </xdr:from>
    <xdr:to>
      <xdr:col>17</xdr:col>
      <xdr:colOff>723901</xdr:colOff>
      <xdr:row>47</xdr:row>
      <xdr:rowOff>95250</xdr:rowOff>
    </xdr:to>
    <xdr:graphicFrame macro="">
      <xdr:nvGraphicFramePr>
        <xdr:cNvPr id="351994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anna/AppData/Local/Microsoft/Windows/Temporary%20Internet%20Files/Content.Outlook/KSJ5IB3P/itunes%20emusic%20verizon%20weekly%20estimates%20January%20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%20Projections/iTunes%202013%20Sales_Percent%20by%20Territory%20Cal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OVERVIEW"/>
      <sheetName val="iTunes OVERVIEW"/>
      <sheetName val="eMusic OVERVIEW"/>
      <sheetName val="Verizon OVERVIEW "/>
      <sheetName val="iTunes data"/>
    </sheetNames>
    <sheetDataSet>
      <sheetData sheetId="0" refreshError="1"/>
      <sheetData sheetId="1">
        <row r="1">
          <cell r="E1">
            <v>39814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H"/>
      <sheetName val="IODA"/>
      <sheetName val="IRIS"/>
      <sheetName val="Sheet1"/>
      <sheetName val="Sheet2"/>
    </sheetNames>
    <sheetDataSet>
      <sheetData sheetId="0">
        <row r="1">
          <cell r="C1" t="str">
            <v>Country</v>
          </cell>
          <cell r="D1" t="str">
            <v>2013 Sales</v>
          </cell>
          <cell r="E1" t="str">
            <v>2013 % of Total</v>
          </cell>
          <cell r="F1" t="str">
            <v>Jul Plan</v>
          </cell>
          <cell r="G1" t="str">
            <v>Aug Plan</v>
          </cell>
          <cell r="I1" t="str">
            <v>Oct Plan</v>
          </cell>
          <cell r="K1" t="str">
            <v>Nov Plan</v>
          </cell>
          <cell r="M1" t="str">
            <v>Dec Plan</v>
          </cell>
          <cell r="O1" t="str">
            <v>Jan Plan</v>
          </cell>
          <cell r="Q1" t="str">
            <v>Feb Plan</v>
          </cell>
        </row>
        <row r="2">
          <cell r="C2" t="str">
            <v>United States</v>
          </cell>
          <cell r="D2">
            <v>14989514.928624099</v>
          </cell>
          <cell r="E2">
            <v>0.86013373514007507</v>
          </cell>
          <cell r="F2">
            <v>2428602.0843772963</v>
          </cell>
          <cell r="G2">
            <v>2031172.1872320594</v>
          </cell>
          <cell r="I2">
            <v>2554996.4378690436</v>
          </cell>
          <cell r="K2">
            <v>1995515.9070455583</v>
          </cell>
          <cell r="M2">
            <v>2545059.7492073267</v>
          </cell>
          <cell r="O2">
            <v>2653793.8843296268</v>
          </cell>
          <cell r="Q2">
            <v>2109592.2655654047</v>
          </cell>
        </row>
        <row r="3">
          <cell r="C3" t="str">
            <v>Canada</v>
          </cell>
          <cell r="D3">
            <v>1766726.8098231</v>
          </cell>
          <cell r="E3">
            <v>0.10137895303091969</v>
          </cell>
          <cell r="F3">
            <v>286245.18093431566</v>
          </cell>
          <cell r="G3">
            <v>239402.43401053798</v>
          </cell>
          <cell r="I3">
            <v>301142.54712577962</v>
          </cell>
          <cell r="K3">
            <v>235199.83596490277</v>
          </cell>
          <cell r="M3">
            <v>299971.36751502403</v>
          </cell>
          <cell r="O3">
            <v>312787.22663910105</v>
          </cell>
          <cell r="Q3">
            <v>248645.35184208024</v>
          </cell>
        </row>
        <row r="4">
          <cell r="C4" t="str">
            <v>Mexico</v>
          </cell>
          <cell r="D4">
            <v>670716.78700003005</v>
          </cell>
          <cell r="E4">
            <v>3.8487311829005312E-2</v>
          </cell>
          <cell r="F4">
            <v>108669.57301096831</v>
          </cell>
          <cell r="G4">
            <v>90886.282161310795</v>
          </cell>
          <cell r="I4">
            <v>114325.1806188599</v>
          </cell>
          <cell r="K4">
            <v>89290.815877248868</v>
          </cell>
          <cell r="M4">
            <v>113880.55623145697</v>
          </cell>
          <cell r="O4">
            <v>118745.94447742274</v>
          </cell>
          <cell r="Q4">
            <v>94395.245808666135</v>
          </cell>
        </row>
        <row r="5">
          <cell r="D5">
            <v>17426958.525447227</v>
          </cell>
          <cell r="F5">
            <v>2823516.8383225799</v>
          </cell>
          <cell r="G5">
            <v>2361460.903403908</v>
          </cell>
          <cell r="H5">
            <v>0.59198995730858872</v>
          </cell>
          <cell r="I5">
            <v>2970464.1656136829</v>
          </cell>
          <cell r="K5">
            <v>2320006.5588877099</v>
          </cell>
          <cell r="M5">
            <v>2958911.6729538073</v>
          </cell>
          <cell r="O5">
            <v>3085327.0554461502</v>
          </cell>
          <cell r="Q5">
            <v>2452632.863216151</v>
          </cell>
        </row>
        <row r="6">
          <cell r="C6" t="str">
            <v>United Kingdom</v>
          </cell>
          <cell r="D6">
            <v>2845691.5901914202</v>
          </cell>
          <cell r="F6">
            <v>451750.52468445071</v>
          </cell>
          <cell r="G6">
            <v>377823.56657320401</v>
          </cell>
          <cell r="H6">
            <v>9.4715841673874743E-2</v>
          </cell>
          <cell r="I6">
            <v>475261.46370338462</v>
          </cell>
          <cell r="K6">
            <v>371191.05012015247</v>
          </cell>
          <cell r="M6">
            <v>473413.11466941447</v>
          </cell>
          <cell r="O6">
            <v>493639.03101387969</v>
          </cell>
          <cell r="Q6">
            <v>392410.6871891233</v>
          </cell>
        </row>
        <row r="7">
          <cell r="C7" t="str">
            <v>Germany</v>
          </cell>
          <cell r="D7">
            <v>1190697.12673187</v>
          </cell>
          <cell r="E7">
            <v>0.68163136715970229</v>
          </cell>
          <cell r="F7">
            <v>191282.26922470296</v>
          </cell>
          <cell r="G7">
            <v>159979.77917385855</v>
          </cell>
          <cell r="I7">
            <v>201237.37834225563</v>
          </cell>
          <cell r="K7">
            <v>157171.40878248808</v>
          </cell>
          <cell r="M7">
            <v>200454.74195730829</v>
          </cell>
          <cell r="O7">
            <v>209018.89177920553</v>
          </cell>
          <cell r="Q7">
            <v>166156.32436949832</v>
          </cell>
        </row>
        <row r="8">
          <cell r="C8" t="str">
            <v>Austria</v>
          </cell>
          <cell r="D8">
            <v>124036.762954712</v>
          </cell>
          <cell r="E8">
            <v>7.1006594718963534E-2</v>
          </cell>
          <cell r="F8">
            <v>19926.170100355579</v>
          </cell>
          <cell r="G8">
            <v>16665.341253824612</v>
          </cell>
          <cell r="I8">
            <v>20963.209228174212</v>
          </cell>
          <cell r="K8">
            <v>16372.788962647468</v>
          </cell>
          <cell r="M8">
            <v>20881.680784391123</v>
          </cell>
          <cell r="O8">
            <v>21773.821529101693</v>
          </cell>
          <cell r="Q8">
            <v>17308.761528477844</v>
          </cell>
        </row>
        <row r="9">
          <cell r="C9" t="str">
            <v>Switzerland</v>
          </cell>
          <cell r="D9">
            <v>432100.51978814602</v>
          </cell>
          <cell r="E9">
            <v>0.24736203812133423</v>
          </cell>
          <cell r="F9">
            <v>69415.778456701271</v>
          </cell>
          <cell r="G9">
            <v>58056.195975169852</v>
          </cell>
          <cell r="I9">
            <v>73028.458564571294</v>
          </cell>
          <cell r="K9">
            <v>57037.046538570867</v>
          </cell>
          <cell r="M9">
            <v>72744.442099637788</v>
          </cell>
          <cell r="O9">
            <v>75852.347129813177</v>
          </cell>
          <cell r="Q9">
            <v>60297.646239567715</v>
          </cell>
        </row>
        <row r="10">
          <cell r="D10">
            <v>1746834.4094747279</v>
          </cell>
          <cell r="F10">
            <v>280624.2177817598</v>
          </cell>
          <cell r="G10">
            <v>234701.316402853</v>
          </cell>
          <cell r="H10">
            <v>5.8836808213644121E-2</v>
          </cell>
          <cell r="I10">
            <v>295229.04613500112</v>
          </cell>
          <cell r="K10">
            <v>230581.24428370642</v>
          </cell>
          <cell r="M10">
            <v>294080.8648413372</v>
          </cell>
          <cell r="O10">
            <v>306645.06043812039</v>
          </cell>
          <cell r="Q10">
            <v>243762.73213754388</v>
          </cell>
        </row>
        <row r="11">
          <cell r="C11" t="str">
            <v>France</v>
          </cell>
          <cell r="D11">
            <v>759372.73735392105</v>
          </cell>
          <cell r="E11">
            <v>0.64831388139984891</v>
          </cell>
          <cell r="F11">
            <v>122305.37564305552</v>
          </cell>
          <cell r="G11">
            <v>102290.64652179966</v>
          </cell>
          <cell r="I11">
            <v>128670.6460108989</v>
          </cell>
          <cell r="K11">
            <v>100494.98194162936</v>
          </cell>
          <cell r="M11">
            <v>128170.23038199155</v>
          </cell>
          <cell r="O11">
            <v>133646.12506515268</v>
          </cell>
          <cell r="Q11">
            <v>106239.91313909192</v>
          </cell>
        </row>
        <row r="12">
          <cell r="C12" t="str">
            <v>Belgium</v>
          </cell>
          <cell r="D12">
            <v>187059.36206913</v>
          </cell>
          <cell r="E12">
            <v>0.15970178426183812</v>
          </cell>
          <cell r="F12">
            <v>30127.978553900011</v>
          </cell>
          <cell r="G12">
            <v>25197.669264084645</v>
          </cell>
          <cell r="I12">
            <v>31695.961384776092</v>
          </cell>
          <cell r="K12">
            <v>24755.335935096253</v>
          </cell>
          <cell r="M12">
            <v>31572.691976080947</v>
          </cell>
          <cell r="O12">
            <v>32921.591292323392</v>
          </cell>
          <cell r="Q12">
            <v>26170.50810558139</v>
          </cell>
        </row>
        <row r="13">
          <cell r="C13" t="str">
            <v>Luxembourg</v>
          </cell>
          <cell r="D13">
            <v>28862.283126115799</v>
          </cell>
          <cell r="E13">
            <v>2.4641151675731648E-2</v>
          </cell>
          <cell r="F13">
            <v>4648.5898242230178</v>
          </cell>
          <cell r="G13">
            <v>3887.8688367891928</v>
          </cell>
          <cell r="I13">
            <v>4890.5213902299056</v>
          </cell>
          <cell r="K13">
            <v>3819.6191130856437</v>
          </cell>
          <cell r="M13">
            <v>4871.5015639288122</v>
          </cell>
          <cell r="O13">
            <v>5079.6296872334651</v>
          </cell>
          <cell r="Q13">
            <v>4037.9727918587332</v>
          </cell>
        </row>
        <row r="14">
          <cell r="C14" t="str">
            <v>Netherlands</v>
          </cell>
          <cell r="D14">
            <v>196009.76369905501</v>
          </cell>
          <cell r="E14">
            <v>0.16734318266258127</v>
          </cell>
          <cell r="F14">
            <v>31569.539699904119</v>
          </cell>
          <cell r="G14">
            <v>26403.325359331175</v>
          </cell>
          <cell r="I14">
            <v>33212.547249831579</v>
          </cell>
          <cell r="K14">
            <v>25939.827300040299</v>
          </cell>
          <cell r="M14">
            <v>33083.379656173645</v>
          </cell>
          <cell r="O14">
            <v>34496.821000706768</v>
          </cell>
          <cell r="Q14">
            <v>27422.712517128544</v>
          </cell>
        </row>
        <row r="15">
          <cell r="D15">
            <v>1171304.1462482219</v>
          </cell>
          <cell r="F15">
            <v>188651.48372108268</v>
          </cell>
          <cell r="G15">
            <v>157779.50998200467</v>
          </cell>
          <cell r="H15">
            <v>3.955343289562014E-2</v>
          </cell>
          <cell r="I15">
            <v>198469.67603573648</v>
          </cell>
          <cell r="K15">
            <v>155009.76428985156</v>
          </cell>
          <cell r="M15">
            <v>197697.80357817496</v>
          </cell>
          <cell r="O15">
            <v>206144.16704541631</v>
          </cell>
          <cell r="Q15">
            <v>163871.10655366059</v>
          </cell>
        </row>
        <row r="16">
          <cell r="C16" t="str">
            <v>Italy</v>
          </cell>
          <cell r="D16">
            <v>415492.53794080002</v>
          </cell>
          <cell r="E16">
            <v>0.47772929804362385</v>
          </cell>
          <cell r="F16">
            <v>66637.442335507571</v>
          </cell>
          <cell r="G16">
            <v>55732.522166087205</v>
          </cell>
          <cell r="I16">
            <v>70105.526504800291</v>
          </cell>
          <cell r="K16">
            <v>54754.16373919163</v>
          </cell>
          <cell r="M16">
            <v>69832.87767444615</v>
          </cell>
          <cell r="O16">
            <v>72816.390167383594</v>
          </cell>
          <cell r="Q16">
            <v>57884.259365647493</v>
          </cell>
        </row>
        <row r="17">
          <cell r="C17" t="str">
            <v>Portugal</v>
          </cell>
          <cell r="D17">
            <v>77353.832043349699</v>
          </cell>
          <cell r="E17">
            <v>8.8940687277322697E-2</v>
          </cell>
          <cell r="F17">
            <v>12406.147046023958</v>
          </cell>
          <cell r="G17">
            <v>10375.936425606827</v>
          </cell>
          <cell r="I17">
            <v>13051.813516168584</v>
          </cell>
          <cell r="K17">
            <v>10193.791702124312</v>
          </cell>
          <cell r="M17">
            <v>13001.053442511055</v>
          </cell>
          <cell r="O17">
            <v>13556.505353685452</v>
          </cell>
          <cell r="Q17">
            <v>10776.533554886511</v>
          </cell>
        </row>
        <row r="18">
          <cell r="C18" t="str">
            <v>Spain</v>
          </cell>
          <cell r="D18">
            <v>376877.42473036097</v>
          </cell>
          <cell r="E18">
            <v>0.43333001467905347</v>
          </cell>
          <cell r="F18">
            <v>60444.280858787235</v>
          </cell>
          <cell r="G18">
            <v>50552.843937417318</v>
          </cell>
          <cell r="I18">
            <v>63590.047656306473</v>
          </cell>
          <cell r="K18">
            <v>49665.412345458892</v>
          </cell>
          <cell r="M18">
            <v>63342.738307385625</v>
          </cell>
          <cell r="O18">
            <v>66048.968629984898</v>
          </cell>
          <cell r="Q18">
            <v>52504.602634422714</v>
          </cell>
        </row>
        <row r="19">
          <cell r="D19">
            <v>869723.79471451067</v>
          </cell>
          <cell r="F19">
            <v>139487.87024031876</v>
          </cell>
          <cell r="G19">
            <v>116661.30252911134</v>
          </cell>
          <cell r="H19">
            <v>2.9245590898508492E-2</v>
          </cell>
          <cell r="I19">
            <v>146747.38767727534</v>
          </cell>
          <cell r="K19">
            <v>114613.36778677483</v>
          </cell>
          <cell r="M19">
            <v>146176.66942434284</v>
          </cell>
          <cell r="O19">
            <v>152421.86415105395</v>
          </cell>
          <cell r="Q19">
            <v>121165.39555495672</v>
          </cell>
        </row>
        <row r="20">
          <cell r="C20" t="str">
            <v>Denmark</v>
          </cell>
          <cell r="D20">
            <v>168659.617368162</v>
          </cell>
          <cell r="E20">
            <v>0.44320945946050211</v>
          </cell>
          <cell r="F20">
            <v>27549.09639059168</v>
          </cell>
          <cell r="G20">
            <v>23040.809662441083</v>
          </cell>
          <cell r="I20">
            <v>28982.86368000069</v>
          </cell>
          <cell r="K20">
            <v>22636.338997564861</v>
          </cell>
          <cell r="M20">
            <v>28870.145834823048</v>
          </cell>
          <cell r="O20">
            <v>30103.582629060147</v>
          </cell>
          <cell r="Q20">
            <v>23930.375849862448</v>
          </cell>
        </row>
        <row r="21">
          <cell r="C21" t="str">
            <v>Finland</v>
          </cell>
          <cell r="D21">
            <v>33149.057442784302</v>
          </cell>
          <cell r="E21">
            <v>8.7110216779223995E-2</v>
          </cell>
          <cell r="F21">
            <v>5414.6131302733274</v>
          </cell>
          <cell r="G21">
            <v>4528.5358460246252</v>
          </cell>
          <cell r="I21">
            <v>5696.4116720810971</v>
          </cell>
          <cell r="K21">
            <v>4449.0395118509532</v>
          </cell>
          <cell r="M21">
            <v>5674.2576414783571</v>
          </cell>
          <cell r="O21">
            <v>5916.6824007789655</v>
          </cell>
          <cell r="Q21">
            <v>4703.3748567264001</v>
          </cell>
        </row>
        <row r="22">
          <cell r="C22" t="str">
            <v>Norway</v>
          </cell>
          <cell r="D22">
            <v>100572.843080461</v>
          </cell>
          <cell r="E22">
            <v>0.26428872609615822</v>
          </cell>
          <cell r="F22">
            <v>16427.708016504115</v>
          </cell>
          <cell r="G22">
            <v>13739.386883400408</v>
          </cell>
          <cell r="I22">
            <v>17282.67291481089</v>
          </cell>
          <cell r="K22">
            <v>13498.198356211651</v>
          </cell>
          <cell r="M22">
            <v>17215.4585197333</v>
          </cell>
          <cell r="O22">
            <v>17950.965021480479</v>
          </cell>
          <cell r="Q22">
            <v>14269.841072573146</v>
          </cell>
        </row>
        <row r="23">
          <cell r="C23" t="str">
            <v>Sweden</v>
          </cell>
          <cell r="D23">
            <v>78160.038178861098</v>
          </cell>
          <cell r="E23">
            <v>0.20539159766411572</v>
          </cell>
          <cell r="F23">
            <v>12766.769303060441</v>
          </cell>
          <cell r="G23">
            <v>10677.544459010604</v>
          </cell>
          <cell r="I23">
            <v>13431.204025660283</v>
          </cell>
          <cell r="K23">
            <v>10490.105147204584</v>
          </cell>
          <cell r="M23">
            <v>13378.968456648572</v>
          </cell>
          <cell r="O23">
            <v>13950.566260753292</v>
          </cell>
          <cell r="Q23">
            <v>11089.786157743418</v>
          </cell>
        </row>
        <row r="24">
          <cell r="D24">
            <v>380541.55607026839</v>
          </cell>
          <cell r="F24">
            <v>62158.18684042956</v>
          </cell>
          <cell r="G24">
            <v>51986.276850876719</v>
          </cell>
          <cell r="H24">
            <v>1.3032336791696237E-2</v>
          </cell>
          <cell r="I24">
            <v>65393.152292552957</v>
          </cell>
          <cell r="K24">
            <v>51073.682012832047</v>
          </cell>
          <cell r="M24">
            <v>65138.830452683273</v>
          </cell>
          <cell r="O24">
            <v>67921.796312072882</v>
          </cell>
          <cell r="Q24">
            <v>53993.37793690541</v>
          </cell>
        </row>
        <row r="25">
          <cell r="C25" t="str">
            <v>Ireland</v>
          </cell>
          <cell r="D25">
            <v>163637.50790762901</v>
          </cell>
          <cell r="E25">
            <v>0.78441679276489784</v>
          </cell>
          <cell r="F25">
            <v>25449.953470694498</v>
          </cell>
          <cell r="G25">
            <v>21285.182117135122</v>
          </cell>
          <cell r="I25">
            <v>26774.472804683417</v>
          </cell>
          <cell r="K25">
            <v>20911.530674800477</v>
          </cell>
          <cell r="M25">
            <v>26670.343657417892</v>
          </cell>
          <cell r="O25">
            <v>27809.79696569762</v>
          </cell>
          <cell r="Q25">
            <v>22106.966532783266</v>
          </cell>
        </row>
        <row r="26">
          <cell r="C26" t="str">
            <v>Greece</v>
          </cell>
          <cell r="D26">
            <v>44972.901019036799</v>
          </cell>
          <cell r="E26">
            <v>0.21558320723510216</v>
          </cell>
          <cell r="F26">
            <v>6994.4736571197491</v>
          </cell>
          <cell r="G26">
            <v>5849.8592453904103</v>
          </cell>
          <cell r="I26">
            <v>7358.4945815823066</v>
          </cell>
          <cell r="K26">
            <v>5747.1676953502938</v>
          </cell>
          <cell r="M26">
            <v>7329.8765104991626</v>
          </cell>
          <cell r="O26">
            <v>7643.0352813966329</v>
          </cell>
          <cell r="Q26">
            <v>6075.712288842974</v>
          </cell>
        </row>
        <row r="27">
          <cell r="D27">
            <v>208610.40892666581</v>
          </cell>
          <cell r="F27">
            <v>32444.427127814248</v>
          </cell>
          <cell r="G27">
            <v>27135.041362525531</v>
          </cell>
          <cell r="H27">
            <v>6.8024297817564682E-3</v>
          </cell>
          <cell r="I27">
            <v>34132.967386265722</v>
          </cell>
          <cell r="K27">
            <v>26658.698370150771</v>
          </cell>
          <cell r="M27">
            <v>34000.220167917054</v>
          </cell>
          <cell r="O27">
            <v>35452.832247094251</v>
          </cell>
          <cell r="Q27">
            <v>28182.678821626239</v>
          </cell>
        </row>
        <row r="28">
          <cell r="C28" t="str">
            <v>Japan</v>
          </cell>
          <cell r="D28">
            <v>596008.73240292096</v>
          </cell>
          <cell r="F28">
            <v>101113.67446376283</v>
          </cell>
          <cell r="G28">
            <v>84566.872704587906</v>
          </cell>
          <cell r="H28">
            <v>2.1199901844636652E-2</v>
          </cell>
          <cell r="I28">
            <v>106376.0423070727</v>
          </cell>
          <cell r="K28">
            <v>83082.340705476556</v>
          </cell>
          <cell r="M28">
            <v>105962.33307530852</v>
          </cell>
          <cell r="O28">
            <v>110489.42625890598</v>
          </cell>
          <cell r="Q28">
            <v>87831.854779267203</v>
          </cell>
        </row>
        <row r="29">
          <cell r="C29" t="str">
            <v>Australia</v>
          </cell>
          <cell r="D29">
            <v>1725266.2280077301</v>
          </cell>
          <cell r="E29">
            <v>0.91480847121605391</v>
          </cell>
          <cell r="F29">
            <v>283438.92797330057</v>
          </cell>
          <cell r="G29">
            <v>237055.41182793415</v>
          </cell>
          <cell r="I29">
            <v>298190.2453200306</v>
          </cell>
          <cell r="K29">
            <v>232894.01466180728</v>
          </cell>
          <cell r="M29">
            <v>297030.5475663314</v>
          </cell>
          <cell r="O29">
            <v>309720.76425165182</v>
          </cell>
          <cell r="Q29">
            <v>246207.71515393781</v>
          </cell>
        </row>
        <row r="30">
          <cell r="C30" t="str">
            <v>New Zealand</v>
          </cell>
          <cell r="D30">
            <v>160665.39843899</v>
          </cell>
          <cell r="E30">
            <v>8.5191528783946077E-2</v>
          </cell>
          <cell r="F30">
            <v>26395.24703879295</v>
          </cell>
          <cell r="G30">
            <v>22075.782609756883</v>
          </cell>
          <cell r="I30">
            <v>27768.963303875807</v>
          </cell>
          <cell r="K30">
            <v>21688.252544596609</v>
          </cell>
          <cell r="M30">
            <v>27660.966463363813</v>
          </cell>
          <cell r="O30">
            <v>28842.742752104215</v>
          </cell>
          <cell r="Q30">
            <v>22928.09075596392</v>
          </cell>
        </row>
        <row r="31">
          <cell r="D31">
            <v>1885931.6264467202</v>
          </cell>
          <cell r="F31">
            <v>309834.1750120935</v>
          </cell>
          <cell r="G31">
            <v>259131.19443769104</v>
          </cell>
          <cell r="H31">
            <v>6.4961085958006232E-2</v>
          </cell>
          <cell r="I31">
            <v>325959.20862390642</v>
          </cell>
          <cell r="K31">
            <v>254582.26720640389</v>
          </cell>
          <cell r="M31">
            <v>324691.51402969524</v>
          </cell>
          <cell r="O31">
            <v>338563.50700375607</v>
          </cell>
          <cell r="Q31">
            <v>269135.80590990174</v>
          </cell>
        </row>
        <row r="32">
          <cell r="C32" t="str">
            <v>Bulgaria</v>
          </cell>
          <cell r="D32">
            <v>3099.8304054140999</v>
          </cell>
          <cell r="E32">
            <v>2.476576510119631E-2</v>
          </cell>
          <cell r="F32">
            <v>509.02659547759492</v>
          </cell>
          <cell r="G32">
            <v>425.72666388887654</v>
          </cell>
          <cell r="I32">
            <v>535.51841472594913</v>
          </cell>
          <cell r="K32">
            <v>418.25323090968038</v>
          </cell>
          <cell r="M32">
            <v>533.43571915703228</v>
          </cell>
          <cell r="O32">
            <v>556.22601772819462</v>
          </cell>
          <cell r="Q32">
            <v>442.16324102429661</v>
          </cell>
        </row>
        <row r="33">
          <cell r="C33" t="str">
            <v>Cyprus</v>
          </cell>
          <cell r="D33">
            <v>4211.5103547573099</v>
          </cell>
          <cell r="E33">
            <v>3.3647413737540294E-2</v>
          </cell>
          <cell r="F33">
            <v>691.57679528418259</v>
          </cell>
          <cell r="G33">
            <v>578.40333785124346</v>
          </cell>
          <cell r="I33">
            <v>727.56927115832593</v>
          </cell>
          <cell r="K33">
            <v>568.24973708569939</v>
          </cell>
          <cell r="M33">
            <v>724.73966669384276</v>
          </cell>
          <cell r="O33">
            <v>755.7031601329744</v>
          </cell>
          <cell r="Q33">
            <v>600.73449980180885</v>
          </cell>
        </row>
        <row r="34">
          <cell r="C34" t="str">
            <v>Czech Republic</v>
          </cell>
          <cell r="D34">
            <v>20303.960644721999</v>
          </cell>
          <cell r="E34">
            <v>0.16221633256866697</v>
          </cell>
          <cell r="F34">
            <v>3334.1359397090137</v>
          </cell>
          <cell r="G34">
            <v>2788.5194667137966</v>
          </cell>
          <cell r="I34">
            <v>3507.6579667483661</v>
          </cell>
          <cell r="K34">
            <v>2739.5683083454101</v>
          </cell>
          <cell r="M34">
            <v>3494.0162627401833</v>
          </cell>
          <cell r="O34">
            <v>3643.2932439782994</v>
          </cell>
          <cell r="Q34">
            <v>2896.1794260162883</v>
          </cell>
        </row>
        <row r="35">
          <cell r="C35" t="str">
            <v>Estonia</v>
          </cell>
          <cell r="D35">
            <v>4003.0832199454298</v>
          </cell>
          <cell r="E35">
            <v>3.1982207327392563E-2</v>
          </cell>
          <cell r="F35">
            <v>657.35074386758322</v>
          </cell>
          <cell r="G35">
            <v>549.77822706698907</v>
          </cell>
          <cell r="I35">
            <v>691.56195649189044</v>
          </cell>
          <cell r="K35">
            <v>540.12712676738715</v>
          </cell>
          <cell r="M35">
            <v>688.87238880792165</v>
          </cell>
          <cell r="O35">
            <v>718.30350272577436</v>
          </cell>
          <cell r="Q35">
            <v>571.00422253087606</v>
          </cell>
        </row>
        <row r="36">
          <cell r="C36" t="str">
            <v>Hungary</v>
          </cell>
          <cell r="D36">
            <v>10445.956105232201</v>
          </cell>
          <cell r="E36">
            <v>8.3456854512990258E-2</v>
          </cell>
          <cell r="F36">
            <v>1715.3420598325995</v>
          </cell>
          <cell r="G36">
            <v>1434.6339838601798</v>
          </cell>
          <cell r="I36">
            <v>1804.6154538004498</v>
          </cell>
          <cell r="K36">
            <v>1409.4496535433575</v>
          </cell>
          <cell r="M36">
            <v>1797.597087100301</v>
          </cell>
          <cell r="O36">
            <v>1874.3969204343102</v>
          </cell>
          <cell r="Q36">
            <v>1490.0227441539628</v>
          </cell>
        </row>
        <row r="37">
          <cell r="C37" t="str">
            <v>Latvia</v>
          </cell>
          <cell r="D37">
            <v>6866.9695352315903</v>
          </cell>
          <cell r="E37">
            <v>5.4862922232643246E-2</v>
          </cell>
          <cell r="F37">
            <v>1127.6326981186398</v>
          </cell>
          <cell r="G37">
            <v>943.10063742669684</v>
          </cell>
          <cell r="I37">
            <v>1186.3193009061908</v>
          </cell>
          <cell r="K37">
            <v>926.54494570172346</v>
          </cell>
          <cell r="M37">
            <v>1181.7055623616773</v>
          </cell>
          <cell r="O37">
            <v>1232.1922876075691</v>
          </cell>
          <cell r="Q37">
            <v>979.51213731239329</v>
          </cell>
        </row>
        <row r="38">
          <cell r="C38" t="str">
            <v>Lithuania</v>
          </cell>
          <cell r="D38">
            <v>2242.4207220077501</v>
          </cell>
          <cell r="E38">
            <v>1.7915581691921669E-2</v>
          </cell>
          <cell r="F38">
            <v>368.23039859160662</v>
          </cell>
          <cell r="G38">
            <v>307.97113653323061</v>
          </cell>
          <cell r="I38">
            <v>387.3946097505256</v>
          </cell>
          <cell r="K38">
            <v>302.56484690273487</v>
          </cell>
          <cell r="M38">
            <v>385.88798548707689</v>
          </cell>
          <cell r="O38">
            <v>402.37451252012301</v>
          </cell>
          <cell r="Q38">
            <v>319.86137449688493</v>
          </cell>
        </row>
        <row r="39">
          <cell r="C39" t="str">
            <v>Malta</v>
          </cell>
          <cell r="D39">
            <v>2420.9925813078898</v>
          </cell>
          <cell r="E39">
            <v>1.93422625559415E-2</v>
          </cell>
          <cell r="F39">
            <v>397.55388204053781</v>
          </cell>
          <cell r="G39">
            <v>332.49596272743219</v>
          </cell>
          <cell r="I39">
            <v>418.24420682527301</v>
          </cell>
          <cell r="K39">
            <v>326.65915121415242</v>
          </cell>
          <cell r="M39">
            <v>416.61760476579781</v>
          </cell>
          <cell r="O39">
            <v>434.41701200762878</v>
          </cell>
          <cell r="Q39">
            <v>345.33306221437363</v>
          </cell>
        </row>
        <row r="40">
          <cell r="C40" t="str">
            <v>Poland</v>
          </cell>
          <cell r="D40">
            <v>47233.523064434499</v>
          </cell>
          <cell r="E40">
            <v>0.3773672053389176</v>
          </cell>
          <cell r="F40">
            <v>7756.2693094139386</v>
          </cell>
          <cell r="G40">
            <v>6486.990437547418</v>
          </cell>
          <cell r="I40">
            <v>8159.9371853404637</v>
          </cell>
          <cell r="K40">
            <v>6373.1143466564999</v>
          </cell>
          <cell r="M40">
            <v>8128.2022075110917</v>
          </cell>
          <cell r="O40">
            <v>8475.4683325630322</v>
          </cell>
          <cell r="Q40">
            <v>6737.4420247924008</v>
          </cell>
        </row>
        <row r="41">
          <cell r="C41" t="str">
            <v>Romania</v>
          </cell>
          <cell r="D41">
            <v>13080.0067968965</v>
          </cell>
          <cell r="E41">
            <v>0.10450132216530597</v>
          </cell>
          <cell r="F41">
            <v>2147.8824509299529</v>
          </cell>
          <cell r="G41">
            <v>1796.3910695116533</v>
          </cell>
          <cell r="I41">
            <v>2259.6670102482353</v>
          </cell>
          <cell r="K41">
            <v>1764.8562623192006</v>
          </cell>
          <cell r="M41">
            <v>2250.8788932758616</v>
          </cell>
          <cell r="O41">
            <v>2347.0445608212385</v>
          </cell>
          <cell r="Q41">
            <v>1865.7466511181535</v>
          </cell>
        </row>
        <row r="42">
          <cell r="C42" t="str">
            <v>Slovakia</v>
          </cell>
          <cell r="D42">
            <v>7468.2041082978203</v>
          </cell>
          <cell r="E42">
            <v>5.9666421863226161E-2</v>
          </cell>
          <cell r="F42">
            <v>1226.3620954678618</v>
          </cell>
          <cell r="G42">
            <v>1025.6734093303087</v>
          </cell>
          <cell r="I42">
            <v>1290.1869785973672</v>
          </cell>
          <cell r="K42">
            <v>1007.6681911155189</v>
          </cell>
          <cell r="M42">
            <v>1285.1692861529832</v>
          </cell>
          <cell r="O42">
            <v>1340.076354978818</v>
          </cell>
          <cell r="Q42">
            <v>1065.2729024750636</v>
          </cell>
        </row>
        <row r="43">
          <cell r="C43" t="str">
            <v>Slovenia</v>
          </cell>
          <cell r="D43">
            <v>3789.4879816174498</v>
          </cell>
          <cell r="E43">
            <v>3.0275710904257392E-2</v>
          </cell>
          <cell r="F43">
            <v>622.27603242968667</v>
          </cell>
          <cell r="G43">
            <v>520.4433356880611</v>
          </cell>
          <cell r="I43">
            <v>654.66181407679881</v>
          </cell>
          <cell r="K43">
            <v>511.30719572162189</v>
          </cell>
          <cell r="M43">
            <v>652.11575548791802</v>
          </cell>
          <cell r="O43">
            <v>679.97649341153215</v>
          </cell>
          <cell r="Q43">
            <v>540.53676125250968</v>
          </cell>
        </row>
        <row r="44">
          <cell r="D44">
            <v>125165.94551986454</v>
          </cell>
          <cell r="F44">
            <v>20553.639001163199</v>
          </cell>
          <cell r="G44">
            <v>17190.127668145888</v>
          </cell>
          <cell r="H44">
            <v>4.3093590623186741E-3</v>
          </cell>
          <cell r="I44">
            <v>21623.334168669837</v>
          </cell>
          <cell r="K44">
            <v>16888.362996282987</v>
          </cell>
          <cell r="M44">
            <v>21539.238419541689</v>
          </cell>
          <cell r="O44">
            <v>22459.472398909496</v>
          </cell>
          <cell r="Q44">
            <v>17853.809047189014</v>
          </cell>
        </row>
        <row r="45">
          <cell r="C45" t="str">
            <v>Brazil</v>
          </cell>
          <cell r="D45">
            <v>306002.68930280203</v>
          </cell>
          <cell r="E45">
            <v>0.49394550764889406</v>
          </cell>
          <cell r="F45">
            <v>47449.279555984082</v>
          </cell>
          <cell r="G45">
            <v>39684.416627281833</v>
          </cell>
          <cell r="I45">
            <v>49918.733507171644</v>
          </cell>
          <cell r="K45">
            <v>38987.775206532329</v>
          </cell>
          <cell r="M45">
            <v>49724.593544431933</v>
          </cell>
          <cell r="O45">
            <v>51849.007588167326</v>
          </cell>
          <cell r="Q45">
            <v>41216.563965694062</v>
          </cell>
        </row>
        <row r="46">
          <cell r="C46" t="str">
            <v>Argentina</v>
          </cell>
          <cell r="D46">
            <v>68022.889908730998</v>
          </cell>
          <cell r="E46">
            <v>0.10980165228046346</v>
          </cell>
          <cell r="F46">
            <v>10547.741024234687</v>
          </cell>
          <cell r="G46">
            <v>8821.6502589576667</v>
          </cell>
          <cell r="I46">
            <v>11096.688468582437</v>
          </cell>
          <cell r="K46">
            <v>8666.7903040419969</v>
          </cell>
          <cell r="M46">
            <v>11053.532111550358</v>
          </cell>
          <cell r="O46">
            <v>11525.778884762789</v>
          </cell>
          <cell r="Q46">
            <v>9162.2390621548802</v>
          </cell>
        </row>
        <row r="47">
          <cell r="C47" t="str">
            <v>Belize</v>
          </cell>
          <cell r="D47">
            <v>255.58999979495999</v>
          </cell>
          <cell r="E47">
            <v>4.1257000873536509E-4</v>
          </cell>
          <cell r="F47">
            <v>39.632205127400887</v>
          </cell>
          <cell r="G47">
            <v>33.146571557066352</v>
          </cell>
          <cell r="I47">
            <v>41.694826656367667</v>
          </cell>
          <cell r="K47">
            <v>32.564698956560107</v>
          </cell>
          <cell r="M47">
            <v>41.532670457185588</v>
          </cell>
          <cell r="O47">
            <v>43.307095989980297</v>
          </cell>
          <cell r="Q47">
            <v>34.426303897990735</v>
          </cell>
        </row>
        <row r="48">
          <cell r="C48" t="str">
            <v>Bolivia</v>
          </cell>
          <cell r="D48">
            <v>849.92999595403603</v>
          </cell>
          <cell r="E48">
            <v>1.371945796535503E-3</v>
          </cell>
          <cell r="F48">
            <v>131.79154102509449</v>
          </cell>
          <cell r="G48">
            <v>110.22444325673145</v>
          </cell>
          <cell r="I48">
            <v>138.65051011299229</v>
          </cell>
          <cell r="K48">
            <v>108.28950457606797</v>
          </cell>
          <cell r="M48">
            <v>138.11128159143314</v>
          </cell>
          <cell r="O48">
            <v>144.01189384981103</v>
          </cell>
          <cell r="Q48">
            <v>114.48002017373395</v>
          </cell>
        </row>
        <row r="49">
          <cell r="C49" t="str">
            <v>Chile</v>
          </cell>
          <cell r="D49">
            <v>82355.839772045598</v>
          </cell>
          <cell r="E49">
            <v>0.13293771102710875</v>
          </cell>
          <cell r="F49">
            <v>12770.231769253411</v>
          </cell>
          <cell r="G49">
            <v>10680.440308057114</v>
          </cell>
          <cell r="I49">
            <v>13434.846692709854</v>
          </cell>
          <cell r="K49">
            <v>10492.950160972021</v>
          </cell>
          <cell r="M49">
            <v>13382.596956927562</v>
          </cell>
          <cell r="O49">
            <v>13954.349783655916</v>
          </cell>
          <cell r="Q49">
            <v>11092.793810560428</v>
          </cell>
        </row>
        <row r="50">
          <cell r="C50" t="str">
            <v>Colombia</v>
          </cell>
          <cell r="D50">
            <v>62550.819975435697</v>
          </cell>
          <cell r="E50">
            <v>0.10096870912153205</v>
          </cell>
          <cell r="F50">
            <v>9699.2328735174415</v>
          </cell>
          <cell r="G50">
            <v>8111.9966819211959</v>
          </cell>
          <cell r="I50">
            <v>10204.020494470376</v>
          </cell>
          <cell r="K50">
            <v>7969.5943644905337</v>
          </cell>
          <cell r="M50">
            <v>10164.335830629554</v>
          </cell>
          <cell r="O50">
            <v>10598.592930479699</v>
          </cell>
          <cell r="Q50">
            <v>8425.1869762915558</v>
          </cell>
        </row>
        <row r="51">
          <cell r="C51" t="str">
            <v>Costa Rica</v>
          </cell>
          <cell r="D51">
            <v>16217.020025134099</v>
          </cell>
          <cell r="E51">
            <v>2.6177299967911731E-2</v>
          </cell>
          <cell r="F51">
            <v>2514.637758546437</v>
          </cell>
          <cell r="G51">
            <v>2103.1285071274733</v>
          </cell>
          <cell r="I51">
            <v>2645.5097592755774</v>
          </cell>
          <cell r="K51">
            <v>2066.2090673134876</v>
          </cell>
          <cell r="M51">
            <v>2635.2210534128872</v>
          </cell>
          <cell r="O51">
            <v>2747.8072047549808</v>
          </cell>
          <cell r="Q51">
            <v>2184.326695696006</v>
          </cell>
        </row>
        <row r="52">
          <cell r="C52" t="str">
            <v>Dominican Republic</v>
          </cell>
          <cell r="D52">
            <v>5300.7800038456899</v>
          </cell>
          <cell r="E52">
            <v>8.5564492125876565E-3</v>
          </cell>
          <cell r="F52">
            <v>821.94765294483113</v>
          </cell>
          <cell r="G52">
            <v>687.43958623846868</v>
          </cell>
          <cell r="I52">
            <v>864.72515975268675</v>
          </cell>
          <cell r="K52">
            <v>675.37190499889152</v>
          </cell>
          <cell r="M52">
            <v>861.36213952962044</v>
          </cell>
          <cell r="O52">
            <v>898.1626379454309</v>
          </cell>
          <cell r="Q52">
            <v>713.98045093774692</v>
          </cell>
        </row>
        <row r="53">
          <cell r="C53" t="str">
            <v>Ecuador</v>
          </cell>
          <cell r="D53">
            <v>18620.8600465655</v>
          </cell>
          <cell r="E53">
            <v>3.0057546845473369E-2</v>
          </cell>
          <cell r="F53">
            <v>2887.3811401312109</v>
          </cell>
          <cell r="G53">
            <v>2414.8740971193984</v>
          </cell>
          <cell r="I53">
            <v>3037.6522260529405</v>
          </cell>
          <cell r="K53">
            <v>2372.4821089052666</v>
          </cell>
          <cell r="M53">
            <v>3025.8384309393809</v>
          </cell>
          <cell r="O53">
            <v>3155.1131660062033</v>
          </cell>
          <cell r="Q53">
            <v>2508.1082488332104</v>
          </cell>
        </row>
        <row r="54">
          <cell r="C54" t="str">
            <v>El Salvador</v>
          </cell>
          <cell r="D54">
            <v>3114.9400039911302</v>
          </cell>
          <cell r="E54">
            <v>5.0280950963954747E-3</v>
          </cell>
          <cell r="F54">
            <v>483.00771273038583</v>
          </cell>
          <cell r="G54">
            <v>403.96565523334118</v>
          </cell>
          <cell r="I54">
            <v>508.14540324576672</v>
          </cell>
          <cell r="K54">
            <v>396.87422660938375</v>
          </cell>
          <cell r="M54">
            <v>506.16916461306351</v>
          </cell>
          <cell r="O54">
            <v>527.79453759572948</v>
          </cell>
          <cell r="Q54">
            <v>419.56207710565405</v>
          </cell>
        </row>
        <row r="55">
          <cell r="C55" t="str">
            <v>Guatemala</v>
          </cell>
          <cell r="D55">
            <v>7611.0100017785999</v>
          </cell>
          <cell r="E55">
            <v>1.2285592024092436E-2</v>
          </cell>
          <cell r="F55">
            <v>1180.1757105488184</v>
          </cell>
          <cell r="G55">
            <v>987.04522026638688</v>
          </cell>
          <cell r="I55">
            <v>1241.5968659126581</v>
          </cell>
          <cell r="K55">
            <v>969.7181018902113</v>
          </cell>
          <cell r="M55">
            <v>1236.7681462647249</v>
          </cell>
          <cell r="O55">
            <v>1289.6073437620682</v>
          </cell>
          <cell r="Q55">
            <v>1025.1533452094154</v>
          </cell>
        </row>
        <row r="56">
          <cell r="C56" t="str">
            <v>Honduras</v>
          </cell>
          <cell r="D56">
            <v>4034.4100008606902</v>
          </cell>
          <cell r="E56">
            <v>6.5122914458015553E-3</v>
          </cell>
          <cell r="F56">
            <v>625.5822405040019</v>
          </cell>
          <cell r="G56">
            <v>523.20849755996585</v>
          </cell>
          <cell r="I56">
            <v>658.14009069817939</v>
          </cell>
          <cell r="K56">
            <v>514.02381646683841</v>
          </cell>
          <cell r="M56">
            <v>655.58050467287887</v>
          </cell>
          <cell r="O56">
            <v>683.58926918257191</v>
          </cell>
          <cell r="Q56">
            <v>543.40868128699753</v>
          </cell>
        </row>
        <row r="57">
          <cell r="C57" t="str">
            <v>Nicaragua</v>
          </cell>
          <cell r="D57">
            <v>1824.5800041556399</v>
          </cell>
          <cell r="E57">
            <v>2.9452129929056353E-3</v>
          </cell>
          <cell r="F57">
            <v>282.92237197879683</v>
          </cell>
          <cell r="G57">
            <v>236.62338791758131</v>
          </cell>
          <cell r="I57">
            <v>297.64680564565714</v>
          </cell>
          <cell r="K57">
            <v>232.46957472965755</v>
          </cell>
          <cell r="M57">
            <v>296.489221394259</v>
          </cell>
          <cell r="O57">
            <v>309.15631067239082</v>
          </cell>
          <cell r="Q57">
            <v>245.759011540552</v>
          </cell>
        </row>
        <row r="58">
          <cell r="C58" t="str">
            <v>Panama</v>
          </cell>
          <cell r="D58">
            <v>7075.84000307322</v>
          </cell>
          <cell r="E58">
            <v>1.1421727666261884E-2</v>
          </cell>
          <cell r="F58">
            <v>1097.1913716320469</v>
          </cell>
          <cell r="G58">
            <v>917.64089822126118</v>
          </cell>
          <cell r="I58">
            <v>1154.2936836848323</v>
          </cell>
          <cell r="K58">
            <v>901.5321403408384</v>
          </cell>
          <cell r="M58">
            <v>1149.8044966202394</v>
          </cell>
          <cell r="O58">
            <v>1198.9282932378524</v>
          </cell>
          <cell r="Q58">
            <v>953.06944119400475</v>
          </cell>
        </row>
        <row r="59">
          <cell r="C59" t="str">
            <v>Paraguay</v>
          </cell>
          <cell r="D59">
            <v>4422.9500048160598</v>
          </cell>
          <cell r="E59">
            <v>7.1394675988376748E-3</v>
          </cell>
          <cell r="F59">
            <v>685.82989162225203</v>
          </cell>
          <cell r="G59">
            <v>573.59688933672214</v>
          </cell>
          <cell r="I59">
            <v>721.52327520062317</v>
          </cell>
          <cell r="K59">
            <v>563.52766353259824</v>
          </cell>
          <cell r="M59">
            <v>718.71718434210493</v>
          </cell>
          <cell r="O59">
            <v>749.42337560591068</v>
          </cell>
          <cell r="Q59">
            <v>595.74248254457643</v>
          </cell>
        </row>
        <row r="60">
          <cell r="C60" t="str">
            <v>Peru</v>
          </cell>
          <cell r="D60">
            <v>23610.640090286699</v>
          </cell>
          <cell r="E60">
            <v>3.8111984021720821E-2</v>
          </cell>
          <cell r="F60">
            <v>3661.1046284993554</v>
          </cell>
          <cell r="G60">
            <v>3061.9811881867686</v>
          </cell>
          <cell r="I60">
            <v>3851.6434391021944</v>
          </cell>
          <cell r="K60">
            <v>3008.2295368703112</v>
          </cell>
          <cell r="M60">
            <v>3836.6639341905457</v>
          </cell>
          <cell r="O60">
            <v>4000.5800602339764</v>
          </cell>
          <cell r="Q60">
            <v>3180.1990360591617</v>
          </cell>
        </row>
        <row r="61">
          <cell r="C61" t="str">
            <v>Venezuela</v>
          </cell>
          <cell r="D61">
            <v>7636.1899996399898</v>
          </cell>
          <cell r="E61">
            <v>1.2326237244742555E-2</v>
          </cell>
          <cell r="F61">
            <v>1184.0801623706841</v>
          </cell>
          <cell r="G61">
            <v>990.31072596531442</v>
          </cell>
          <cell r="I61">
            <v>1245.704521325157</v>
          </cell>
          <cell r="K61">
            <v>972.9262831599824</v>
          </cell>
          <cell r="M61">
            <v>1240.8598265109345</v>
          </cell>
          <cell r="O61">
            <v>1293.8738353512756</v>
          </cell>
          <cell r="Q61">
            <v>1028.5449264888957</v>
          </cell>
        </row>
        <row r="62">
          <cell r="D62">
            <v>619506.97913891065</v>
          </cell>
          <cell r="F62">
            <v>96061.769610650939</v>
          </cell>
          <cell r="G62">
            <v>80341.689544204288</v>
          </cell>
          <cell r="H62">
            <v>2.0140699045584999E-2</v>
          </cell>
          <cell r="I62">
            <v>101061.21572959995</v>
          </cell>
          <cell r="K62">
            <v>78931.32866438698</v>
          </cell>
          <cell r="M62">
            <v>100668.17649807867</v>
          </cell>
          <cell r="O62">
            <v>104969.08421125391</v>
          </cell>
          <cell r="Q62">
            <v>83443.544535668872</v>
          </cell>
        </row>
        <row r="63">
          <cell r="C63" t="str">
            <v>Thailand</v>
          </cell>
          <cell r="D63">
            <v>221436.22200298301</v>
          </cell>
          <cell r="E63">
            <v>0.6078531869748216</v>
          </cell>
          <cell r="F63">
            <v>40908.015272779536</v>
          </cell>
          <cell r="G63">
            <v>34213.601063526672</v>
          </cell>
          <cell r="I63">
            <v>43037.035162984939</v>
          </cell>
          <cell r="K63">
            <v>33612.997257813513</v>
          </cell>
          <cell r="M63">
            <v>42869.65895337479</v>
          </cell>
          <cell r="O63">
            <v>44701.205458613025</v>
          </cell>
          <cell r="Q63">
            <v>35534.529585654498</v>
          </cell>
        </row>
        <row r="64">
          <cell r="C64" t="str">
            <v>Brunei Darussalam</v>
          </cell>
          <cell r="D64">
            <v>658.84999430179596</v>
          </cell>
          <cell r="E64">
            <v>1.8085752419010055E-3</v>
          </cell>
          <cell r="F64">
            <v>121.71561357746386</v>
          </cell>
          <cell r="G64">
            <v>101.79739638732099</v>
          </cell>
          <cell r="I64">
            <v>128.05019032304861</v>
          </cell>
          <cell r="K64">
            <v>100.01039058315575</v>
          </cell>
          <cell r="M64">
            <v>127.55218772098824</v>
          </cell>
          <cell r="O64">
            <v>133.00167739175868</v>
          </cell>
          <cell r="Q64">
            <v>105.72761946195995</v>
          </cell>
        </row>
        <row r="65">
          <cell r="C65" t="str">
            <v>Cambodia</v>
          </cell>
          <cell r="D65">
            <v>239.79999697208399</v>
          </cell>
          <cell r="E65">
            <v>6.5826264139418988E-4</v>
          </cell>
          <cell r="F65">
            <v>44.300529740858515</v>
          </cell>
          <cell r="G65">
            <v>37.050945672868565</v>
          </cell>
          <cell r="I65">
            <v>46.606109914719525</v>
          </cell>
          <cell r="K65">
            <v>36.400533606185554</v>
          </cell>
          <cell r="M65">
            <v>46.424853143832365</v>
          </cell>
          <cell r="O65">
            <v>48.408290372112226</v>
          </cell>
          <cell r="Q65">
            <v>38.481419209408244</v>
          </cell>
        </row>
        <row r="66">
          <cell r="C66" t="str">
            <v>Hong Kong</v>
          </cell>
          <cell r="D66">
            <v>25727.821691691901</v>
          </cell>
          <cell r="E66">
            <v>7.0624120425086534E-2</v>
          </cell>
          <cell r="F66">
            <v>4752.9447223178458</v>
          </cell>
          <cell r="G66">
            <v>3975.1465213366796</v>
          </cell>
          <cell r="I66">
            <v>5000.307342659753</v>
          </cell>
          <cell r="K66">
            <v>3905.3646785967348</v>
          </cell>
          <cell r="M66">
            <v>4980.8605455760162</v>
          </cell>
          <cell r="O66">
            <v>5193.6608791464469</v>
          </cell>
          <cell r="Q66">
            <v>4128.6201182819759</v>
          </cell>
        </row>
        <row r="67">
          <cell r="C67" t="str">
            <v>Laos</v>
          </cell>
          <cell r="D67">
            <v>172.97999846935301</v>
          </cell>
          <cell r="E67">
            <v>4.7483849932681541E-4</v>
          </cell>
          <cell r="F67">
            <v>31.956237128965956</v>
          </cell>
          <cell r="G67">
            <v>26.726741479179374</v>
          </cell>
          <cell r="I67">
            <v>33.619369989605133</v>
          </cell>
          <cell r="K67">
            <v>26.257566000781132</v>
          </cell>
          <cell r="M67">
            <v>33.488620213347751</v>
          </cell>
          <cell r="O67">
            <v>34.919374896600928</v>
          </cell>
          <cell r="Q67">
            <v>27.758615179285759</v>
          </cell>
        </row>
        <row r="68">
          <cell r="C68" t="str">
            <v>Macao</v>
          </cell>
          <cell r="D68">
            <v>900.249987602234</v>
          </cell>
          <cell r="E68">
            <v>2.47122995094583E-3</v>
          </cell>
          <cell r="F68">
            <v>166.31172582801594</v>
          </cell>
          <cell r="G68">
            <v>139.09555381076157</v>
          </cell>
          <cell r="I68">
            <v>174.96726606630858</v>
          </cell>
          <cell r="K68">
            <v>136.65379625295859</v>
          </cell>
          <cell r="M68">
            <v>174.28679730982657</v>
          </cell>
          <cell r="O68">
            <v>181.73295812181615</v>
          </cell>
          <cell r="Q68">
            <v>144.46579484410523</v>
          </cell>
        </row>
        <row r="69">
          <cell r="C69" t="str">
            <v>Malaysia</v>
          </cell>
          <cell r="D69">
            <v>14489.119872093201</v>
          </cell>
          <cell r="E69">
            <v>3.9773337943750806E-2</v>
          </cell>
          <cell r="F69">
            <v>2676.7126518656801</v>
          </cell>
          <cell r="G69">
            <v>2238.6805671690668</v>
          </cell>
          <cell r="I69">
            <v>2816.019690796471</v>
          </cell>
          <cell r="K69">
            <v>2199.3815741773237</v>
          </cell>
          <cell r="M69">
            <v>2805.0678512878226</v>
          </cell>
          <cell r="O69">
            <v>2924.9104706464236</v>
          </cell>
          <cell r="Q69">
            <v>2325.1121885472494</v>
          </cell>
        </row>
        <row r="70">
          <cell r="C70" t="str">
            <v>Philippines</v>
          </cell>
          <cell r="D70">
            <v>42036.6099570394</v>
          </cell>
          <cell r="E70">
            <v>0.11539253650949528</v>
          </cell>
          <cell r="F70">
            <v>7765.8219896620103</v>
          </cell>
          <cell r="G70">
            <v>6494.9798642872647</v>
          </cell>
          <cell r="I70">
            <v>8169.9870260133703</v>
          </cell>
          <cell r="K70">
            <v>6380.9635227370673</v>
          </cell>
          <cell r="M70">
            <v>8138.2129631440412</v>
          </cell>
          <cell r="O70">
            <v>8485.9067837956645</v>
          </cell>
          <cell r="Q70">
            <v>6745.7399096111412</v>
          </cell>
        </row>
        <row r="71">
          <cell r="C71" t="str">
            <v>Singapore</v>
          </cell>
          <cell r="D71">
            <v>38728.361491948403</v>
          </cell>
          <cell r="E71">
            <v>0.10631123375504783</v>
          </cell>
          <cell r="F71">
            <v>7154.6578471746579</v>
          </cell>
          <cell r="G71">
            <v>5983.8300073224764</v>
          </cell>
          <cell r="I71">
            <v>7527.0154099328975</v>
          </cell>
          <cell r="K71">
            <v>5878.7866630552235</v>
          </cell>
          <cell r="M71">
            <v>7497.7419410654293</v>
          </cell>
          <cell r="O71">
            <v>7818.0725288191607</v>
          </cell>
          <cell r="Q71">
            <v>6214.8554323737699</v>
          </cell>
        </row>
        <row r="72">
          <cell r="C72" t="str">
            <v>Sri Lanka</v>
          </cell>
          <cell r="D72">
            <v>1570.5099784731899</v>
          </cell>
          <cell r="E72">
            <v>4.3111261877373745E-3</v>
          </cell>
          <cell r="F72">
            <v>290.13521638103293</v>
          </cell>
          <cell r="G72">
            <v>242.65588250979889</v>
          </cell>
          <cell r="I72">
            <v>305.2350358761941</v>
          </cell>
          <cell r="K72">
            <v>238.39617169352249</v>
          </cell>
          <cell r="M72">
            <v>304.04794008412347</v>
          </cell>
          <cell r="O72">
            <v>317.03796509672327</v>
          </cell>
          <cell r="Q72">
            <v>252.02441041407127</v>
          </cell>
        </row>
        <row r="73">
          <cell r="C73" t="str">
            <v>Taiwan</v>
          </cell>
          <cell r="D73">
            <v>16060.402783125601</v>
          </cell>
          <cell r="E73">
            <v>4.4086585868912995E-2</v>
          </cell>
          <cell r="F73">
            <v>2966.9906594154345</v>
          </cell>
          <cell r="G73">
            <v>2481.455873709815</v>
          </cell>
          <cell r="I73">
            <v>3121.4049492759432</v>
          </cell>
          <cell r="K73">
            <v>2437.8950734686446</v>
          </cell>
          <cell r="M73">
            <v>3109.2654297414397</v>
          </cell>
          <cell r="O73">
            <v>3242.1044672036842</v>
          </cell>
          <cell r="Q73">
            <v>2577.2606337495072</v>
          </cell>
        </row>
        <row r="74">
          <cell r="C74" t="str">
            <v>Viet Nam</v>
          </cell>
          <cell r="D74">
            <v>2059.3099681734998</v>
          </cell>
          <cell r="E74">
            <v>5.6529059058206734E-3</v>
          </cell>
          <cell r="F74">
            <v>380.4358784096932</v>
          </cell>
          <cell r="G74">
            <v>318.1792440275774</v>
          </cell>
          <cell r="I74">
            <v>400.23531249812601</v>
          </cell>
          <cell r="K74">
            <v>312.59375583219361</v>
          </cell>
          <cell r="M74">
            <v>398.67874919620772</v>
          </cell>
          <cell r="O74">
            <v>415.71174380428778</v>
          </cell>
          <cell r="Q74">
            <v>330.46359953300089</v>
          </cell>
        </row>
        <row r="75">
          <cell r="C75" t="str">
            <v>Mongolia</v>
          </cell>
          <cell r="D75">
            <v>212.039998054504</v>
          </cell>
          <cell r="E75">
            <v>5.8206009575898984E-4</v>
          </cell>
          <cell r="F75">
            <v>39.172161629170773</v>
          </cell>
          <cell r="G75">
            <v>32.761812125073391</v>
          </cell>
          <cell r="I75">
            <v>41.210840618966188</v>
          </cell>
          <cell r="K75">
            <v>32.186693796901992</v>
          </cell>
          <cell r="M75">
            <v>41.050566699735263</v>
          </cell>
          <cell r="O75">
            <v>42.804395020569864</v>
          </cell>
          <cell r="Q75">
            <v>34.026689563500561</v>
          </cell>
        </row>
        <row r="76">
          <cell r="D76">
            <v>364292.27772092819</v>
          </cell>
          <cell r="F76">
            <v>67299.17050591037</v>
          </cell>
          <cell r="G76">
            <v>56285.961473364558</v>
          </cell>
          <cell r="H76">
            <v>1.4110216214742354E-2</v>
          </cell>
          <cell r="I76">
            <v>70801.693706950347</v>
          </cell>
          <cell r="K76">
            <v>55297.887677614213</v>
          </cell>
          <cell r="M76">
            <v>70526.337398557604</v>
          </cell>
          <cell r="O76">
            <v>73539.476992928277</v>
          </cell>
          <cell r="Q76">
            <v>58459.06601642348</v>
          </cell>
        </row>
        <row r="77">
          <cell r="C77" t="str">
            <v>Russia</v>
          </cell>
          <cell r="D77">
            <v>817091.75245641195</v>
          </cell>
          <cell r="F77">
            <v>114651.00997181633</v>
          </cell>
          <cell r="G77">
            <v>95888.883646630522</v>
          </cell>
          <cell r="H77">
            <v>2.4038194345929347E-2</v>
          </cell>
          <cell r="I77">
            <v>120617.91594450857</v>
          </cell>
          <cell r="K77">
            <v>94205.599027253018</v>
          </cell>
          <cell r="M77">
            <v>120148.81835204172</v>
          </cell>
          <cell r="O77">
            <v>125282.00937183783</v>
          </cell>
          <cell r="Q77">
            <v>99590.989166848885</v>
          </cell>
        </row>
        <row r="78">
          <cell r="C78" t="str">
            <v>Turkey</v>
          </cell>
          <cell r="D78">
            <v>260633.68061269799</v>
          </cell>
          <cell r="F78">
            <v>35229.875783424017</v>
          </cell>
          <cell r="G78">
            <v>29464.663771495903</v>
          </cell>
          <cell r="H78">
            <v>7.3864382099475051E-3</v>
          </cell>
          <cell r="I78">
            <v>37063.382145740354</v>
          </cell>
          <cell r="K78">
            <v>28947.425344521776</v>
          </cell>
          <cell r="M78">
            <v>36919.238191692566</v>
          </cell>
          <cell r="O78">
            <v>38496.561252731968</v>
          </cell>
          <cell r="Q78">
            <v>30602.243960684664</v>
          </cell>
        </row>
        <row r="79">
          <cell r="C79" t="str">
            <v>South Africa</v>
          </cell>
          <cell r="D79">
            <v>118099.70395639499</v>
          </cell>
          <cell r="E79">
            <v>0.36273173181664736</v>
          </cell>
          <cell r="F79">
            <v>16743.031541661461</v>
          </cell>
          <cell r="G79">
            <v>14003.109120320005</v>
          </cell>
          <cell r="I79">
            <v>17614.407161740808</v>
          </cell>
          <cell r="K79">
            <v>13757.291072290955</v>
          </cell>
          <cell r="M79">
            <v>17545.90261224996</v>
          </cell>
          <cell r="O79">
            <v>18295.526877879605</v>
          </cell>
          <cell r="Q79">
            <v>14543.745173249781</v>
          </cell>
        </row>
        <row r="80">
          <cell r="C80" t="str">
            <v>Israel</v>
          </cell>
          <cell r="D80">
            <v>74961.828509002895</v>
          </cell>
          <cell r="E80">
            <v>0.23023795119124663</v>
          </cell>
          <cell r="F80">
            <v>10627.361602957608</v>
          </cell>
          <cell r="G80">
            <v>8888.2412851589725</v>
          </cell>
          <cell r="I80">
            <v>11180.452826822415</v>
          </cell>
          <cell r="K80">
            <v>8732.2123558436615</v>
          </cell>
          <cell r="M80">
            <v>11136.970700119411</v>
          </cell>
          <cell r="O80">
            <v>11612.782270883925</v>
          </cell>
          <cell r="Q80">
            <v>9231.4010537936992</v>
          </cell>
        </row>
        <row r="81">
          <cell r="C81" t="str">
            <v>India</v>
          </cell>
          <cell r="D81">
            <v>41888.881353363402</v>
          </cell>
          <cell r="E81">
            <v>0.12865761698079861</v>
          </cell>
          <cell r="F81">
            <v>5938.5996598537686</v>
          </cell>
          <cell r="G81">
            <v>4966.7743175364931</v>
          </cell>
          <cell r="I81">
            <v>6247.6685968698521</v>
          </cell>
          <cell r="K81">
            <v>4879.5849114376751</v>
          </cell>
          <cell r="M81">
            <v>6223.3706617383032</v>
          </cell>
          <cell r="O81">
            <v>6489.2555104772646</v>
          </cell>
          <cell r="Q81">
            <v>5158.5329648307124</v>
          </cell>
        </row>
        <row r="82">
          <cell r="C82" t="str">
            <v>Indonesia</v>
          </cell>
          <cell r="D82">
            <v>26473.449858903899</v>
          </cell>
          <cell r="E82">
            <v>8.1310621388407042E-2</v>
          </cell>
          <cell r="F82">
            <v>3753.1491710417604</v>
          </cell>
          <cell r="G82">
            <v>3138.9630519516463</v>
          </cell>
          <cell r="I82">
            <v>3948.478354889327</v>
          </cell>
          <cell r="K82">
            <v>3083.8600199295383</v>
          </cell>
          <cell r="M82">
            <v>3933.1222473353037</v>
          </cell>
          <cell r="O82">
            <v>4101.159420540168</v>
          </cell>
          <cell r="Q82">
            <v>3260.1530376982373</v>
          </cell>
        </row>
        <row r="83">
          <cell r="C83" t="str">
            <v>Nigeria</v>
          </cell>
          <cell r="D83">
            <v>17110.009949684099</v>
          </cell>
          <cell r="E83">
            <v>5.255172817994954E-2</v>
          </cell>
          <cell r="F83">
            <v>2425.6914003059196</v>
          </cell>
          <cell r="G83">
            <v>2028.7378236244399</v>
          </cell>
          <cell r="I83">
            <v>2551.9342699322024</v>
          </cell>
          <cell r="K83">
            <v>1993.1242775554176</v>
          </cell>
          <cell r="M83">
            <v>2542.0094904101488</v>
          </cell>
          <cell r="O83">
            <v>2650.613307471227</v>
          </cell>
          <cell r="Q83">
            <v>2107.0639153494608</v>
          </cell>
        </row>
        <row r="84">
          <cell r="C84" t="str">
            <v>Ukraine</v>
          </cell>
          <cell r="D84">
            <v>12521.019930422301</v>
          </cell>
          <cell r="E84">
            <v>3.845709253555589E-2</v>
          </cell>
          <cell r="F84">
            <v>1775.1088665407324</v>
          </cell>
          <cell r="G84">
            <v>1484.6202192694905</v>
          </cell>
          <cell r="I84">
            <v>1867.4927687893442</v>
          </cell>
          <cell r="K84">
            <v>1458.5584039090925</v>
          </cell>
          <cell r="M84">
            <v>1860.2298646434017</v>
          </cell>
          <cell r="O84">
            <v>1939.7055962146042</v>
          </cell>
          <cell r="Q84">
            <v>1541.9388624757255</v>
          </cell>
        </row>
        <row r="85">
          <cell r="C85" t="str">
            <v>Kazakhstan</v>
          </cell>
          <cell r="D85">
            <v>10670.7001059055</v>
          </cell>
          <cell r="E85">
            <v>3.2774015509304713E-2</v>
          </cell>
          <cell r="F85">
            <v>1512.7884529731864</v>
          </cell>
          <cell r="G85">
            <v>1265.2273711742343</v>
          </cell>
          <cell r="I85">
            <v>1591.520131461536</v>
          </cell>
          <cell r="K85">
            <v>1243.0168949133831</v>
          </cell>
          <cell r="M85">
            <v>1585.3305181177391</v>
          </cell>
          <cell r="O85">
            <v>1653.0615577619787</v>
          </cell>
          <cell r="Q85">
            <v>1314.0756323805801</v>
          </cell>
        </row>
        <row r="86">
          <cell r="C86" t="str">
            <v>Kenya</v>
          </cell>
          <cell r="D86">
            <v>3938.3499970436101</v>
          </cell>
          <cell r="E86">
            <v>1.2096258221402267E-2</v>
          </cell>
          <cell r="F86">
            <v>558.34109666312077</v>
          </cell>
          <cell r="G86">
            <v>466.97106694675472</v>
          </cell>
          <cell r="I86">
            <v>587.39944360047184</v>
          </cell>
          <cell r="K86">
            <v>458.77360771276778</v>
          </cell>
          <cell r="M86">
            <v>585.1149764659533</v>
          </cell>
          <cell r="O86">
            <v>610.11319936934319</v>
          </cell>
          <cell r="Q86">
            <v>485.00001982409475</v>
          </cell>
        </row>
        <row r="87">
          <cell r="C87" t="str">
            <v>Azerbaijan</v>
          </cell>
          <cell r="D87">
            <v>3812.6400744914999</v>
          </cell>
          <cell r="E87">
            <v>1.1710152444789146E-2</v>
          </cell>
          <cell r="F87">
            <v>540.51916207836587</v>
          </cell>
          <cell r="G87">
            <v>452.06561245337065</v>
          </cell>
          <cell r="I87">
            <v>568.64998288276047</v>
          </cell>
          <cell r="K87">
            <v>444.12981151948458</v>
          </cell>
          <cell r="M87">
            <v>566.43843465762495</v>
          </cell>
          <cell r="O87">
            <v>590.63872830955563</v>
          </cell>
          <cell r="Q87">
            <v>469.51909126883015</v>
          </cell>
        </row>
        <row r="88">
          <cell r="C88" t="str">
            <v>Trinidad and Tobago</v>
          </cell>
          <cell r="D88">
            <v>2116.4500026702899</v>
          </cell>
          <cell r="E88">
            <v>6.5004699339076683E-3</v>
          </cell>
          <cell r="F88">
            <v>300.04977120130479</v>
          </cell>
          <cell r="G88">
            <v>250.94796466243659</v>
          </cell>
          <cell r="I88">
            <v>315.66558454936097</v>
          </cell>
          <cell r="K88">
            <v>246.54269021230266</v>
          </cell>
          <cell r="M88">
            <v>314.43792309809805</v>
          </cell>
          <cell r="O88">
            <v>327.87184567236091</v>
          </cell>
          <cell r="Q88">
            <v>260.63663565258025</v>
          </cell>
        </row>
        <row r="89">
          <cell r="C89" t="str">
            <v>Namibia</v>
          </cell>
          <cell r="D89">
            <v>1848.6999946236599</v>
          </cell>
          <cell r="E89">
            <v>5.6781018765877725E-3</v>
          </cell>
          <cell r="F89">
            <v>262.09076978280808</v>
          </cell>
          <cell r="G89">
            <v>219.20078449145279</v>
          </cell>
          <cell r="I89">
            <v>275.73104194429175</v>
          </cell>
          <cell r="K89">
            <v>215.35281697887129</v>
          </cell>
          <cell r="M89">
            <v>274.65869073567075</v>
          </cell>
          <cell r="O89">
            <v>286.39310097899329</v>
          </cell>
          <cell r="Q89">
            <v>227.66375124464349</v>
          </cell>
        </row>
        <row r="90">
          <cell r="C90" t="str">
            <v>Belarus</v>
          </cell>
          <cell r="D90">
            <v>1646.16002514958</v>
          </cell>
          <cell r="E90">
            <v>5.0560200979869576E-3</v>
          </cell>
          <cell r="F90">
            <v>233.37661569310987</v>
          </cell>
          <cell r="G90">
            <v>195.18557362505632</v>
          </cell>
          <cell r="I90">
            <v>245.52248621276982</v>
          </cell>
          <cell r="K90">
            <v>191.7591819359194</v>
          </cell>
          <cell r="M90">
            <v>244.56761971323695</v>
          </cell>
          <cell r="O90">
            <v>255.01643083318055</v>
          </cell>
          <cell r="Q90">
            <v>202.7213542296906</v>
          </cell>
        </row>
        <row r="91">
          <cell r="C91" t="str">
            <v>Mozambique</v>
          </cell>
          <cell r="D91">
            <v>1090.43000340462</v>
          </cell>
          <cell r="E91">
            <v>3.3491494924138862E-3</v>
          </cell>
          <cell r="F91">
            <v>154.59059870055637</v>
          </cell>
          <cell r="G91">
            <v>129.29253684991124</v>
          </cell>
          <cell r="I91">
            <v>162.6361236979827</v>
          </cell>
          <cell r="K91">
            <v>127.02286668165915</v>
          </cell>
          <cell r="M91">
            <v>162.00361223832556</v>
          </cell>
          <cell r="O91">
            <v>168.92499106603645</v>
          </cell>
          <cell r="Q91">
            <v>134.28430019298062</v>
          </cell>
        </row>
        <row r="92">
          <cell r="C92" t="str">
            <v>Botswana</v>
          </cell>
          <cell r="D92">
            <v>1089.37000000477</v>
          </cell>
          <cell r="E92">
            <v>3.3458937952691994E-3</v>
          </cell>
          <cell r="F92">
            <v>154.44032169084844</v>
          </cell>
          <cell r="G92">
            <v>129.16685200245817</v>
          </cell>
          <cell r="I92">
            <v>162.47802566003432</v>
          </cell>
          <cell r="K92">
            <v>126.89938817306999</v>
          </cell>
          <cell r="M92">
            <v>161.84612906267517</v>
          </cell>
          <cell r="O92">
            <v>168.76077964091922</v>
          </cell>
          <cell r="Q92">
            <v>134.15376286889136</v>
          </cell>
        </row>
        <row r="93">
          <cell r="C93" t="str">
            <v>Ghana</v>
          </cell>
          <cell r="D93">
            <v>957.34999561309803</v>
          </cell>
          <cell r="E93">
            <v>2.9404072172070413E-3</v>
          </cell>
          <cell r="F93">
            <v>135.72380485287076</v>
          </cell>
          <cell r="G93">
            <v>113.51320965087122</v>
          </cell>
          <cell r="I93">
            <v>142.7874249815743</v>
          </cell>
          <cell r="K93">
            <v>111.52053821039816</v>
          </cell>
          <cell r="M93">
            <v>142.2321075001795</v>
          </cell>
          <cell r="O93">
            <v>148.30877630941703</v>
          </cell>
          <cell r="Q93">
            <v>117.89576020401829</v>
          </cell>
        </row>
        <row r="94">
          <cell r="C94" t="str">
            <v>Bermuda</v>
          </cell>
          <cell r="D94">
            <v>786.47000175714504</v>
          </cell>
          <cell r="E94">
            <v>2.4155659684341095E-3</v>
          </cell>
          <cell r="F94">
            <v>111.49809529456822</v>
          </cell>
          <cell r="G94">
            <v>93.251929391201685</v>
          </cell>
          <cell r="I94">
            <v>117.30091073352959</v>
          </cell>
          <cell r="K94">
            <v>91.614935273615018</v>
          </cell>
          <cell r="M94">
            <v>116.84471337355711</v>
          </cell>
          <cell r="O94">
            <v>121.83674110738295</v>
          </cell>
          <cell r="Q94">
            <v>96.852226625262901</v>
          </cell>
        </row>
        <row r="95">
          <cell r="C95" t="str">
            <v>Mauritius</v>
          </cell>
          <cell r="D95">
            <v>698.27000445127499</v>
          </cell>
          <cell r="E95">
            <v>2.1446682718505991E-3</v>
          </cell>
          <cell r="F95">
            <v>98.993954408559873</v>
          </cell>
          <cell r="G95">
            <v>82.794035380374638</v>
          </cell>
          <cell r="I95">
            <v>104.14600337843869</v>
          </cell>
          <cell r="K95">
            <v>81.340624713445067</v>
          </cell>
          <cell r="M95">
            <v>103.7409670364715</v>
          </cell>
          <cell r="O95">
            <v>108.17315544814831</v>
          </cell>
          <cell r="Q95">
            <v>85.990571243201018</v>
          </cell>
        </row>
        <row r="96">
          <cell r="C96" t="str">
            <v>Cayman Islands</v>
          </cell>
          <cell r="D96">
            <v>639.88999843597401</v>
          </cell>
          <cell r="E96">
            <v>1.9653597725404304E-3</v>
          </cell>
          <cell r="F96">
            <v>90.717402906978919</v>
          </cell>
          <cell r="G96">
            <v>75.871904610436076</v>
          </cell>
          <cell r="I96">
            <v>95.438706394543885</v>
          </cell>
          <cell r="K96">
            <v>74.540008719935628</v>
          </cell>
          <cell r="M96">
            <v>95.0675337785419</v>
          </cell>
          <cell r="O96">
            <v>99.129161827486271</v>
          </cell>
          <cell r="Q96">
            <v>78.801188863268735</v>
          </cell>
        </row>
        <row r="97">
          <cell r="C97" t="str">
            <v>Armenia</v>
          </cell>
          <cell r="D97">
            <v>616.56001031398796</v>
          </cell>
          <cell r="E97">
            <v>1.8937039875447765E-3</v>
          </cell>
          <cell r="F97">
            <v>87.409903278214188</v>
          </cell>
          <cell r="G97">
            <v>73.105662541204794</v>
          </cell>
          <cell r="I97">
            <v>91.95907100095333</v>
          </cell>
          <cell r="K97">
            <v>71.822326739752526</v>
          </cell>
          <cell r="M97">
            <v>91.601431105799776</v>
          </cell>
          <cell r="O97">
            <v>95.514974742783636</v>
          </cell>
          <cell r="Q97">
            <v>75.928146926885987</v>
          </cell>
        </row>
        <row r="98">
          <cell r="C98" t="str">
            <v>Bahamas</v>
          </cell>
          <cell r="D98">
            <v>612.44000363349903</v>
          </cell>
          <cell r="E98">
            <v>1.8810497885227222E-3</v>
          </cell>
          <cell r="F98">
            <v>86.825808657377962</v>
          </cell>
          <cell r="G98">
            <v>72.617152399429713</v>
          </cell>
          <cell r="I98">
            <v>91.344577714788784</v>
          </cell>
          <cell r="K98">
            <v>71.342392165621874</v>
          </cell>
          <cell r="M98">
            <v>90.989327657984447</v>
          </cell>
          <cell r="O98">
            <v>94.876720027193841</v>
          </cell>
          <cell r="Q98">
            <v>75.420776245455315</v>
          </cell>
        </row>
        <row r="99">
          <cell r="C99" t="str">
            <v>Barbados</v>
          </cell>
          <cell r="D99">
            <v>564.07000488042797</v>
          </cell>
          <cell r="E99">
            <v>1.7324860510374135E-3</v>
          </cell>
          <cell r="F99">
            <v>79.968378980062155</v>
          </cell>
          <cell r="G99">
            <v>66.881910497899781</v>
          </cell>
          <cell r="I99">
            <v>84.130259440425718</v>
          </cell>
          <cell r="K99">
            <v>65.707829760130622</v>
          </cell>
          <cell r="M99">
            <v>83.803066735692937</v>
          </cell>
          <cell r="O99">
            <v>87.383436110101556</v>
          </cell>
          <cell r="Q99">
            <v>69.464106479756182</v>
          </cell>
        </row>
        <row r="100">
          <cell r="C100" t="str">
            <v>Moldova</v>
          </cell>
          <cell r="D100">
            <v>541.86000418663002</v>
          </cell>
          <cell r="E100">
            <v>1.6642701982840075E-3</v>
          </cell>
          <cell r="F100">
            <v>76.819660315247518</v>
          </cell>
          <cell r="G100">
            <v>64.248465596188026</v>
          </cell>
          <cell r="I100">
            <v>80.817668619473707</v>
          </cell>
          <cell r="K100">
            <v>63.120613755142337</v>
          </cell>
          <cell r="M100">
            <v>80.503358979141183</v>
          </cell>
          <cell r="O100">
            <v>83.942752932765757</v>
          </cell>
          <cell r="Q100">
            <v>66.728988782022043</v>
          </cell>
        </row>
        <row r="101">
          <cell r="C101" t="str">
            <v>Papua New Guinea</v>
          </cell>
          <cell r="D101">
            <v>452.98000097274797</v>
          </cell>
          <cell r="E101">
            <v>1.391283929821013E-3</v>
          </cell>
          <cell r="F101">
            <v>64.219114781429369</v>
          </cell>
          <cell r="G101">
            <v>53.70994312810533</v>
          </cell>
          <cell r="I101">
            <v>67.561339325674709</v>
          </cell>
          <cell r="K101">
            <v>52.767090132669956</v>
          </cell>
          <cell r="M101">
            <v>67.298585145474064</v>
          </cell>
          <cell r="O101">
            <v>70.173823517786033</v>
          </cell>
          <cell r="Q101">
            <v>55.783592016103</v>
          </cell>
        </row>
        <row r="102">
          <cell r="C102" t="str">
            <v>Zimbabwe</v>
          </cell>
          <cell r="D102">
            <v>353.05000030994398</v>
          </cell>
          <cell r="E102">
            <v>1.0843586710223875E-3</v>
          </cell>
          <cell r="F102">
            <v>50.05200769305484</v>
          </cell>
          <cell r="G102">
            <v>41.861219915458179</v>
          </cell>
          <cell r="I102">
            <v>52.656918227400276</v>
          </cell>
          <cell r="K102">
            <v>41.126365728483343</v>
          </cell>
          <cell r="M102">
            <v>52.452129134720536</v>
          </cell>
          <cell r="O102">
            <v>54.693073339886396</v>
          </cell>
          <cell r="Q102">
            <v>43.477409899515195</v>
          </cell>
        </row>
        <row r="103">
          <cell r="C103" t="str">
            <v>Uganda</v>
          </cell>
          <cell r="D103">
            <v>351.33999824523897</v>
          </cell>
          <cell r="E103">
            <v>1.0791065663213501E-3</v>
          </cell>
          <cell r="F103">
            <v>49.809580171676508</v>
          </cell>
          <cell r="G103">
            <v>41.658464576487319</v>
          </cell>
          <cell r="I103">
            <v>52.401873789471338</v>
          </cell>
          <cell r="K103">
            <v>40.927169664900894</v>
          </cell>
          <cell r="M103">
            <v>52.198076595307406</v>
          </cell>
          <cell r="O103">
            <v>54.428166759361922</v>
          </cell>
          <cell r="Q103">
            <v>43.266826524268261</v>
          </cell>
        </row>
        <row r="104">
          <cell r="C104" t="str">
            <v>Burkina Faso</v>
          </cell>
          <cell r="D104">
            <v>318.84999841451599</v>
          </cell>
          <cell r="E104">
            <v>9.7931669801082453E-4</v>
          </cell>
          <cell r="F104">
            <v>45.203462851050375</v>
          </cell>
          <cell r="G104">
            <v>37.806117807550677</v>
          </cell>
          <cell r="I104">
            <v>47.556035345079081</v>
          </cell>
          <cell r="K104">
            <v>37.142449046338022</v>
          </cell>
          <cell r="M104">
            <v>47.371084199861912</v>
          </cell>
          <cell r="O104">
            <v>49.394947832879531</v>
          </cell>
          <cell r="Q104">
            <v>39.265747246445265</v>
          </cell>
        </row>
        <row r="105">
          <cell r="C105" t="str">
            <v>Virgin Islands, British</v>
          </cell>
          <cell r="D105">
            <v>248.88000035285901</v>
          </cell>
          <cell r="E105">
            <v>7.6441066758179581E-4</v>
          </cell>
          <cell r="F105">
            <v>35.283794593889787</v>
          </cell>
          <cell r="G105">
            <v>29.509759009160081</v>
          </cell>
          <cell r="I105">
            <v>37.120107110921097</v>
          </cell>
          <cell r="K105">
            <v>28.991728956326099</v>
          </cell>
          <cell r="M105">
            <v>36.975742546656406</v>
          </cell>
          <cell r="O105">
            <v>38.555479677608922</v>
          </cell>
          <cell r="Q105">
            <v>30.649080248217643</v>
          </cell>
        </row>
        <row r="106">
          <cell r="C106" t="str">
            <v>Uzbekistan</v>
          </cell>
          <cell r="D106">
            <v>203.340003490448</v>
          </cell>
          <cell r="E106">
            <v>6.2453900511830532E-4</v>
          </cell>
          <cell r="F106">
            <v>28.827575159537645</v>
          </cell>
          <cell r="G106">
            <v>24.110071084126623</v>
          </cell>
          <cell r="I106">
            <v>30.327879696235268</v>
          </cell>
          <cell r="K106">
            <v>23.686830033812921</v>
          </cell>
          <cell r="M106">
            <v>30.209930921886745</v>
          </cell>
          <cell r="O106">
            <v>31.500608169019692</v>
          </cell>
          <cell r="Q106">
            <v>25.040919623174549</v>
          </cell>
        </row>
        <row r="107">
          <cell r="C107" t="str">
            <v>Antigua and Barbuda</v>
          </cell>
          <cell r="D107">
            <v>182.39000070095099</v>
          </cell>
          <cell r="E107">
            <v>5.6019311314042504E-4</v>
          </cell>
          <cell r="F107">
            <v>25.857486787157356</v>
          </cell>
          <cell r="G107">
            <v>21.626024424359791</v>
          </cell>
          <cell r="I107">
            <v>27.203215816382897</v>
          </cell>
          <cell r="K107">
            <v>21.246389654327864</v>
          </cell>
          <cell r="M107">
            <v>27.09741923594213</v>
          </cell>
          <cell r="O107">
            <v>28.255118753835266</v>
          </cell>
          <cell r="Q107">
            <v>22.460968177556914</v>
          </cell>
        </row>
        <row r="108">
          <cell r="C108" t="str">
            <v>Saint Kitts and Nevis</v>
          </cell>
          <cell r="D108">
            <v>152.070000588894</v>
          </cell>
          <cell r="E108">
            <v>4.6706818749803653E-4</v>
          </cell>
          <cell r="F108">
            <v>21.559010997524684</v>
          </cell>
          <cell r="G108">
            <v>18.030975022254506</v>
          </cell>
          <cell r="I108">
            <v>22.681029822462126</v>
          </cell>
          <cell r="K108">
            <v>17.71444966735319</v>
          </cell>
          <cell r="M108">
            <v>22.592820567634007</v>
          </cell>
          <cell r="O108">
            <v>23.558067377717787</v>
          </cell>
          <cell r="Q108">
            <v>18.727120077095321</v>
          </cell>
        </row>
        <row r="109">
          <cell r="C109" t="str">
            <v>Fiji</v>
          </cell>
          <cell r="D109">
            <v>112.240000247955</v>
          </cell>
          <cell r="E109">
            <v>3.4473422290773721E-4</v>
          </cell>
          <cell r="F109">
            <v>15.912299535327005</v>
          </cell>
          <cell r="G109">
            <v>13.308322700937232</v>
          </cell>
          <cell r="I109">
            <v>16.740440475035701</v>
          </cell>
          <cell r="K109">
            <v>13.074701304376244</v>
          </cell>
          <cell r="M109">
            <v>16.675334887178533</v>
          </cell>
          <cell r="O109">
            <v>17.387765358564046</v>
          </cell>
          <cell r="Q109">
            <v>13.822134240526665</v>
          </cell>
        </row>
        <row r="110">
          <cell r="C110" t="str">
            <v>Kyrgyzstan</v>
          </cell>
          <cell r="D110">
            <v>90.000000834464998</v>
          </cell>
          <cell r="E110">
            <v>2.7642623201019E-4</v>
          </cell>
          <cell r="F110">
            <v>12.759327942747221</v>
          </cell>
          <cell r="G110">
            <v>10.671320844116831</v>
          </cell>
          <cell r="I110">
            <v>13.423375386619135</v>
          </cell>
          <cell r="K110">
            <v>10.483990784966897</v>
          </cell>
          <cell r="M110">
            <v>13.371170264126896</v>
          </cell>
          <cell r="O110">
            <v>13.942434901311024</v>
          </cell>
          <cell r="Q110">
            <v>11.08332225974093</v>
          </cell>
        </row>
        <row r="111">
          <cell r="C111" t="str">
            <v>Dominica</v>
          </cell>
          <cell r="D111">
            <v>83.569999575614801</v>
          </cell>
          <cell r="E111">
            <v>2.5667710975102567E-4</v>
          </cell>
          <cell r="F111">
            <v>11.847744676377634</v>
          </cell>
          <cell r="G111">
            <v>9.9089141127272313</v>
          </cell>
          <cell r="I111">
            <v>12.464349610689062</v>
          </cell>
          <cell r="K111">
            <v>9.7349677480771462</v>
          </cell>
          <cell r="M111">
            <v>12.415874254866058</v>
          </cell>
          <cell r="O111">
            <v>12.946325199803821</v>
          </cell>
          <cell r="Q111">
            <v>10.291480310611904</v>
          </cell>
        </row>
        <row r="112">
          <cell r="C112" t="str">
            <v>Turkmenistan</v>
          </cell>
          <cell r="D112">
            <v>79.800001263618498</v>
          </cell>
          <cell r="E112">
            <v>2.450979273242758E-4</v>
          </cell>
          <cell r="F112">
            <v>11.313270850151364</v>
          </cell>
          <cell r="G112">
            <v>9.4619045438819267</v>
          </cell>
          <cell r="I112">
            <v>11.902059587582004</v>
          </cell>
          <cell r="K112">
            <v>9.2958052236788795</v>
          </cell>
          <cell r="M112">
            <v>11.855771045335093</v>
          </cell>
          <cell r="O112">
            <v>12.36229236029598</v>
          </cell>
          <cell r="Q112">
            <v>9.8272124681328048</v>
          </cell>
        </row>
        <row r="113">
          <cell r="C113" t="str">
            <v>Niger</v>
          </cell>
          <cell r="D113">
            <v>70.149999499320998</v>
          </cell>
          <cell r="E113">
            <v>2.1545888730356799E-4</v>
          </cell>
          <cell r="F113">
            <v>9.9451871166275509</v>
          </cell>
          <cell r="G113">
            <v>8.3177016103450949</v>
          </cell>
          <cell r="I113">
            <v>10.462775199107893</v>
          </cell>
          <cell r="K113">
            <v>8.1716882388591792</v>
          </cell>
          <cell r="M113">
            <v>10.422084207077479</v>
          </cell>
          <cell r="O113">
            <v>10.867353247531756</v>
          </cell>
          <cell r="Q113">
            <v>8.638833819587056</v>
          </cell>
        </row>
        <row r="114">
          <cell r="C114" t="str">
            <v>Cape Verde</v>
          </cell>
          <cell r="D114">
            <v>47.5799995660782</v>
          </cell>
          <cell r="E114">
            <v>1.4613733196834427E-4</v>
          </cell>
          <cell r="F114">
            <v>6.7454312483392895</v>
          </cell>
          <cell r="G114">
            <v>5.6415715158318456</v>
          </cell>
          <cell r="I114">
            <v>7.0964909905429989</v>
          </cell>
          <cell r="K114">
            <v>5.5425363597160029</v>
          </cell>
          <cell r="M114">
            <v>7.0688918829596954</v>
          </cell>
          <cell r="O114">
            <v>7.3709004489299295</v>
          </cell>
          <cell r="Q114">
            <v>5.8593829268858704</v>
          </cell>
        </row>
        <row r="115">
          <cell r="C115" t="str">
            <v>Grenada</v>
          </cell>
          <cell r="D115">
            <v>46.360000371932998</v>
          </cell>
          <cell r="E115">
            <v>1.423902233331643E-4</v>
          </cell>
          <cell r="F115">
            <v>6.5724715854097644</v>
          </cell>
          <cell r="G115">
            <v>5.4969159301698731</v>
          </cell>
          <cell r="I115">
            <v>6.9145298016258456</v>
          </cell>
          <cell r="K115">
            <v>5.4004201353771766</v>
          </cell>
          <cell r="M115">
            <v>6.8876383630067677</v>
          </cell>
          <cell r="O115">
            <v>7.1819031246375982</v>
          </cell>
          <cell r="Q115">
            <v>5.7091424368862578</v>
          </cell>
        </row>
        <row r="116">
          <cell r="C116" t="str">
            <v>Anguilla</v>
          </cell>
          <cell r="D116">
            <v>42.090000510215802</v>
          </cell>
          <cell r="E116">
            <v>1.2927533487189097E-4</v>
          </cell>
          <cell r="F116">
            <v>5.9671123848988321</v>
          </cell>
          <cell r="G116">
            <v>4.9906210623228375</v>
          </cell>
          <cell r="I116">
            <v>6.2776652403680639</v>
          </cell>
          <cell r="K116">
            <v>4.9030130377440191</v>
          </cell>
          <cell r="M116">
            <v>6.253250644679607</v>
          </cell>
          <cell r="O116">
            <v>6.5204120740975107</v>
          </cell>
          <cell r="Q116">
            <v>5.1833003915788796</v>
          </cell>
        </row>
        <row r="117">
          <cell r="C117" t="str">
            <v>Tajikistan</v>
          </cell>
          <cell r="D117">
            <v>41.580000996589703</v>
          </cell>
          <cell r="E117">
            <v>1.2770892106554014E-4</v>
          </cell>
          <cell r="F117">
            <v>5.8948095961803562</v>
          </cell>
          <cell r="G117">
            <v>4.9301503024363162</v>
          </cell>
          <cell r="I117">
            <v>6.201599519757818</v>
          </cell>
          <cell r="K117">
            <v>4.8436038138371451</v>
          </cell>
          <cell r="M117">
            <v>6.1774807528119497</v>
          </cell>
          <cell r="O117">
            <v>6.4414050190696939</v>
          </cell>
          <cell r="Q117">
            <v>5.1204949592519879</v>
          </cell>
        </row>
        <row r="118">
          <cell r="C118" t="str">
            <v>Swaziland</v>
          </cell>
          <cell r="D118">
            <v>15.8599998950958</v>
          </cell>
          <cell r="E118">
            <v>4.8712444111494566E-5</v>
          </cell>
          <cell r="F118">
            <v>2.2484770884132046</v>
          </cell>
          <cell r="G118">
            <v>1.8805238433221692</v>
          </cell>
          <cell r="I118">
            <v>2.365497002774295</v>
          </cell>
          <cell r="K118">
            <v>1.8475121245341792</v>
          </cell>
          <cell r="M118">
            <v>2.3562973002234777</v>
          </cell>
          <cell r="O118">
            <v>2.4569668224657781</v>
          </cell>
          <cell r="Q118">
            <v>1.9531276471887491</v>
          </cell>
        </row>
        <row r="119">
          <cell r="C119" t="str">
            <v>Nepal</v>
          </cell>
          <cell r="D119">
            <v>6.2000000476837203</v>
          </cell>
          <cell r="E119">
            <v>1.90426959528194E-5</v>
          </cell>
          <cell r="F119">
            <v>0.87897592355522625</v>
          </cell>
          <cell r="G119">
            <v>0.73513543476586496</v>
          </cell>
          <cell r="I119">
            <v>0.92472141406074959</v>
          </cell>
          <cell r="K119">
            <v>0.72223047515593775</v>
          </cell>
          <cell r="M119">
            <v>0.92112506118363635</v>
          </cell>
          <cell r="O119">
            <v>0.96047884723855048</v>
          </cell>
          <cell r="Q119">
            <v>0.76351775446398851</v>
          </cell>
        </row>
        <row r="120">
          <cell r="C120" t="str">
            <v>Gambia</v>
          </cell>
          <cell r="D120">
            <v>1.2200000286102299</v>
          </cell>
          <cell r="E120">
            <v>3.7471111981579634E-6</v>
          </cell>
          <cell r="F120">
            <v>0.17295978123188926</v>
          </cell>
          <cell r="G120">
            <v>0.14465568460468189</v>
          </cell>
          <cell r="I120">
            <v>0.18196131337645391</v>
          </cell>
          <cell r="K120">
            <v>0.1421163215446434</v>
          </cell>
          <cell r="M120">
            <v>0.18125364392819163</v>
          </cell>
          <cell r="O120">
            <v>0.1889974535642662</v>
          </cell>
          <cell r="Q120">
            <v>0.15024059276233129</v>
          </cell>
        </row>
        <row r="121">
          <cell r="D121">
            <v>325584.1537902499</v>
          </cell>
          <cell r="F121">
            <v>46158.166140603003</v>
          </cell>
          <cell r="G121">
            <v>38604.588162687287</v>
          </cell>
          <cell r="H121">
            <v>9.6777077551454989E-3</v>
          </cell>
          <cell r="I121">
            <v>48560.425285992045</v>
          </cell>
          <cell r="K121">
            <v>37926.902626883915</v>
          </cell>
          <cell r="M121">
            <v>48371.567947408075</v>
          </cell>
          <cell r="O121">
            <v>50438.17585589004</v>
          </cell>
          <cell r="Q121">
            <v>40095.045174049767</v>
          </cell>
        </row>
        <row r="122">
          <cell r="I122"/>
        </row>
        <row r="123">
          <cell r="F123">
            <v>0.56000000000000005</v>
          </cell>
          <cell r="G123">
            <v>3989021.8985132901</v>
          </cell>
          <cell r="H123" t="str">
            <v>ORCH Oct Plan</v>
          </cell>
          <cell r="I123">
            <v>5017761.0767563386</v>
          </cell>
          <cell r="J123" t="str">
            <v>ORCH Nov Plan</v>
          </cell>
          <cell r="K123">
            <v>3918996.4800000004</v>
          </cell>
          <cell r="L123" t="str">
            <v>ORCH Nov Plan</v>
          </cell>
          <cell r="M123">
            <v>4998246.4000000004</v>
          </cell>
          <cell r="N123" t="str">
            <v>ORCH Nov Plan</v>
          </cell>
          <cell r="O123">
            <v>5211789.5200000005</v>
          </cell>
          <cell r="P123">
            <v>5211789.5200000014</v>
          </cell>
          <cell r="Q123">
            <v>4143031.2</v>
          </cell>
        </row>
        <row r="124">
          <cell r="F124">
            <v>0.41</v>
          </cell>
          <cell r="G124">
            <v>2920000</v>
          </cell>
          <cell r="H124" t="str">
            <v>IODA Oct Plan</v>
          </cell>
          <cell r="I124">
            <v>3673717.9311966044</v>
          </cell>
          <cell r="J124" t="str">
            <v>IODA Nov Plan</v>
          </cell>
          <cell r="K124">
            <v>2869265.28</v>
          </cell>
          <cell r="L124" t="str">
            <v>IODA Nov Plan</v>
          </cell>
          <cell r="M124">
            <v>3659430.4</v>
          </cell>
          <cell r="N124" t="str">
            <v>IODA Nov Plan</v>
          </cell>
          <cell r="O124">
            <v>3815774.4699999997</v>
          </cell>
          <cell r="Q124">
            <v>3033290.6999999997</v>
          </cell>
        </row>
        <row r="125">
          <cell r="F125">
            <v>0.03</v>
          </cell>
          <cell r="G125">
            <v>230942.7173019374</v>
          </cell>
          <cell r="H125" t="str">
            <v>IRIS Oct Plan</v>
          </cell>
          <cell r="I125">
            <v>268808.62911194668</v>
          </cell>
          <cell r="J125" t="str">
            <v>IRIS Nov Plan</v>
          </cell>
          <cell r="K125">
            <v>209946.23999999999</v>
          </cell>
          <cell r="L125" t="str">
            <v>IRIS Nov Plan</v>
          </cell>
          <cell r="M125">
            <v>267763.20000000001</v>
          </cell>
          <cell r="N125" t="str">
            <v>IRIS Nov Plan</v>
          </cell>
          <cell r="O125">
            <v>279203.01</v>
          </cell>
          <cell r="Q125">
            <v>221948.1</v>
          </cell>
        </row>
        <row r="126">
          <cell r="G126">
            <v>7139964.6158152279</v>
          </cell>
          <cell r="I126">
            <v>8960287.6370648891</v>
          </cell>
          <cell r="K126">
            <v>6998208</v>
          </cell>
          <cell r="M126">
            <v>8925440</v>
          </cell>
          <cell r="O126">
            <v>9306767</v>
          </cell>
          <cell r="Q126">
            <v>7398270</v>
          </cell>
        </row>
        <row r="128">
          <cell r="I128"/>
          <cell r="Q128"/>
        </row>
      </sheetData>
      <sheetData sheetId="1">
        <row r="1">
          <cell r="D1" t="str">
            <v>Country</v>
          </cell>
          <cell r="E1" t="str">
            <v>royaltyDollar</v>
          </cell>
          <cell r="F1" t="str">
            <v>% of Total</v>
          </cell>
          <cell r="G1" t="str">
            <v>July Plan</v>
          </cell>
          <cell r="H1" t="str">
            <v>Aug Plan</v>
          </cell>
          <cell r="J1" t="str">
            <v>Sep Plan</v>
          </cell>
          <cell r="K1" t="str">
            <v>Nov Plan</v>
          </cell>
          <cell r="L1" t="str">
            <v>Dec Plan</v>
          </cell>
          <cell r="M1" t="str">
            <v>Jan Plan</v>
          </cell>
          <cell r="N1" t="str">
            <v>Feb Plan</v>
          </cell>
        </row>
        <row r="2">
          <cell r="D2" t="str">
            <v>United States</v>
          </cell>
          <cell r="E2">
            <v>10667227.291823201</v>
          </cell>
          <cell r="F2">
            <v>0.8507445350941939</v>
          </cell>
          <cell r="G2">
            <v>1676668.939786871</v>
          </cell>
          <cell r="H2">
            <v>1379119.240613424</v>
          </cell>
          <cell r="J2">
            <v>1735101.0559930752</v>
          </cell>
          <cell r="K2">
            <v>1355157.1760520763</v>
          </cell>
          <cell r="L2">
            <v>1728353.0391526294</v>
          </cell>
          <cell r="M2">
            <v>1802194.5169241403</v>
          </cell>
          <cell r="N2">
            <v>1432626.5639533426</v>
          </cell>
        </row>
        <row r="3">
          <cell r="D3" t="str">
            <v>Canada</v>
          </cell>
          <cell r="E3">
            <v>1502664.0604586599</v>
          </cell>
          <cell r="F3">
            <v>0.11984212978170826</v>
          </cell>
          <cell r="G3">
            <v>236187.91352053755</v>
          </cell>
          <cell r="H3">
            <v>194272.87534646998</v>
          </cell>
          <cell r="J3">
            <v>244419.09099501694</v>
          </cell>
          <cell r="K3">
            <v>190897.40276623089</v>
          </cell>
          <cell r="L3">
            <v>243468.51573228859</v>
          </cell>
          <cell r="M3">
            <v>253870.36916457277</v>
          </cell>
          <cell r="N3">
            <v>201810.3102913379</v>
          </cell>
        </row>
        <row r="4">
          <cell r="D4" t="str">
            <v>Mexico</v>
          </cell>
          <cell r="E4">
            <v>368804.87412661302</v>
          </cell>
          <cell r="F4">
            <v>2.9413335124097807E-2</v>
          </cell>
          <cell r="G4">
            <v>57968.547999731454</v>
          </cell>
          <cell r="H4">
            <v>47681.171875835375</v>
          </cell>
          <cell r="J4">
            <v>59988.758938603984</v>
          </cell>
          <cell r="K4">
            <v>46852.716086659893</v>
          </cell>
          <cell r="L4">
            <v>59755.455434951014</v>
          </cell>
          <cell r="M4">
            <v>62308.424090237873</v>
          </cell>
          <cell r="N4">
            <v>49531.114800024989</v>
          </cell>
        </row>
        <row r="5">
          <cell r="E5">
            <v>12538696.226408474</v>
          </cell>
          <cell r="F5">
            <v>0.55516208487524976</v>
          </cell>
          <cell r="G5">
            <v>1970825.40130714</v>
          </cell>
          <cell r="H5">
            <v>1621073.2878357293</v>
          </cell>
          <cell r="I5">
            <v>0.55516208487524976</v>
          </cell>
          <cell r="J5">
            <v>2039508.9059266963</v>
          </cell>
          <cell r="K5">
            <v>1592907.2949049671</v>
          </cell>
          <cell r="L5">
            <v>2031577.010319869</v>
          </cell>
          <cell r="M5">
            <v>2118373.3101789509</v>
          </cell>
          <cell r="N5">
            <v>1683967.9890447056</v>
          </cell>
        </row>
        <row r="6">
          <cell r="D6" t="str">
            <v>United Kingdom</v>
          </cell>
          <cell r="E6">
            <v>2696607.19701302</v>
          </cell>
          <cell r="F6">
            <v>0.11780129409031853</v>
          </cell>
          <cell r="G6">
            <v>418194.59402063076</v>
          </cell>
          <cell r="H6">
            <v>343979.7787437301</v>
          </cell>
          <cell r="I6">
            <v>0.11780129409031853</v>
          </cell>
          <cell r="J6">
            <v>432768.72641776776</v>
          </cell>
          <cell r="K6">
            <v>338003.16307242011</v>
          </cell>
          <cell r="L6">
            <v>431085.63675345195</v>
          </cell>
          <cell r="M6">
            <v>449503.17052279931</v>
          </cell>
          <cell r="N6">
            <v>357325.56981212815</v>
          </cell>
        </row>
        <row r="7">
          <cell r="D7" t="str">
            <v>Germany</v>
          </cell>
          <cell r="E7">
            <v>662987.86642539501</v>
          </cell>
          <cell r="F7">
            <v>0.64252498960619753</v>
          </cell>
          <cell r="G7">
            <v>100562.82904412238</v>
          </cell>
          <cell r="H7">
            <v>82716.467833475297</v>
          </cell>
          <cell r="J7">
            <v>104067.45585105661</v>
          </cell>
          <cell r="K7">
            <v>81279.277136584744</v>
          </cell>
          <cell r="L7">
            <v>103662.72498987727</v>
          </cell>
          <cell r="M7">
            <v>108091.57061902439</v>
          </cell>
          <cell r="N7">
            <v>85925.7166493595</v>
          </cell>
        </row>
        <row r="8">
          <cell r="D8" t="str">
            <v>Austria</v>
          </cell>
          <cell r="E8">
            <v>83246.399868369102</v>
          </cell>
          <cell r="F8">
            <v>8.0677030333248384E-2</v>
          </cell>
          <cell r="G8">
            <v>12626.918081680284</v>
          </cell>
          <cell r="H8">
            <v>10386.084731973642</v>
          </cell>
          <cell r="J8">
            <v>13066.967710540699</v>
          </cell>
          <cell r="K8">
            <v>10205.627505681532</v>
          </cell>
          <cell r="L8">
            <v>13016.148700397327</v>
          </cell>
          <cell r="M8">
            <v>13572.245535452676</v>
          </cell>
          <cell r="N8">
            <v>10789.045968119053</v>
          </cell>
        </row>
        <row r="9">
          <cell r="D9" t="str">
            <v>Switzerland</v>
          </cell>
          <cell r="E9">
            <v>285613.33053159702</v>
          </cell>
          <cell r="F9">
            <v>0.27679798006055412</v>
          </cell>
          <cell r="G9">
            <v>43322.187306128406</v>
          </cell>
          <cell r="H9">
            <v>35634.024488421106</v>
          </cell>
          <cell r="J9">
            <v>44831.970795825866</v>
          </cell>
          <cell r="K9">
            <v>35014.886729896039</v>
          </cell>
          <cell r="L9">
            <v>44657.613865504332</v>
          </cell>
          <cell r="M9">
            <v>46565.548255572627</v>
          </cell>
          <cell r="N9">
            <v>37016.559960376711</v>
          </cell>
        </row>
        <row r="10">
          <cell r="E10">
            <v>1031847.5968253611</v>
          </cell>
          <cell r="F10">
            <v>4.4087868854065085E-2</v>
          </cell>
          <cell r="G10">
            <v>156511.93443193106</v>
          </cell>
          <cell r="H10">
            <v>128736.57705387005</v>
          </cell>
          <cell r="I10">
            <v>4.4087868854065085E-2</v>
          </cell>
          <cell r="J10">
            <v>161966.39435742318</v>
          </cell>
          <cell r="K10">
            <v>126499.79137216232</v>
          </cell>
          <cell r="L10">
            <v>161336.48755577893</v>
          </cell>
          <cell r="M10">
            <v>168229.36441004969</v>
          </cell>
          <cell r="N10">
            <v>133731.32257785526</v>
          </cell>
        </row>
        <row r="11">
          <cell r="D11" t="str">
            <v>France</v>
          </cell>
          <cell r="E11">
            <v>510002.45530271501</v>
          </cell>
          <cell r="F11">
            <v>0.50599104353276969</v>
          </cell>
          <cell r="G11">
            <v>78009.568237496132</v>
          </cell>
          <cell r="H11">
            <v>64165.61669112357</v>
          </cell>
          <cell r="J11">
            <v>80728.211165913963</v>
          </cell>
          <cell r="K11">
            <v>63050.745253982655</v>
          </cell>
          <cell r="L11">
            <v>80414.249436385289</v>
          </cell>
          <cell r="M11">
            <v>83849.836308833983</v>
          </cell>
          <cell r="N11">
            <v>66655.126153749967</v>
          </cell>
        </row>
        <row r="12">
          <cell r="D12" t="str">
            <v>Belgium</v>
          </cell>
          <cell r="E12">
            <v>181209.241331756</v>
          </cell>
          <cell r="F12">
            <v>0.17978394450045035</v>
          </cell>
          <cell r="G12">
            <v>27717.620827029124</v>
          </cell>
          <cell r="H12">
            <v>22798.719102795785</v>
          </cell>
          <cell r="J12">
            <v>28683.583279539533</v>
          </cell>
          <cell r="K12">
            <v>22402.593544563253</v>
          </cell>
          <cell r="L12">
            <v>28572.02937186015</v>
          </cell>
          <cell r="M12">
            <v>29792.729555188176</v>
          </cell>
          <cell r="N12">
            <v>23683.268022747536</v>
          </cell>
        </row>
        <row r="13">
          <cell r="D13" t="str">
            <v>Luxembourg</v>
          </cell>
          <cell r="E13">
            <v>23173.848926424998</v>
          </cell>
          <cell r="F13">
            <v>2.2991575587597211E-2</v>
          </cell>
          <cell r="G13">
            <v>3544.6534234396136</v>
          </cell>
          <cell r="H13">
            <v>2915.6022525193443</v>
          </cell>
          <cell r="J13">
            <v>3668.1850257936726</v>
          </cell>
          <cell r="K13">
            <v>2864.9439429601189</v>
          </cell>
          <cell r="L13">
            <v>3653.9190127321117</v>
          </cell>
          <cell r="M13">
            <v>3810.0276163828107</v>
          </cell>
          <cell r="N13">
            <v>3028.7223278993079</v>
          </cell>
        </row>
        <row r="14">
          <cell r="D14" t="str">
            <v>Netherlands</v>
          </cell>
          <cell r="E14">
            <v>293542.28601086099</v>
          </cell>
          <cell r="F14">
            <v>0.29123343637918286</v>
          </cell>
          <cell r="G14">
            <v>44899.993623683564</v>
          </cell>
          <cell r="H14">
            <v>36931.825741170709</v>
          </cell>
          <cell r="J14">
            <v>46464.763855194229</v>
          </cell>
          <cell r="K14">
            <v>36290.138810325814</v>
          </cell>
          <cell r="L14">
            <v>46284.056796144738</v>
          </cell>
          <cell r="M14">
            <v>48261.478696454797</v>
          </cell>
          <cell r="N14">
            <v>38364.71354613483</v>
          </cell>
        </row>
        <row r="15">
          <cell r="E15">
            <v>1007927.8315717569</v>
          </cell>
          <cell r="F15">
            <v>4.3428686228633356E-2</v>
          </cell>
          <cell r="G15">
            <v>154171.83611164842</v>
          </cell>
          <cell r="H15">
            <v>126811.76378760939</v>
          </cell>
          <cell r="I15">
            <v>4.3428686228633356E-2</v>
          </cell>
          <cell r="J15">
            <v>159544.74332644138</v>
          </cell>
          <cell r="K15">
            <v>124608.42155183182</v>
          </cell>
          <cell r="L15">
            <v>158924.25461712226</v>
          </cell>
          <cell r="M15">
            <v>165714.07217685974</v>
          </cell>
          <cell r="N15">
            <v>131731.83005053163</v>
          </cell>
        </row>
        <row r="16">
          <cell r="D16" t="str">
            <v>Italy</v>
          </cell>
          <cell r="E16">
            <v>195587.97646337701</v>
          </cell>
          <cell r="F16">
            <v>0.49272829802613349</v>
          </cell>
          <cell r="G16">
            <v>29479.920045411829</v>
          </cell>
          <cell r="H16">
            <v>24248.272262704944</v>
          </cell>
          <cell r="J16">
            <v>30507.298839738494</v>
          </cell>
          <cell r="K16">
            <v>23826.960857317234</v>
          </cell>
          <cell r="L16">
            <v>30388.65228274632</v>
          </cell>
          <cell r="M16">
            <v>31686.96515124611</v>
          </cell>
          <cell r="N16">
            <v>25189.061214222897</v>
          </cell>
        </row>
        <row r="17">
          <cell r="D17" t="str">
            <v>Portugal</v>
          </cell>
          <cell r="E17">
            <v>32757.306600034201</v>
          </cell>
          <cell r="F17">
            <v>8.2522720572127353E-2</v>
          </cell>
          <cell r="G17">
            <v>4937.3320228243647</v>
          </cell>
          <cell r="H17">
            <v>4061.1294384921539</v>
          </cell>
          <cell r="J17">
            <v>5109.3986435270626</v>
          </cell>
          <cell r="K17">
            <v>3990.5677039217235</v>
          </cell>
          <cell r="L17">
            <v>5089.5275772442183</v>
          </cell>
          <cell r="M17">
            <v>5306.9705584807516</v>
          </cell>
          <cell r="N17">
            <v>4218.6938894775585</v>
          </cell>
        </row>
        <row r="18">
          <cell r="D18" t="str">
            <v>Spain</v>
          </cell>
          <cell r="E18">
            <v>168603.65866959101</v>
          </cell>
          <cell r="F18">
            <v>0.42474898140173922</v>
          </cell>
          <cell r="G18">
            <v>25412.719466802908</v>
          </cell>
          <cell r="H18">
            <v>20902.856575511127</v>
          </cell>
          <cell r="J18">
            <v>26298.355826947285</v>
          </cell>
          <cell r="K18">
            <v>20539.671446895125</v>
          </cell>
          <cell r="L18">
            <v>26196.078355912778</v>
          </cell>
          <cell r="M18">
            <v>27315.269339351704</v>
          </cell>
          <cell r="N18">
            <v>21713.849470524568</v>
          </cell>
        </row>
        <row r="19">
          <cell r="E19">
            <v>396948.9417330022</v>
          </cell>
          <cell r="F19">
            <v>1.6853513108461719E-2</v>
          </cell>
          <cell r="G19">
            <v>59829.971535039098</v>
          </cell>
          <cell r="H19">
            <v>49212.25827670822</v>
          </cell>
          <cell r="I19">
            <v>1.6853513108461719E-2</v>
          </cell>
          <cell r="J19">
            <v>61915.053310212839</v>
          </cell>
          <cell r="K19">
            <v>48357.200008134081</v>
          </cell>
          <cell r="L19">
            <v>61674.258215903312</v>
          </cell>
          <cell r="M19">
            <v>64309.205049078562</v>
          </cell>
          <cell r="N19">
            <v>51121.604574225021</v>
          </cell>
        </row>
        <row r="20">
          <cell r="D20" t="str">
            <v>Denmark</v>
          </cell>
          <cell r="E20">
            <v>89887.831220209599</v>
          </cell>
          <cell r="F20">
            <v>0.28797030525190487</v>
          </cell>
          <cell r="G20">
            <v>13616.675483156943</v>
          </cell>
          <cell r="H20">
            <v>11200.195045300923</v>
          </cell>
          <cell r="J20">
            <v>14091.218277678552</v>
          </cell>
          <cell r="K20">
            <v>11005.592730380125</v>
          </cell>
          <cell r="L20">
            <v>14036.415833802594</v>
          </cell>
          <cell r="M20">
            <v>14636.102161945122</v>
          </cell>
          <cell r="N20">
            <v>11634.742283937456</v>
          </cell>
        </row>
        <row r="21">
          <cell r="D21" t="str">
            <v>Finland</v>
          </cell>
          <cell r="E21">
            <v>28165.7803583145</v>
          </cell>
          <cell r="F21">
            <v>9.0233664082645562E-2</v>
          </cell>
          <cell r="G21">
            <v>4266.6986805975594</v>
          </cell>
          <cell r="H21">
            <v>3509.5099006605287</v>
          </cell>
          <cell r="J21">
            <v>4415.393647865958</v>
          </cell>
          <cell r="K21">
            <v>3448.5325026648984</v>
          </cell>
          <cell r="L21">
            <v>4398.2216505404513</v>
          </cell>
          <cell r="M21">
            <v>4586.129548339959</v>
          </cell>
          <cell r="N21">
            <v>3645.6725148053101</v>
          </cell>
        </row>
        <row r="22">
          <cell r="D22" t="str">
            <v>Norway</v>
          </cell>
          <cell r="E22">
            <v>116815.50901657301</v>
          </cell>
          <cell r="F22">
            <v>0.374237506156406</v>
          </cell>
          <cell r="G22">
            <v>17695.819957894844</v>
          </cell>
          <cell r="H22">
            <v>14555.435007620552</v>
          </cell>
          <cell r="J22">
            <v>18312.521432829592</v>
          </cell>
          <cell r="K22">
            <v>14302.535720089789</v>
          </cell>
          <cell r="L22">
            <v>18241.301832914683</v>
          </cell>
          <cell r="M22">
            <v>19020.636062268066</v>
          </cell>
          <cell r="N22">
            <v>15120.159466804742</v>
          </cell>
        </row>
        <row r="23">
          <cell r="D23" t="str">
            <v>Sweden</v>
          </cell>
          <cell r="E23">
            <v>77273.588499784499</v>
          </cell>
          <cell r="F23">
            <v>0.24755852450904356</v>
          </cell>
          <cell r="G23">
            <v>11705.804486959345</v>
          </cell>
          <cell r="H23">
            <v>9628.4363667383932</v>
          </cell>
          <cell r="J23">
            <v>12113.753195161755</v>
          </cell>
          <cell r="K23">
            <v>9461.143208141033</v>
          </cell>
          <cell r="L23">
            <v>12066.641350995898</v>
          </cell>
          <cell r="M23">
            <v>12582.171806239698</v>
          </cell>
          <cell r="N23">
            <v>10002.002221496356</v>
          </cell>
        </row>
        <row r="24">
          <cell r="E24">
            <v>312142.7090948816</v>
          </cell>
          <cell r="F24">
            <v>1.3319717917917945E-2</v>
          </cell>
          <cell r="G24">
            <v>47284.998608608694</v>
          </cell>
          <cell r="H24">
            <v>38893.576320320397</v>
          </cell>
          <cell r="I24">
            <v>1.3319717917917945E-2</v>
          </cell>
          <cell r="J24">
            <v>48932.886553535856</v>
          </cell>
          <cell r="K24">
            <v>38217.804161275846</v>
          </cell>
          <cell r="L24">
            <v>48742.580668253628</v>
          </cell>
          <cell r="M24">
            <v>50825.039578792843</v>
          </cell>
          <cell r="N24">
            <v>40402.576487043865</v>
          </cell>
        </row>
        <row r="25">
          <cell r="D25" t="str">
            <v>Ireland</v>
          </cell>
          <cell r="E25">
            <v>86994.7804604173</v>
          </cell>
          <cell r="F25">
            <v>0.88329396558909923</v>
          </cell>
          <cell r="G25">
            <v>13459.260448676028</v>
          </cell>
          <cell r="H25">
            <v>11070.715636657462</v>
          </cell>
          <cell r="J25">
            <v>13928.317310125734</v>
          </cell>
          <cell r="K25">
            <v>10878.36301404601</v>
          </cell>
          <cell r="L25">
            <v>13874.148407719063</v>
          </cell>
          <cell r="M25">
            <v>14466.902085954567</v>
          </cell>
          <cell r="N25">
            <v>11500.23930925262</v>
          </cell>
        </row>
        <row r="26">
          <cell r="D26" t="str">
            <v>Greece</v>
          </cell>
          <cell r="E26">
            <v>11494.266051292399</v>
          </cell>
          <cell r="F26">
            <v>0.11670603441090077</v>
          </cell>
          <cell r="G26">
            <v>1778.3172695183705</v>
          </cell>
          <cell r="H26">
            <v>1462.7285709841237</v>
          </cell>
          <cell r="J26">
            <v>1840.2918423623153</v>
          </cell>
          <cell r="K26">
            <v>1437.3138023249182</v>
          </cell>
          <cell r="L26">
            <v>1833.134725893103</v>
          </cell>
          <cell r="M26">
            <v>1911.4528553769871</v>
          </cell>
          <cell r="N26">
            <v>1519.4797845857643</v>
          </cell>
        </row>
        <row r="27">
          <cell r="E27">
            <v>98489.046511709705</v>
          </cell>
          <cell r="F27">
            <v>4.2922754135758853E-3</v>
          </cell>
          <cell r="G27">
            <v>15237.577718194399</v>
          </cell>
          <cell r="H27">
            <v>12533.444207641585</v>
          </cell>
          <cell r="I27">
            <v>4.2922754135758853E-3</v>
          </cell>
          <cell r="J27">
            <v>15768.60915248805</v>
          </cell>
          <cell r="K27">
            <v>12315.676816370928</v>
          </cell>
          <cell r="L27">
            <v>15707.283133612167</v>
          </cell>
          <cell r="M27">
            <v>16378.354941331554</v>
          </cell>
          <cell r="N27">
            <v>13019.719093838385</v>
          </cell>
        </row>
        <row r="28">
          <cell r="D28" t="str">
            <v>Japan</v>
          </cell>
          <cell r="E28">
            <v>472876.71669231402</v>
          </cell>
          <cell r="F28">
            <v>2.0296890720516176E-2</v>
          </cell>
          <cell r="G28">
            <v>72053.962057832425</v>
          </cell>
          <cell r="H28">
            <v>59266.92090390723</v>
          </cell>
          <cell r="I28">
            <v>2.0296890720516176E-2</v>
          </cell>
          <cell r="J28">
            <v>74565.051387498243</v>
          </cell>
          <cell r="K28">
            <v>58237.163836331245</v>
          </cell>
          <cell r="L28">
            <v>74275.058928134793</v>
          </cell>
          <cell r="M28">
            <v>77448.357431725526</v>
          </cell>
          <cell r="N28">
            <v>61566.369861458013</v>
          </cell>
        </row>
        <row r="29">
          <cell r="D29" t="str">
            <v>Australia</v>
          </cell>
          <cell r="E29">
            <v>2281445.7935122801</v>
          </cell>
          <cell r="F29">
            <v>0.94784263878829977</v>
          </cell>
          <cell r="G29">
            <v>383672.56862243661</v>
          </cell>
          <cell r="H29">
            <v>315584.19728944084</v>
          </cell>
          <cell r="J29">
            <v>397043.60424126912</v>
          </cell>
          <cell r="K29">
            <v>310100.95212303515</v>
          </cell>
          <cell r="L29">
            <v>395499.45387691009</v>
          </cell>
          <cell r="M29">
            <v>412396.61751797656</v>
          </cell>
          <cell r="N29">
            <v>327828.29133733769</v>
          </cell>
        </row>
        <row r="30">
          <cell r="D30" t="str">
            <v>New Zealand</v>
          </cell>
          <cell r="E30">
            <v>125542.13902980099</v>
          </cell>
          <cell r="F30">
            <v>5.2157361211700282E-2</v>
          </cell>
          <cell r="G30">
            <v>21112.522194869118</v>
          </cell>
          <cell r="H30">
            <v>17365.792903948684</v>
          </cell>
          <cell r="J30">
            <v>21848.296157768164</v>
          </cell>
          <cell r="K30">
            <v>17064.063917455591</v>
          </cell>
          <cell r="L30">
            <v>21763.325504388387</v>
          </cell>
          <cell r="M30">
            <v>22693.133292532377</v>
          </cell>
          <cell r="N30">
            <v>18039.554148518331</v>
          </cell>
        </row>
        <row r="31">
          <cell r="E31">
            <v>2406987.932542081</v>
          </cell>
          <cell r="F31">
            <v>0.11402396924431148</v>
          </cell>
          <cell r="G31">
            <v>404785.09081730573</v>
          </cell>
          <cell r="H31">
            <v>332949.99019338953</v>
          </cell>
          <cell r="I31">
            <v>0.11402396924431148</v>
          </cell>
          <cell r="J31">
            <v>418891.90039903723</v>
          </cell>
          <cell r="K31">
            <v>327165.01604049071</v>
          </cell>
          <cell r="L31">
            <v>417262.77938129846</v>
          </cell>
          <cell r="M31">
            <v>435089.75081050891</v>
          </cell>
          <cell r="N31">
            <v>345867.845485856</v>
          </cell>
        </row>
        <row r="32">
          <cell r="D32" t="str">
            <v>Bulgaria</v>
          </cell>
          <cell r="E32">
            <v>1439.43374037743</v>
          </cell>
          <cell r="F32">
            <v>1.0064416653829534E-2</v>
          </cell>
          <cell r="G32">
            <v>213.63081386295735</v>
          </cell>
          <cell r="H32">
            <v>175.71886661403815</v>
          </cell>
          <cell r="J32">
            <v>221.07587367449872</v>
          </cell>
          <cell r="K32">
            <v>172.66576815637356</v>
          </cell>
          <cell r="L32">
            <v>220.21608299347815</v>
          </cell>
          <cell r="M32">
            <v>229.62450860382947</v>
          </cell>
          <cell r="N32">
            <v>182.53643969688437</v>
          </cell>
        </row>
        <row r="33">
          <cell r="D33" t="str">
            <v>Cyprus</v>
          </cell>
          <cell r="E33">
            <v>1545.5442460179299</v>
          </cell>
          <cell r="F33">
            <v>1.0806333638375484E-2</v>
          </cell>
          <cell r="G33">
            <v>229.37900222586603</v>
          </cell>
          <cell r="H33">
            <v>188.67230605620529</v>
          </cell>
          <cell r="J33">
            <v>237.37288831469007</v>
          </cell>
          <cell r="K33">
            <v>185.39414283034367</v>
          </cell>
          <cell r="L33">
            <v>236.44971658225398</v>
          </cell>
          <cell r="M33">
            <v>246.55170159085426</v>
          </cell>
          <cell r="N33">
            <v>195.99244907802779</v>
          </cell>
        </row>
        <row r="34">
          <cell r="D34" t="str">
            <v>Czech Republic</v>
          </cell>
          <cell r="E34">
            <v>62582.685672283202</v>
          </cell>
          <cell r="F34">
            <v>0.43757361402154754</v>
          </cell>
          <cell r="G34">
            <v>9288.0899612606681</v>
          </cell>
          <cell r="H34">
            <v>7639.7810385580697</v>
          </cell>
          <cell r="J34">
            <v>9611.7810245776018</v>
          </cell>
          <cell r="K34">
            <v>7507.0405755948659</v>
          </cell>
          <cell r="L34">
            <v>9574.3996513160855</v>
          </cell>
          <cell r="M34">
            <v>9983.4525490821798</v>
          </cell>
          <cell r="N34">
            <v>7936.1906761282644</v>
          </cell>
        </row>
        <row r="35">
          <cell r="D35" t="str">
            <v>Estonia</v>
          </cell>
          <cell r="E35">
            <v>2186.8806653618799</v>
          </cell>
          <cell r="F35">
            <v>1.5290511519227567E-2</v>
          </cell>
          <cell r="G35">
            <v>324.56172400122063</v>
          </cell>
          <cell r="H35">
            <v>266.96344622072229</v>
          </cell>
          <cell r="J35">
            <v>335.87273950517391</v>
          </cell>
          <cell r="K35">
            <v>262.32498194187178</v>
          </cell>
          <cell r="L35">
            <v>334.56648999619046</v>
          </cell>
          <cell r="M35">
            <v>348.86037757268838</v>
          </cell>
          <cell r="N35">
            <v>277.32114337714626</v>
          </cell>
        </row>
        <row r="36">
          <cell r="D36" t="str">
            <v>Hungary</v>
          </cell>
          <cell r="E36">
            <v>15977.792914092501</v>
          </cell>
          <cell r="F36">
            <v>0.11171557299599444</v>
          </cell>
          <cell r="G36">
            <v>2371.313668857289</v>
          </cell>
          <cell r="H36">
            <v>1950.4889895952913</v>
          </cell>
          <cell r="J36">
            <v>2453.9542382458108</v>
          </cell>
          <cell r="K36">
            <v>1916.5994304342637</v>
          </cell>
          <cell r="L36">
            <v>2444.4105148596891</v>
          </cell>
          <cell r="M36">
            <v>2548.8445515458247</v>
          </cell>
          <cell r="N36">
            <v>2026.1644221204772</v>
          </cell>
        </row>
        <row r="37">
          <cell r="D37" t="str">
            <v>Latvia</v>
          </cell>
          <cell r="E37">
            <v>1903.3433738946901</v>
          </cell>
          <cell r="F37">
            <v>1.3308039274637928E-2</v>
          </cell>
          <cell r="G37">
            <v>282.48107753759683</v>
          </cell>
          <cell r="H37">
            <v>232.35063279148807</v>
          </cell>
          <cell r="J37">
            <v>292.32557740101623</v>
          </cell>
          <cell r="K37">
            <v>228.31356282693361</v>
          </cell>
          <cell r="L37">
            <v>291.18868804671513</v>
          </cell>
          <cell r="M37">
            <v>303.62931941578938</v>
          </cell>
          <cell r="N37">
            <v>241.36541561148485</v>
          </cell>
        </row>
        <row r="38">
          <cell r="D38" t="str">
            <v>Lithuania</v>
          </cell>
          <cell r="E38">
            <v>1132.17615550756</v>
          </cell>
          <cell r="F38">
            <v>7.9160938325450198E-3</v>
          </cell>
          <cell r="G38">
            <v>168.02976528387805</v>
          </cell>
          <cell r="H38">
            <v>138.2103984870208</v>
          </cell>
          <cell r="J38">
            <v>173.88562301356041</v>
          </cell>
          <cell r="K38">
            <v>135.80900606636072</v>
          </cell>
          <cell r="L38">
            <v>173.20936089709517</v>
          </cell>
          <cell r="M38">
            <v>180.60948973811665</v>
          </cell>
          <cell r="N38">
            <v>143.57271108697748</v>
          </cell>
        </row>
        <row r="39">
          <cell r="D39" t="str">
            <v>Malta</v>
          </cell>
          <cell r="E39">
            <v>1588.7636691927901</v>
          </cell>
          <cell r="F39">
            <v>1.1108520720815217E-2</v>
          </cell>
          <cell r="G39">
            <v>235.79333050547962</v>
          </cell>
          <cell r="H39">
            <v>193.94831692281701</v>
          </cell>
          <cell r="J39">
            <v>244.01075671395708</v>
          </cell>
          <cell r="K39">
            <v>190.57848351406687</v>
          </cell>
          <cell r="L39">
            <v>243.06176951239416</v>
          </cell>
          <cell r="M39">
            <v>253.44624527861441</v>
          </cell>
          <cell r="N39">
            <v>201.47315958994295</v>
          </cell>
        </row>
        <row r="40">
          <cell r="D40" t="str">
            <v>Poland</v>
          </cell>
          <cell r="E40">
            <v>35641.225750863603</v>
          </cell>
          <cell r="F40">
            <v>0.24920087389075221</v>
          </cell>
          <cell r="G40">
            <v>5289.6245590532862</v>
          </cell>
          <cell r="H40">
            <v>4350.9024542072093</v>
          </cell>
          <cell r="J40">
            <v>5473.9686174343624</v>
          </cell>
          <cell r="K40">
            <v>4275.3059412751836</v>
          </cell>
          <cell r="L40">
            <v>5452.6796946439963</v>
          </cell>
          <cell r="M40">
            <v>5685.6378445973332</v>
          </cell>
          <cell r="N40">
            <v>4519.7095722444874</v>
          </cell>
        </row>
        <row r="41">
          <cell r="D41" t="str">
            <v>Romania</v>
          </cell>
          <cell r="E41">
            <v>4603.5642411112804</v>
          </cell>
          <cell r="F41">
            <v>3.2187788375077173E-2</v>
          </cell>
          <cell r="G41">
            <v>683.22920875895227</v>
          </cell>
          <cell r="H41">
            <v>561.98008157074378</v>
          </cell>
          <cell r="J41">
            <v>707.03982967183958</v>
          </cell>
          <cell r="K41">
            <v>552.21573154195301</v>
          </cell>
          <cell r="L41">
            <v>704.29006667618467</v>
          </cell>
          <cell r="M41">
            <v>734.37987941991832</v>
          </cell>
          <cell r="N41">
            <v>583.78388870334879</v>
          </cell>
        </row>
        <row r="42">
          <cell r="D42" t="str">
            <v>Slovakia</v>
          </cell>
          <cell r="E42">
            <v>12960.0219941139</v>
          </cell>
          <cell r="F42">
            <v>9.0615536882827252E-2</v>
          </cell>
          <cell r="G42">
            <v>1923.4369520603411</v>
          </cell>
          <cell r="H42">
            <v>1582.094619722872</v>
          </cell>
          <cell r="J42">
            <v>1990.468963467667</v>
          </cell>
          <cell r="K42">
            <v>1554.6058774128903</v>
          </cell>
          <cell r="L42">
            <v>1982.7277900994236</v>
          </cell>
          <cell r="M42">
            <v>2067.4370750215389</v>
          </cell>
          <cell r="N42">
            <v>1643.4770193580218</v>
          </cell>
        </row>
        <row r="43">
          <cell r="D43" t="str">
            <v>Slovenia</v>
          </cell>
          <cell r="E43">
            <v>1460.64127379656</v>
          </cell>
          <cell r="F43">
            <v>1.0212698194370729E-2</v>
          </cell>
          <cell r="G43">
            <v>216.77828949679008</v>
          </cell>
          <cell r="H43">
            <v>178.30777614947237</v>
          </cell>
          <cell r="J43">
            <v>224.33303921647496</v>
          </cell>
          <cell r="K43">
            <v>175.20969563688121</v>
          </cell>
          <cell r="L43">
            <v>223.46058102663497</v>
          </cell>
          <cell r="M43">
            <v>233.00762329918891</v>
          </cell>
          <cell r="N43">
            <v>185.22579422324532</v>
          </cell>
        </row>
        <row r="44">
          <cell r="E44">
            <v>143022.07369661331</v>
          </cell>
          <cell r="F44">
            <v>5.9792530571561465E-3</v>
          </cell>
          <cell r="G44">
            <v>21226.348352904322</v>
          </cell>
          <cell r="H44">
            <v>17459.418926895949</v>
          </cell>
          <cell r="I44">
            <v>5.9792530571561465E-3</v>
          </cell>
          <cell r="J44">
            <v>21966.08917123665</v>
          </cell>
          <cell r="K44">
            <v>17156.063197231986</v>
          </cell>
          <cell r="L44">
            <v>21880.660406650139</v>
          </cell>
          <cell r="M44">
            <v>22815.481165165875</v>
          </cell>
          <cell r="N44">
            <v>18136.812691218307</v>
          </cell>
        </row>
        <row r="45">
          <cell r="D45" t="str">
            <v>Brazil</v>
          </cell>
          <cell r="E45">
            <v>1000241.38857061</v>
          </cell>
          <cell r="F45">
            <v>0.82594437878220051</v>
          </cell>
          <cell r="G45">
            <v>144627.54477902403</v>
          </cell>
          <cell r="H45">
            <v>118961.24809992962</v>
          </cell>
          <cell r="J45">
            <v>149667.83228158887</v>
          </cell>
          <cell r="K45">
            <v>116894.30782143632</v>
          </cell>
          <cell r="L45">
            <v>149085.75606809068</v>
          </cell>
          <cell r="M45">
            <v>155455.23747227652</v>
          </cell>
          <cell r="N45">
            <v>123576.72860339357</v>
          </cell>
        </row>
        <row r="46">
          <cell r="D46" t="str">
            <v>Argentina</v>
          </cell>
          <cell r="E46">
            <v>15809.3199949265</v>
          </cell>
          <cell r="F46">
            <v>1.305446778286041E-2</v>
          </cell>
          <cell r="G46">
            <v>2285.9113426206159</v>
          </cell>
          <cell r="H46">
            <v>1880.2425691414644</v>
          </cell>
          <cell r="J46">
            <v>2365.5756305664963</v>
          </cell>
          <cell r="K46">
            <v>1847.5735347998641</v>
          </cell>
          <cell r="L46">
            <v>2356.3756222227321</v>
          </cell>
          <cell r="M46">
            <v>2457.0484906634279</v>
          </cell>
          <cell r="N46">
            <v>1953.1925680551064</v>
          </cell>
        </row>
        <row r="47">
          <cell r="D47" t="str">
            <v>Belize</v>
          </cell>
          <cell r="E47">
            <v>139.58999973535501</v>
          </cell>
          <cell r="F47">
            <v>1.1526575178056273E-4</v>
          </cell>
          <cell r="G47">
            <v>20.183686826116411</v>
          </cell>
          <cell r="H47">
            <v>16.601793107678851</v>
          </cell>
          <cell r="J47">
            <v>20.887090763594522</v>
          </cell>
          <cell r="K47">
            <v>16.313338544385697</v>
          </cell>
          <cell r="L47">
            <v>20.805858353681668</v>
          </cell>
          <cell r="M47">
            <v>21.694759690583194</v>
          </cell>
          <cell r="N47">
            <v>17.245912546865192</v>
          </cell>
        </row>
        <row r="48">
          <cell r="D48" t="str">
            <v>Bolivia</v>
          </cell>
          <cell r="E48">
            <v>331.02000105381001</v>
          </cell>
          <cell r="F48">
            <v>2.7333812843475641E-4</v>
          </cell>
          <cell r="G48">
            <v>47.863056430385733</v>
          </cell>
          <cell r="H48">
            <v>39.369049232880663</v>
          </cell>
          <cell r="J48">
            <v>49.53108976061494</v>
          </cell>
          <cell r="K48">
            <v>38.685015777573675</v>
          </cell>
          <cell r="L48">
            <v>49.338457391061709</v>
          </cell>
          <cell r="M48">
            <v>51.446374305136679</v>
          </cell>
          <cell r="N48">
            <v>40.89649688559556</v>
          </cell>
        </row>
        <row r="49">
          <cell r="D49" t="str">
            <v>Chile</v>
          </cell>
          <cell r="E49">
            <v>52616.940018117399</v>
          </cell>
          <cell r="F49">
            <v>4.3448177943114986E-2</v>
          </cell>
          <cell r="G49">
            <v>7608.0223589630968</v>
          </cell>
          <cell r="H49">
            <v>6257.8662783583786</v>
          </cell>
          <cell r="J49">
            <v>7873.1628622725129</v>
          </cell>
          <cell r="K49">
            <v>6149.1364518412711</v>
          </cell>
          <cell r="L49">
            <v>7842.5431843012038</v>
          </cell>
          <cell r="M49">
            <v>8177.6049252170596</v>
          </cell>
          <cell r="N49">
            <v>6500.6601315027674</v>
          </cell>
        </row>
        <row r="50">
          <cell r="D50" t="str">
            <v>Colombia</v>
          </cell>
          <cell r="E50">
            <v>81394.190247774095</v>
          </cell>
          <cell r="F50">
            <v>6.7210849969674358E-2</v>
          </cell>
          <cell r="G50">
            <v>11769.000992485266</v>
          </cell>
          <cell r="H50">
            <v>9680.4177177625279</v>
          </cell>
          <cell r="J50">
            <v>12179.152106581341</v>
          </cell>
          <cell r="K50">
            <v>9512.2213881756379</v>
          </cell>
          <cell r="L50">
            <v>12131.785918177678</v>
          </cell>
          <cell r="M50">
            <v>12650.09958437463</v>
          </cell>
          <cell r="N50">
            <v>10056.000354590515</v>
          </cell>
        </row>
        <row r="51">
          <cell r="D51" t="str">
            <v>Costa Rica</v>
          </cell>
          <cell r="E51">
            <v>8443.9800654053706</v>
          </cell>
          <cell r="F51">
            <v>6.9725747697133916E-3</v>
          </cell>
          <cell r="G51">
            <v>1220.9373846925062</v>
          </cell>
          <cell r="H51">
            <v>1004.2639896625686</v>
          </cell>
          <cell r="J51">
            <v>1263.4872008487739</v>
          </cell>
          <cell r="K51">
            <v>986.81499914146821</v>
          </cell>
          <cell r="L51">
            <v>1258.5733470535924</v>
          </cell>
          <cell r="M51">
            <v>1312.3441414023196</v>
          </cell>
          <cell r="N51">
            <v>1043.2276096535497</v>
          </cell>
        </row>
        <row r="52">
          <cell r="D52" t="str">
            <v>Dominican Republic</v>
          </cell>
          <cell r="E52">
            <v>5326.4200163483602</v>
          </cell>
          <cell r="F52">
            <v>4.3982649806390845E-3</v>
          </cell>
          <cell r="G52">
            <v>770.16114132926759</v>
          </cell>
          <cell r="H52">
            <v>633.48465709336938</v>
          </cell>
          <cell r="J52">
            <v>797.00135065131633</v>
          </cell>
          <cell r="K52">
            <v>622.4779219214762</v>
          </cell>
          <cell r="L52">
            <v>793.90171647296302</v>
          </cell>
          <cell r="M52">
            <v>827.82006221698055</v>
          </cell>
          <cell r="N52">
            <v>658.06271197055014</v>
          </cell>
        </row>
        <row r="53">
          <cell r="D53" t="str">
            <v>Ecuador</v>
          </cell>
          <cell r="E53">
            <v>11671.7100889087</v>
          </cell>
          <cell r="F53">
            <v>9.6378568702159932E-3</v>
          </cell>
          <cell r="G53">
            <v>1687.643395704441</v>
          </cell>
          <cell r="H53">
            <v>1388.1461170301318</v>
          </cell>
          <cell r="J53">
            <v>1746.4579730323753</v>
          </cell>
          <cell r="K53">
            <v>1364.027211356635</v>
          </cell>
          <cell r="L53">
            <v>1739.6657877746652</v>
          </cell>
          <cell r="M53">
            <v>1813.9905869839756</v>
          </cell>
          <cell r="N53">
            <v>1442.0036667906199</v>
          </cell>
        </row>
        <row r="54">
          <cell r="D54" t="str">
            <v>El Salvador</v>
          </cell>
          <cell r="E54">
            <v>1550.4200069308299</v>
          </cell>
          <cell r="F54">
            <v>1.2802516513598366E-3</v>
          </cell>
          <cell r="G54">
            <v>224.17932465194531</v>
          </cell>
          <cell r="H54">
            <v>184.395388164417</v>
          </cell>
          <cell r="J54">
            <v>231.99200134574551</v>
          </cell>
          <cell r="K54">
            <v>181.1915359768098</v>
          </cell>
          <cell r="L54">
            <v>231.08975653036569</v>
          </cell>
          <cell r="M54">
            <v>240.96274470668578</v>
          </cell>
          <cell r="N54">
            <v>191.54959453493703</v>
          </cell>
        </row>
        <row r="55">
          <cell r="D55" t="str">
            <v>Guatemala</v>
          </cell>
          <cell r="E55">
            <v>3281.7800195813202</v>
          </cell>
          <cell r="F55">
            <v>2.7099136173983512E-3</v>
          </cell>
          <cell r="G55">
            <v>474.5212427323965</v>
          </cell>
          <cell r="H55">
            <v>390.31043064185855</v>
          </cell>
          <cell r="J55">
            <v>491.05836567878919</v>
          </cell>
          <cell r="K55">
            <v>383.52882433648386</v>
          </cell>
          <cell r="L55">
            <v>489.14858059174964</v>
          </cell>
          <cell r="M55">
            <v>510.04677281435261</v>
          </cell>
          <cell r="N55">
            <v>405.45376691059744</v>
          </cell>
        </row>
        <row r="56">
          <cell r="D56" t="str">
            <v>Honduras</v>
          </cell>
          <cell r="E56">
            <v>1873.7900134325</v>
          </cell>
          <cell r="F56">
            <v>1.5472728346349013E-3</v>
          </cell>
          <cell r="G56">
            <v>270.93624816052704</v>
          </cell>
          <cell r="H56">
            <v>222.85460412077154</v>
          </cell>
          <cell r="J56">
            <v>280.37840931787645</v>
          </cell>
          <cell r="K56">
            <v>218.98252674379273</v>
          </cell>
          <cell r="L56">
            <v>279.28798393819068</v>
          </cell>
          <cell r="M56">
            <v>291.22017428972492</v>
          </cell>
          <cell r="N56">
            <v>231.50095826428699</v>
          </cell>
        </row>
        <row r="57">
          <cell r="D57" t="str">
            <v>Nicaragua</v>
          </cell>
          <cell r="E57">
            <v>851.65000599622704</v>
          </cell>
          <cell r="F57">
            <v>7.0324577964887413E-4</v>
          </cell>
          <cell r="G57">
            <v>123.14232422864826</v>
          </cell>
          <cell r="H57">
            <v>101.28889767539519</v>
          </cell>
          <cell r="J57">
            <v>127.43384918535529</v>
          </cell>
          <cell r="K57">
            <v>99.529012790919225</v>
          </cell>
          <cell r="L57">
            <v>126.93824360816114</v>
          </cell>
          <cell r="M57">
            <v>132.36150337130661</v>
          </cell>
          <cell r="N57">
            <v>105.21872305891365</v>
          </cell>
        </row>
        <row r="58">
          <cell r="D58" t="str">
            <v>Panama</v>
          </cell>
          <cell r="E58">
            <v>5264.5300282239896</v>
          </cell>
          <cell r="F58">
            <v>4.3471596290926232E-3</v>
          </cell>
          <cell r="G58">
            <v>761.21230444738035</v>
          </cell>
          <cell r="H58">
            <v>626.12392365812696</v>
          </cell>
          <cell r="J58">
            <v>787.74064571713529</v>
          </cell>
          <cell r="K58">
            <v>615.24508052384738</v>
          </cell>
          <cell r="L58">
            <v>784.67702753487299</v>
          </cell>
          <cell r="M58">
            <v>818.20126128455809</v>
          </cell>
          <cell r="N58">
            <v>650.41639543825568</v>
          </cell>
        </row>
        <row r="59">
          <cell r="D59" t="str">
            <v>Paraguay</v>
          </cell>
          <cell r="E59">
            <v>1619.9300040006599</v>
          </cell>
          <cell r="F59">
            <v>1.3376491875996004E-3</v>
          </cell>
          <cell r="G59">
            <v>234.22995875755149</v>
          </cell>
          <cell r="H59">
            <v>192.66238861184519</v>
          </cell>
          <cell r="J59">
            <v>242.39290127072061</v>
          </cell>
          <cell r="K59">
            <v>189.31489808418999</v>
          </cell>
          <cell r="L59">
            <v>241.45020610369866</v>
          </cell>
          <cell r="M59">
            <v>251.76583006654025</v>
          </cell>
          <cell r="N59">
            <v>200.13733959455337</v>
          </cell>
        </row>
        <row r="60">
          <cell r="D60" t="str">
            <v>Peru</v>
          </cell>
          <cell r="E60">
            <v>13890.6201034188</v>
          </cell>
          <cell r="F60">
            <v>1.1470110838557729E-2</v>
          </cell>
          <cell r="G60">
            <v>2008.4814565477211</v>
          </cell>
          <cell r="H60">
            <v>1652.0467191885482</v>
          </cell>
          <cell r="J60">
            <v>2078.4772792662643</v>
          </cell>
          <cell r="K60">
            <v>1623.3425658580859</v>
          </cell>
          <cell r="L60">
            <v>2070.3938309653549</v>
          </cell>
          <cell r="M60">
            <v>2158.8485254544248</v>
          </cell>
          <cell r="N60">
            <v>1716.1431333151145</v>
          </cell>
        </row>
        <row r="61">
          <cell r="D61" t="str">
            <v>Venezuela</v>
          </cell>
          <cell r="E61">
            <v>6720.2600372433699</v>
          </cell>
          <cell r="F61">
            <v>5.5492214830740252E-3</v>
          </cell>
          <cell r="G61">
            <v>971.7001521523116</v>
          </cell>
          <cell r="H61">
            <v>799.2575899393662</v>
          </cell>
          <cell r="J61">
            <v>1005.564020481244</v>
          </cell>
          <cell r="K61">
            <v>785.37056595530851</v>
          </cell>
          <cell r="L61">
            <v>1001.6532609776887</v>
          </cell>
          <cell r="M61">
            <v>1044.4475022754666</v>
          </cell>
          <cell r="N61">
            <v>830.26733372174419</v>
          </cell>
        </row>
        <row r="62">
          <cell r="E62">
            <v>1211027.5392217073</v>
          </cell>
          <cell r="F62">
            <v>4.9325541168944852E-2</v>
          </cell>
          <cell r="G62">
            <v>175105.6711497542</v>
          </cell>
          <cell r="H62">
            <v>144030.58021331896</v>
          </cell>
          <cell r="I62">
            <v>4.9325541168944852E-2</v>
          </cell>
          <cell r="J62">
            <v>181208.12505832902</v>
          </cell>
          <cell r="K62">
            <v>141528.06269326407</v>
          </cell>
          <cell r="L62">
            <v>180503.38485008833</v>
          </cell>
          <cell r="M62">
            <v>188215.1407113937</v>
          </cell>
          <cell r="N62">
            <v>149618.70530022754</v>
          </cell>
        </row>
        <row r="63">
          <cell r="D63" t="str">
            <v>Thailand</v>
          </cell>
          <cell r="E63">
            <v>13858.979835271801</v>
          </cell>
          <cell r="F63">
            <v>0.12453604576012003</v>
          </cell>
          <cell r="G63">
            <v>2674.4422443664248</v>
          </cell>
          <cell r="H63">
            <v>2199.8229164929407</v>
          </cell>
          <cell r="J63">
            <v>2767.6468814305917</v>
          </cell>
          <cell r="K63">
            <v>2161.6012042607995</v>
          </cell>
          <cell r="L63">
            <v>2756.8831695996332</v>
          </cell>
          <cell r="M63">
            <v>2874.6671655050363</v>
          </cell>
          <cell r="N63">
            <v>2285.1720528236006</v>
          </cell>
        </row>
        <row r="64">
          <cell r="D64" t="str">
            <v>Brunei Darussalam</v>
          </cell>
          <cell r="E64">
            <v>316.26999765634503</v>
          </cell>
          <cell r="F64">
            <v>2.841985151060088E-3</v>
          </cell>
          <cell r="G64">
            <v>61.032330836147054</v>
          </cell>
          <cell r="H64">
            <v>50.201241138464489</v>
          </cell>
          <cell r="J64">
            <v>63.159314979007412</v>
          </cell>
          <cell r="K64">
            <v>49.328999387501312</v>
          </cell>
          <cell r="L64">
            <v>62.913680801310811</v>
          </cell>
          <cell r="M64">
            <v>65.601580239200871</v>
          </cell>
          <cell r="N64">
            <v>52.148958175945793</v>
          </cell>
        </row>
        <row r="65">
          <cell r="D65" t="str">
            <v>Cambodia</v>
          </cell>
          <cell r="E65">
            <v>110.019999146462</v>
          </cell>
          <cell r="F65">
            <v>9.8863378192969617E-4</v>
          </cell>
          <cell r="G65">
            <v>21.231153875669474</v>
          </cell>
          <cell r="H65">
            <v>17.463371638578788</v>
          </cell>
          <cell r="J65">
            <v>21.971062167053809</v>
          </cell>
          <cell r="K65">
            <v>17.159947230928363</v>
          </cell>
          <cell r="L65">
            <v>21.885614061888024</v>
          </cell>
          <cell r="M65">
            <v>22.820646458428428</v>
          </cell>
          <cell r="N65">
            <v>18.140918760939996</v>
          </cell>
        </row>
        <row r="66">
          <cell r="D66" t="str">
            <v>Hong Kong</v>
          </cell>
          <cell r="E66">
            <v>23710.923694282799</v>
          </cell>
          <cell r="F66">
            <v>0.21306508222854384</v>
          </cell>
          <cell r="G66">
            <v>4575.6250990096833</v>
          </cell>
          <cell r="H66">
            <v>3763.6127574952789</v>
          </cell>
          <cell r="J66">
            <v>4735.0861894831178</v>
          </cell>
          <cell r="K66">
            <v>3698.220346728172</v>
          </cell>
          <cell r="L66">
            <v>4716.6708693856335</v>
          </cell>
          <cell r="M66">
            <v>4918.1840667865708</v>
          </cell>
          <cell r="N66">
            <v>3909.6341012711582</v>
          </cell>
        </row>
        <row r="67">
          <cell r="D67" t="str">
            <v>Laos</v>
          </cell>
          <cell r="E67">
            <v>15.7199997901917</v>
          </cell>
          <cell r="F67">
            <v>1.4125907076060023E-4</v>
          </cell>
          <cell r="G67">
            <v>3.0335733235804576</v>
          </cell>
          <cell r="H67">
            <v>2.4952208746070177</v>
          </cell>
          <cell r="J67">
            <v>3.1392937223766699</v>
          </cell>
          <cell r="K67">
            <v>2.4518666511784759</v>
          </cell>
          <cell r="L67">
            <v>3.1270846312505167</v>
          </cell>
          <cell r="M67">
            <v>3.2606849692933322</v>
          </cell>
          <cell r="N67">
            <v>2.5920309155449766</v>
          </cell>
        </row>
        <row r="68">
          <cell r="D68" t="str">
            <v>Macao</v>
          </cell>
          <cell r="E68">
            <v>668.15999221801803</v>
          </cell>
          <cell r="F68">
            <v>6.0040496742892208E-3</v>
          </cell>
          <cell r="G68">
            <v>128.93844499546191</v>
          </cell>
          <cell r="H68">
            <v>106.05641109485855</v>
          </cell>
          <cell r="J68">
            <v>133.43196546491109</v>
          </cell>
          <cell r="K68">
            <v>104.21369112187821</v>
          </cell>
          <cell r="L68">
            <v>132.9130324915831</v>
          </cell>
          <cell r="M68">
            <v>138.59155679300889</v>
          </cell>
          <cell r="N68">
            <v>110.17120734568876</v>
          </cell>
        </row>
        <row r="69">
          <cell r="D69" t="str">
            <v>Malaysia</v>
          </cell>
          <cell r="E69">
            <v>13619.679843545</v>
          </cell>
          <cell r="F69">
            <v>0.12238570893343392</v>
          </cell>
          <cell r="G69">
            <v>2628.2632315849883</v>
          </cell>
          <cell r="H69">
            <v>2161.8390524586325</v>
          </cell>
          <cell r="J69">
            <v>2719.8585244446422</v>
          </cell>
          <cell r="K69">
            <v>2124.2773062217989</v>
          </cell>
          <cell r="L69">
            <v>2709.2806672857241</v>
          </cell>
          <cell r="M69">
            <v>2825.030912541315</v>
          </cell>
          <cell r="N69">
            <v>2245.7144838080758</v>
          </cell>
        </row>
        <row r="70">
          <cell r="D70" t="str">
            <v>Philippines</v>
          </cell>
          <cell r="E70">
            <v>11744.319862365701</v>
          </cell>
          <cell r="F70">
            <v>0.1055338252299562</v>
          </cell>
          <cell r="G70">
            <v>2266.3648799981465</v>
          </cell>
          <cell r="H70">
            <v>1864.1649153787521</v>
          </cell>
          <cell r="J70">
            <v>2345.3479713474394</v>
          </cell>
          <cell r="K70">
            <v>1831.7752287295862</v>
          </cell>
          <cell r="L70">
            <v>2336.2266308049429</v>
          </cell>
          <cell r="M70">
            <v>2436.0386616342303</v>
          </cell>
          <cell r="N70">
            <v>1936.4911305084433</v>
          </cell>
        </row>
        <row r="71">
          <cell r="D71" t="str">
            <v>Singapore</v>
          </cell>
          <cell r="E71">
            <v>27098.720095425801</v>
          </cell>
          <cell r="F71">
            <v>0.24350763807705952</v>
          </cell>
          <cell r="G71">
            <v>5229.386481032192</v>
          </cell>
          <cell r="H71">
            <v>4301.3545139757634</v>
          </cell>
          <cell r="J71">
            <v>5411.6312350774724</v>
          </cell>
          <cell r="K71">
            <v>4226.6188917540867</v>
          </cell>
          <cell r="L71">
            <v>5390.5847498699095</v>
          </cell>
          <cell r="M71">
            <v>5620.8899797424583</v>
          </cell>
          <cell r="N71">
            <v>4468.2392618649665</v>
          </cell>
        </row>
        <row r="72">
          <cell r="D72" t="str">
            <v>Sri Lanka</v>
          </cell>
          <cell r="E72">
            <v>857.25999045371998</v>
          </cell>
          <cell r="F72">
            <v>7.703292065391101E-3</v>
          </cell>
          <cell r="G72">
            <v>165.43009371004129</v>
          </cell>
          <cell r="H72">
            <v>136.07207707980825</v>
          </cell>
          <cell r="J72">
            <v>171.19535256960896</v>
          </cell>
          <cell r="K72">
            <v>133.70783778855397</v>
          </cell>
          <cell r="L72">
            <v>170.52955323869642</v>
          </cell>
          <cell r="M72">
            <v>177.81519102774126</v>
          </cell>
          <cell r="N72">
            <v>141.35142669036489</v>
          </cell>
        </row>
        <row r="73">
          <cell r="D73" t="str">
            <v>Taiwan</v>
          </cell>
          <cell r="E73">
            <v>18456.794147372198</v>
          </cell>
          <cell r="F73">
            <v>0.16585175733298707</v>
          </cell>
          <cell r="G73">
            <v>3561.7073226183193</v>
          </cell>
          <cell r="H73">
            <v>2929.6296850832296</v>
          </cell>
          <cell r="J73">
            <v>3685.8332554301787</v>
          </cell>
          <cell r="K73">
            <v>2878.7276502283025</v>
          </cell>
          <cell r="L73">
            <v>3671.498606279451</v>
          </cell>
          <cell r="M73">
            <v>3828.3582735940845</v>
          </cell>
          <cell r="N73">
            <v>3043.2939993859204</v>
          </cell>
        </row>
        <row r="74">
          <cell r="D74" t="str">
            <v>Viet Nam</v>
          </cell>
          <cell r="E74">
            <v>760.93998825550102</v>
          </cell>
          <cell r="F74">
            <v>6.8377657175683285E-3</v>
          </cell>
          <cell r="G74">
            <v>146.84270229175141</v>
          </cell>
          <cell r="H74">
            <v>120.78329315265157</v>
          </cell>
          <cell r="J74">
            <v>151.96018830269594</v>
          </cell>
          <cell r="K74">
            <v>118.68469501608385</v>
          </cell>
          <cell r="L74">
            <v>151.36919684072774</v>
          </cell>
          <cell r="M74">
            <v>157.83623507342932</v>
          </cell>
          <cell r="N74">
            <v>125.46946569702452</v>
          </cell>
        </row>
        <row r="75">
          <cell r="D75" t="str">
            <v>Mongolia</v>
          </cell>
          <cell r="E75">
            <v>67.099999308586106</v>
          </cell>
          <cell r="F75">
            <v>6.0295697690032884E-4</v>
          </cell>
          <cell r="G75">
            <v>12.948649531267691</v>
          </cell>
          <cell r="H75">
            <v>10.650720177831426</v>
          </cell>
          <cell r="J75">
            <v>13.399911540224931</v>
          </cell>
          <cell r="K75">
            <v>10.465664936043538</v>
          </cell>
          <cell r="L75">
            <v>13.347797671455385</v>
          </cell>
          <cell r="M75">
            <v>13.918063747151717</v>
          </cell>
          <cell r="N75">
            <v>11.063948788944659</v>
          </cell>
        </row>
        <row r="76">
          <cell r="E76">
            <v>111284.88744509213</v>
          </cell>
          <cell r="F76">
            <v>6.0493651287813009E-3</v>
          </cell>
          <cell r="G76">
            <v>21475.246207173674</v>
          </cell>
          <cell r="H76">
            <v>17664.146176041399</v>
          </cell>
          <cell r="I76">
            <v>6.0493651287813009E-3</v>
          </cell>
          <cell r="J76">
            <v>22223.661145959322</v>
          </cell>
          <cell r="K76">
            <v>17357.233330054914</v>
          </cell>
          <cell r="L76">
            <v>22137.230652962207</v>
          </cell>
          <cell r="M76">
            <v>23083.013018111949</v>
          </cell>
          <cell r="N76">
            <v>18349.482986036619</v>
          </cell>
        </row>
        <row r="77">
          <cell r="D77" t="str">
            <v>Russia</v>
          </cell>
          <cell r="E77">
            <v>96111.119342729406</v>
          </cell>
          <cell r="F77">
            <v>3.267074887306961E-3</v>
          </cell>
          <cell r="G77">
            <v>11598.115849939712</v>
          </cell>
          <cell r="H77">
            <v>9539.8586709363262</v>
          </cell>
          <cell r="I77">
            <v>3.267074887306961E-3</v>
          </cell>
          <cell r="J77">
            <v>12002.311596061709</v>
          </cell>
          <cell r="K77">
            <v>9374.1045413097745</v>
          </cell>
          <cell r="L77">
            <v>11955.633161687667</v>
          </cell>
          <cell r="M77">
            <v>12466.420946564029</v>
          </cell>
          <cell r="N77">
            <v>9909.9878718717518</v>
          </cell>
        </row>
        <row r="78">
          <cell r="D78" t="str">
            <v>Turkey</v>
          </cell>
          <cell r="E78">
            <v>30604.5595454127</v>
          </cell>
          <cell r="F78">
            <v>1.2814133826542964E-3</v>
          </cell>
          <cell r="G78">
            <v>4549.0175084227521</v>
          </cell>
          <cell r="H78">
            <v>3741.7270773505452</v>
          </cell>
          <cell r="I78">
            <v>1.2814133826542964E-3</v>
          </cell>
          <cell r="J78">
            <v>4707.5513211323841</v>
          </cell>
          <cell r="K78">
            <v>3676.7149281773268</v>
          </cell>
          <cell r="L78">
            <v>4689.243087451965</v>
          </cell>
          <cell r="M78">
            <v>4889.5844710486044</v>
          </cell>
          <cell r="N78">
            <v>3886.8992964608183</v>
          </cell>
        </row>
        <row r="79">
          <cell r="D79" t="str">
            <v>South Africa</v>
          </cell>
          <cell r="E79">
            <v>53601.364593625098</v>
          </cell>
          <cell r="F79">
            <v>0.41619094682232305</v>
          </cell>
          <cell r="G79">
            <v>7137.7722613130554</v>
          </cell>
          <cell r="H79">
            <v>5871.0690149391885</v>
          </cell>
          <cell r="J79">
            <v>7386.5244916009869</v>
          </cell>
          <cell r="K79">
            <v>5769.0597537838403</v>
          </cell>
          <cell r="L79">
            <v>7357.7974088241499</v>
          </cell>
          <cell r="M79">
            <v>7672.1490612373291</v>
          </cell>
          <cell r="N79">
            <v>6098.8558363264383</v>
          </cell>
        </row>
        <row r="80">
          <cell r="D80" t="str">
            <v>Israel</v>
          </cell>
          <cell r="E80">
            <v>18035.6756429374</v>
          </cell>
          <cell r="F80">
            <v>0.14003906391792051</v>
          </cell>
          <cell r="G80">
            <v>2401.7027606328643</v>
          </cell>
          <cell r="H80">
            <v>1975.4850876191447</v>
          </cell>
          <cell r="J80">
            <v>2485.4023935609407</v>
          </cell>
          <cell r="K80">
            <v>1941.1612236518388</v>
          </cell>
          <cell r="L80">
            <v>2475.7363645137539</v>
          </cell>
          <cell r="M80">
            <v>2581.508754521522</v>
          </cell>
          <cell r="N80">
            <v>2052.1303233780259</v>
          </cell>
        </row>
        <row r="81">
          <cell r="D81" t="str">
            <v>India</v>
          </cell>
          <cell r="E81">
            <v>15845.7345459387</v>
          </cell>
          <cell r="F81">
            <v>0.1230351375150206</v>
          </cell>
          <cell r="G81">
            <v>2110.081438403955</v>
          </cell>
          <cell r="H81">
            <v>1735.6162817294501</v>
          </cell>
          <cell r="J81">
            <v>2183.6180328309101</v>
          </cell>
          <cell r="K81">
            <v>1705.4601152633593</v>
          </cell>
          <cell r="L81">
            <v>2175.1256794848332</v>
          </cell>
          <cell r="M81">
            <v>2268.0548964176583</v>
          </cell>
          <cell r="N81">
            <v>1802.9550431981233</v>
          </cell>
        </row>
        <row r="82">
          <cell r="D82" t="str">
            <v>Indonesia</v>
          </cell>
          <cell r="E82">
            <v>19971.393551528501</v>
          </cell>
          <cell r="F82">
            <v>0.15506905942764809</v>
          </cell>
          <cell r="G82">
            <v>2659.470705505516</v>
          </cell>
          <cell r="H82">
            <v>2187.5082986129878</v>
          </cell>
          <cell r="J82">
            <v>2752.1535826218869</v>
          </cell>
          <cell r="K82">
            <v>2149.5005516856568</v>
          </cell>
          <cell r="L82">
            <v>2741.4501260947413</v>
          </cell>
          <cell r="M82">
            <v>2858.5747666988268</v>
          </cell>
          <cell r="N82">
            <v>2272.3796501217803</v>
          </cell>
        </row>
        <row r="83">
          <cell r="D83" t="str">
            <v>Nigeria</v>
          </cell>
          <cell r="E83">
            <v>5429.5900194644901</v>
          </cell>
          <cell r="F83">
            <v>4.2158370933092194E-2</v>
          </cell>
          <cell r="G83">
            <v>723.02594019863932</v>
          </cell>
          <cell r="H83">
            <v>594.71429447324704</v>
          </cell>
          <cell r="J83">
            <v>748.22348203606339</v>
          </cell>
          <cell r="K83">
            <v>584.38119063417241</v>
          </cell>
          <cell r="L83">
            <v>745.3135508595725</v>
          </cell>
          <cell r="M83">
            <v>777.15603486132795</v>
          </cell>
          <cell r="N83">
            <v>617.78812965163058</v>
          </cell>
        </row>
        <row r="84">
          <cell r="D84" t="str">
            <v>Ukraine</v>
          </cell>
          <cell r="E84">
            <v>2276.6700331270699</v>
          </cell>
          <cell r="F84">
            <v>1.7677338326604022E-2</v>
          </cell>
          <cell r="G84">
            <v>303.17049451665929</v>
          </cell>
          <cell r="H84">
            <v>249.36840675736482</v>
          </cell>
          <cell r="J84">
            <v>313.73602307481491</v>
          </cell>
          <cell r="K84">
            <v>245.03565460199459</v>
          </cell>
          <cell r="L84">
            <v>312.51586592036512</v>
          </cell>
          <cell r="M84">
            <v>325.86767127716712</v>
          </cell>
          <cell r="N84">
            <v>259.04344831881224</v>
          </cell>
        </row>
        <row r="85">
          <cell r="D85" t="str">
            <v>Kazakhstan</v>
          </cell>
          <cell r="E85">
            <v>2468.7800361812101</v>
          </cell>
          <cell r="F85">
            <v>1.9168987740220838E-2</v>
          </cell>
          <cell r="G85">
            <v>328.7526314886664</v>
          </cell>
          <cell r="H85">
            <v>270.41061519631148</v>
          </cell>
          <cell r="J85">
            <v>340.20970062760085</v>
          </cell>
          <cell r="K85">
            <v>265.71225668706057</v>
          </cell>
          <cell r="L85">
            <v>338.88658415482331</v>
          </cell>
          <cell r="M85">
            <v>353.36504174078055</v>
          </cell>
          <cell r="N85">
            <v>280.90205625214048</v>
          </cell>
        </row>
        <row r="86">
          <cell r="D86" t="str">
            <v>Kenya</v>
          </cell>
          <cell r="E86">
            <v>2496.4400072097801</v>
          </cell>
          <cell r="F86">
            <v>1.9383755211510693E-2</v>
          </cell>
          <cell r="G86">
            <v>332.43594394634829</v>
          </cell>
          <cell r="H86">
            <v>273.44026938685545</v>
          </cell>
          <cell r="J86">
            <v>344.02137697182218</v>
          </cell>
          <cell r="K86">
            <v>268.68927092655866</v>
          </cell>
          <cell r="L86">
            <v>342.68343643097541</v>
          </cell>
          <cell r="M86">
            <v>357.32410924530325</v>
          </cell>
          <cell r="N86">
            <v>284.04925552624769</v>
          </cell>
        </row>
        <row r="87">
          <cell r="D87" t="str">
            <v>Azerbaijan</v>
          </cell>
          <cell r="E87">
            <v>783.48001420497906</v>
          </cell>
          <cell r="F87">
            <v>6.0833766341672254E-3</v>
          </cell>
          <cell r="G87">
            <v>104.33133475393944</v>
          </cell>
          <cell r="H87">
            <v>85.81619647366287</v>
          </cell>
          <cell r="J87">
            <v>107.96729444259798</v>
          </cell>
          <cell r="K87">
            <v>84.325148288883312</v>
          </cell>
          <cell r="L87">
            <v>107.54739663975845</v>
          </cell>
          <cell r="M87">
            <v>112.14220945777627</v>
          </cell>
          <cell r="N87">
            <v>89.145709134566545</v>
          </cell>
        </row>
        <row r="88">
          <cell r="D88" t="str">
            <v>Trinidad and Tobago</v>
          </cell>
          <cell r="E88">
            <v>1554.5800080895399</v>
          </cell>
          <cell r="F88">
            <v>1.2070627872686458E-2</v>
          </cell>
          <cell r="G88">
            <v>207.01409644807879</v>
          </cell>
          <cell r="H88">
            <v>170.27638355729297</v>
          </cell>
          <cell r="J88">
            <v>214.2285628540198</v>
          </cell>
          <cell r="K88">
            <v>167.3178477208574</v>
          </cell>
          <cell r="L88">
            <v>213.39540218891025</v>
          </cell>
          <cell r="M88">
            <v>222.51242370611169</v>
          </cell>
          <cell r="N88">
            <v>176.88279817601699</v>
          </cell>
        </row>
        <row r="89">
          <cell r="D89" t="str">
            <v>Namibia</v>
          </cell>
          <cell r="E89">
            <v>440.64000260829903</v>
          </cell>
          <cell r="F89">
            <v>3.421375207211605E-3</v>
          </cell>
          <cell r="G89">
            <v>58.677386512217481</v>
          </cell>
          <cell r="H89">
            <v>48.264216511457754</v>
          </cell>
          <cell r="J89">
            <v>60.722300559348483</v>
          </cell>
          <cell r="K89">
            <v>47.425630377646726</v>
          </cell>
          <cell r="L89">
            <v>60.486144224044672</v>
          </cell>
          <cell r="M89">
            <v>63.070330540744152</v>
          </cell>
          <cell r="N89">
            <v>50.136780509243572</v>
          </cell>
        </row>
        <row r="90">
          <cell r="D90" t="str">
            <v>Belarus</v>
          </cell>
          <cell r="E90">
            <v>279.87000441551203</v>
          </cell>
          <cell r="F90">
            <v>2.1730671039429613E-3</v>
          </cell>
          <cell r="G90">
            <v>37.268610033263734</v>
          </cell>
          <cell r="H90">
            <v>30.654744027360593</v>
          </cell>
          <cell r="J90">
            <v>38.567425619711173</v>
          </cell>
          <cell r="K90">
            <v>30.122120789381203</v>
          </cell>
          <cell r="L90">
            <v>38.417432259569097</v>
          </cell>
          <cell r="M90">
            <v>40.058763576708053</v>
          </cell>
          <cell r="N90">
            <v>31.84409245516213</v>
          </cell>
        </row>
        <row r="91">
          <cell r="D91" t="str">
            <v>Mozambique</v>
          </cell>
          <cell r="E91">
            <v>935.89000135660206</v>
          </cell>
          <cell r="F91">
            <v>7.2667729401888091E-3</v>
          </cell>
          <cell r="G91">
            <v>124.62685869974801</v>
          </cell>
          <cell r="H91">
            <v>102.50997955021526</v>
          </cell>
          <cell r="J91">
            <v>128.97011986309008</v>
          </cell>
          <cell r="K91">
            <v>100.72887848525433</v>
          </cell>
          <cell r="L91">
            <v>128.4685395443274</v>
          </cell>
          <cell r="M91">
            <v>133.95717907121008</v>
          </cell>
          <cell r="N91">
            <v>106.48718069412948</v>
          </cell>
        </row>
        <row r="92">
          <cell r="D92" t="str">
            <v>Botswana</v>
          </cell>
          <cell r="E92">
            <v>513.84000062942505</v>
          </cell>
          <cell r="F92">
            <v>3.9897408955625298E-3</v>
          </cell>
          <cell r="G92">
            <v>68.424991248860763</v>
          </cell>
          <cell r="H92">
            <v>56.281964632865758</v>
          </cell>
          <cell r="J92">
            <v>70.809610505045214</v>
          </cell>
          <cell r="K92">
            <v>55.304070894270431</v>
          </cell>
          <cell r="L92">
            <v>70.534223407271838</v>
          </cell>
          <cell r="M92">
            <v>73.547699920387686</v>
          </cell>
          <cell r="N92">
            <v>58.465602705000201</v>
          </cell>
        </row>
        <row r="93">
          <cell r="D93" t="str">
            <v>Ghana</v>
          </cell>
          <cell r="E93">
            <v>565.80000013112999</v>
          </cell>
          <cell r="F93">
            <v>4.3931873666263272E-3</v>
          </cell>
          <cell r="G93">
            <v>75.344192764585216</v>
          </cell>
          <cell r="H93">
            <v>61.973251513405302</v>
          </cell>
          <cell r="J93">
            <v>77.969947034025395</v>
          </cell>
          <cell r="K93">
            <v>60.896472211000443</v>
          </cell>
          <cell r="L93">
            <v>77.666712525685398</v>
          </cell>
          <cell r="M93">
            <v>80.984914708130404</v>
          </cell>
          <cell r="N93">
            <v>64.377701186429178</v>
          </cell>
        </row>
        <row r="94">
          <cell r="D94" t="str">
            <v>Bermuda</v>
          </cell>
          <cell r="E94">
            <v>388.660003006458</v>
          </cell>
          <cell r="F94">
            <v>3.0177734441944166E-3</v>
          </cell>
          <cell r="G94">
            <v>51.755521703103817</v>
          </cell>
          <cell r="H94">
            <v>42.570738978327647</v>
          </cell>
          <cell r="J94">
            <v>53.559207920880986</v>
          </cell>
          <cell r="K94">
            <v>41.831076470704858</v>
          </cell>
          <cell r="L94">
            <v>53.350909714985313</v>
          </cell>
          <cell r="M94">
            <v>55.630253069361807</v>
          </cell>
          <cell r="N94">
            <v>44.222406381879701</v>
          </cell>
        </row>
        <row r="95">
          <cell r="D95" t="str">
            <v>Mauritius</v>
          </cell>
          <cell r="E95">
            <v>418.25000095367398</v>
          </cell>
          <cell r="F95">
            <v>3.2475267229679773E-3</v>
          </cell>
          <cell r="G95">
            <v>55.695844270657773</v>
          </cell>
          <cell r="H95">
            <v>45.811793033893153</v>
          </cell>
          <cell r="J95">
            <v>57.636851208520874</v>
          </cell>
          <cell r="K95">
            <v>45.015817522840919</v>
          </cell>
          <cell r="L95">
            <v>57.412694557101645</v>
          </cell>
          <cell r="M95">
            <v>59.865572014949763</v>
          </cell>
          <cell r="N95">
            <v>47.589207452066049</v>
          </cell>
        </row>
        <row r="96">
          <cell r="D96" t="str">
            <v>Cayman Islands</v>
          </cell>
          <cell r="E96">
            <v>427.18000024557102</v>
          </cell>
          <cell r="F96">
            <v>3.3168642274997058E-3</v>
          </cell>
          <cell r="G96">
            <v>56.884998720782143</v>
          </cell>
          <cell r="H96">
            <v>46.789914440756014</v>
          </cell>
          <cell r="J96">
            <v>58.867447835671335</v>
          </cell>
          <cell r="K96">
            <v>45.976944164052</v>
          </cell>
          <cell r="L96">
            <v>58.638505245856685</v>
          </cell>
          <cell r="M96">
            <v>61.143753759082564</v>
          </cell>
          <cell r="N96">
            <v>48.60527819415784</v>
          </cell>
        </row>
        <row r="97">
          <cell r="D97" t="str">
            <v>Armenia</v>
          </cell>
          <cell r="E97">
            <v>224.4600045681</v>
          </cell>
          <cell r="F97">
            <v>1.7428329023558269E-3</v>
          </cell>
          <cell r="G97">
            <v>29.889992662069865</v>
          </cell>
          <cell r="H97">
            <v>24.585571429082819</v>
          </cell>
          <cell r="J97">
            <v>30.931662536896052</v>
          </cell>
          <cell r="K97">
            <v>24.15839948302305</v>
          </cell>
          <cell r="L97">
            <v>30.811365578409966</v>
          </cell>
          <cell r="M97">
            <v>32.127738284060143</v>
          </cell>
          <cell r="N97">
            <v>25.539446976035141</v>
          </cell>
        </row>
        <row r="98">
          <cell r="D98" t="str">
            <v>Bahamas</v>
          </cell>
          <cell r="E98">
            <v>419.07000315189401</v>
          </cell>
          <cell r="F98">
            <v>3.2538936782472122E-3</v>
          </cell>
          <cell r="G98">
            <v>55.805039045623758</v>
          </cell>
          <cell r="H98">
            <v>45.901609581189113</v>
          </cell>
          <cell r="J98">
            <v>57.749851434657636</v>
          </cell>
          <cell r="K98">
            <v>45.104073516240156</v>
          </cell>
          <cell r="L98">
            <v>57.525255311758457</v>
          </cell>
          <cell r="M98">
            <v>59.982941771167397</v>
          </cell>
          <cell r="N98">
            <v>47.68250871837391</v>
          </cell>
        </row>
        <row r="99">
          <cell r="D99" t="str">
            <v>Barbados</v>
          </cell>
          <cell r="E99">
            <v>232.830002129078</v>
          </cell>
          <cell r="F99">
            <v>1.8078222405231294E-3</v>
          </cell>
          <cell r="G99">
            <v>31.004575040166863</v>
          </cell>
          <cell r="H99">
            <v>25.502354680925979</v>
          </cell>
          <cell r="J99">
            <v>32.085088246251175</v>
          </cell>
          <cell r="K99">
            <v>25.059253713776162</v>
          </cell>
          <cell r="L99">
            <v>31.960305476357131</v>
          </cell>
          <cell r="M99">
            <v>33.325765039850118</v>
          </cell>
          <cell r="N99">
            <v>26.491799754025422</v>
          </cell>
        </row>
        <row r="100">
          <cell r="D100" t="str">
            <v>Moldova</v>
          </cell>
          <cell r="E100">
            <v>149.250001907349</v>
          </cell>
          <cell r="F100">
            <v>1.158860414804453E-3</v>
          </cell>
          <cell r="G100">
            <v>19.874727662099403</v>
          </cell>
          <cell r="H100">
            <v>16.347663316431056</v>
          </cell>
          <cell r="J100">
            <v>20.567364335184152</v>
          </cell>
          <cell r="K100">
            <v>16.06362423389222</v>
          </cell>
          <cell r="L100">
            <v>20.48737537983309</v>
          </cell>
          <cell r="M100">
            <v>21.362669974997655</v>
          </cell>
          <cell r="N100">
            <v>16.981922980979956</v>
          </cell>
        </row>
        <row r="101">
          <cell r="D101" t="str">
            <v>Papua New Guinea</v>
          </cell>
          <cell r="E101">
            <v>102.140000462532</v>
          </cell>
          <cell r="F101">
            <v>7.930720388038304E-4</v>
          </cell>
          <cell r="G101">
            <v>13.60137130088421</v>
          </cell>
          <cell r="H101">
            <v>11.187606816501942</v>
          </cell>
          <cell r="J101">
            <v>14.075380742794707</v>
          </cell>
          <cell r="K101">
            <v>10.993223220849435</v>
          </cell>
          <cell r="L101">
            <v>14.020639892998091</v>
          </cell>
          <cell r="M101">
            <v>14.619652216029479</v>
          </cell>
          <cell r="N101">
            <v>11.621665654709568</v>
          </cell>
        </row>
        <row r="102">
          <cell r="D102" t="str">
            <v>Zimbabwe</v>
          </cell>
          <cell r="E102">
            <v>133.99000060558299</v>
          </cell>
          <cell r="F102">
            <v>1.0403732375013732E-3</v>
          </cell>
          <cell r="G102">
            <v>17.842644807024087</v>
          </cell>
          <cell r="H102">
            <v>14.676203615918404</v>
          </cell>
          <cell r="J102">
            <v>18.46446314578489</v>
          </cell>
          <cell r="K102">
            <v>14.421205985399018</v>
          </cell>
          <cell r="L102">
            <v>18.392652626260865</v>
          </cell>
          <cell r="M102">
            <v>19.178453107583262</v>
          </cell>
          <cell r="N102">
            <v>15.245613677901254</v>
          </cell>
        </row>
        <row r="103">
          <cell r="D103" t="str">
            <v>Uganda</v>
          </cell>
          <cell r="E103">
            <v>110.410000920296</v>
          </cell>
          <cell r="F103">
            <v>8.5728494358400448E-4</v>
          </cell>
          <cell r="G103">
            <v>14.702637664455384</v>
          </cell>
          <cell r="H103">
            <v>12.093437177523864</v>
          </cell>
          <cell r="J103">
            <v>15.215026372900367</v>
          </cell>
          <cell r="K103">
            <v>11.883314866209048</v>
          </cell>
          <cell r="L103">
            <v>15.155853304082541</v>
          </cell>
          <cell r="M103">
            <v>15.80336603991247</v>
          </cell>
          <cell r="N103">
            <v>12.562640589594993</v>
          </cell>
        </row>
        <row r="104">
          <cell r="D104" t="str">
            <v>Burkina Faso</v>
          </cell>
          <cell r="E104">
            <v>238.91000348329499</v>
          </cell>
          <cell r="F104">
            <v>1.8550307685051488E-3</v>
          </cell>
          <cell r="G104">
            <v>31.814212357124966</v>
          </cell>
          <cell r="H104">
            <v>26.168309882480251</v>
          </cell>
          <cell r="J104">
            <v>32.922941522046919</v>
          </cell>
          <cell r="K104">
            <v>25.713638007562146</v>
          </cell>
          <cell r="L104">
            <v>32.794900239920771</v>
          </cell>
          <cell r="M104">
            <v>34.196016702950971</v>
          </cell>
          <cell r="N104">
            <v>27.183592808645695</v>
          </cell>
        </row>
        <row r="105">
          <cell r="D105" t="str">
            <v>Virgin Islands, British</v>
          </cell>
          <cell r="E105">
            <v>134.64000111818299</v>
          </cell>
          <cell r="F105">
            <v>1.0454202046975435E-3</v>
          </cell>
          <cell r="G105">
            <v>17.929201477061316</v>
          </cell>
          <cell r="H105">
            <v>14.747399524794094</v>
          </cell>
          <cell r="J105">
            <v>18.554036326286422</v>
          </cell>
          <cell r="K105">
            <v>14.491164872184997</v>
          </cell>
          <cell r="L105">
            <v>18.481877445882553</v>
          </cell>
          <cell r="M105">
            <v>19.271489933424462</v>
          </cell>
          <cell r="N105">
            <v>15.31957185881587</v>
          </cell>
        </row>
        <row r="106">
          <cell r="D106" t="str">
            <v>Uzbekistan</v>
          </cell>
          <cell r="E106">
            <v>26.0700010061264</v>
          </cell>
          <cell r="F106">
            <v>2.0242205557000095E-4</v>
          </cell>
          <cell r="G106">
            <v>3.4715856852656222</v>
          </cell>
          <cell r="H106">
            <v>2.8555014650635542</v>
          </cell>
          <cell r="J106">
            <v>3.5925708680692301</v>
          </cell>
          <cell r="K106">
            <v>2.8058874009232837</v>
          </cell>
          <cell r="L106">
            <v>3.5785989275678447</v>
          </cell>
          <cell r="M106">
            <v>3.7314895854236658</v>
          </cell>
          <cell r="N106">
            <v>2.9662897389772782</v>
          </cell>
        </row>
        <row r="107">
          <cell r="D107" t="str">
            <v>Antigua and Barbuda</v>
          </cell>
          <cell r="E107">
            <v>147.34000051021599</v>
          </cell>
          <cell r="F107">
            <v>1.1440300966599165E-3</v>
          </cell>
          <cell r="G107">
            <v>19.620384230828872</v>
          </cell>
          <cell r="H107">
            <v>16.138456888456425</v>
          </cell>
          <cell r="J107">
            <v>20.304157004440317</v>
          </cell>
          <cell r="K107">
            <v>15.858052747542756</v>
          </cell>
          <cell r="L107">
            <v>20.225191694077687</v>
          </cell>
          <cell r="M107">
            <v>21.089284856221798</v>
          </cell>
          <cell r="N107">
            <v>16.764599723323904</v>
          </cell>
        </row>
        <row r="108">
          <cell r="D108" t="str">
            <v>Saint Kitts and Nevis</v>
          </cell>
          <cell r="E108">
            <v>102.47000110149401</v>
          </cell>
          <cell r="F108">
            <v>7.9563434816708688E-4</v>
          </cell>
          <cell r="G108">
            <v>13.645315506873301</v>
          </cell>
          <cell r="H108">
            <v>11.223752473259166</v>
          </cell>
          <cell r="J108">
            <v>14.120856409700147</v>
          </cell>
          <cell r="K108">
            <v>11.028740850286525</v>
          </cell>
          <cell r="L108">
            <v>14.065938699561567</v>
          </cell>
          <cell r="M108">
            <v>14.666886351048518</v>
          </cell>
          <cell r="N108">
            <v>11.65921369734213</v>
          </cell>
        </row>
        <row r="109">
          <cell r="D109" t="str">
            <v>Fiji</v>
          </cell>
          <cell r="E109">
            <v>19.519999980926499</v>
          </cell>
          <cell r="F109">
            <v>1.5156418750950483E-4</v>
          </cell>
          <cell r="G109">
            <v>2.5993613308355812</v>
          </cell>
          <cell r="H109">
            <v>2.1380662214196891</v>
          </cell>
          <cell r="J109">
            <v>2.6899493889435893</v>
          </cell>
          <cell r="K109">
            <v>2.1009175258425707</v>
          </cell>
          <cell r="L109">
            <v>2.6794878520124454</v>
          </cell>
          <cell r="M109">
            <v>2.7939652407063753</v>
          </cell>
          <cell r="N109">
            <v>2.221019310074138</v>
          </cell>
        </row>
        <row r="110">
          <cell r="D110" t="str">
            <v>Kyrgyzstan</v>
          </cell>
          <cell r="E110">
            <v>52.470000624656699</v>
          </cell>
          <cell r="F110">
            <v>4.0740640476792878E-4</v>
          </cell>
          <cell r="G110">
            <v>6.9871153066557454</v>
          </cell>
          <cell r="H110">
            <v>5.7471483649112045</v>
          </cell>
          <cell r="J110">
            <v>7.2306171237744987</v>
          </cell>
          <cell r="K110">
            <v>5.6472922131672902</v>
          </cell>
          <cell r="L110">
            <v>7.2024963835158742</v>
          </cell>
          <cell r="M110">
            <v>7.5102130157980875</v>
          </cell>
          <cell r="N110">
            <v>5.9701272900018356</v>
          </cell>
        </row>
        <row r="111">
          <cell r="D111" t="str">
            <v>Dominica</v>
          </cell>
          <cell r="E111">
            <v>7.2500001192092904</v>
          </cell>
          <cell r="F111">
            <v>5.6293052181632927E-5</v>
          </cell>
          <cell r="G111">
            <v>0.96543903569878498</v>
          </cell>
          <cell r="H111">
            <v>0.79410760119449353</v>
          </cell>
          <cell r="J111">
            <v>0.99908470335881261</v>
          </cell>
          <cell r="K111">
            <v>0.78031005777104334</v>
          </cell>
          <cell r="L111">
            <v>0.99519914269938548</v>
          </cell>
          <cell r="M111">
            <v>1.0377176407777018</v>
          </cell>
          <cell r="N111">
            <v>0.8249175347611527</v>
          </cell>
        </row>
        <row r="112">
          <cell r="D112" t="str">
            <v>Turkmenistan</v>
          </cell>
          <cell r="E112">
            <v>12.2700002193451</v>
          </cell>
          <cell r="F112">
            <v>9.5271138104694676E-5</v>
          </cell>
          <cell r="G112">
            <v>1.6339223427599572</v>
          </cell>
          <cell r="H112">
            <v>1.3439586593969226</v>
          </cell>
          <cell r="J112">
            <v>1.6908647348676109</v>
          </cell>
          <cell r="K112">
            <v>1.320607506562649</v>
          </cell>
          <cell r="L112">
            <v>1.6842887584042272</v>
          </cell>
          <cell r="M112">
            <v>1.7562476511171925</v>
          </cell>
          <cell r="N112">
            <v>1.3961018160045042</v>
          </cell>
        </row>
        <row r="113">
          <cell r="D113" t="str">
            <v>Niger</v>
          </cell>
          <cell r="E113">
            <v>81.6700004339218</v>
          </cell>
          <cell r="F113">
            <v>6.3413152006984485E-4</v>
          </cell>
          <cell r="G113">
            <v>10.875504161101198</v>
          </cell>
          <cell r="H113">
            <v>8.9454851127930972</v>
          </cell>
          <cell r="J113">
            <v>11.254516802095985</v>
          </cell>
          <cell r="K113">
            <v>8.7900581667445596</v>
          </cell>
          <cell r="L113">
            <v>11.210746631678933</v>
          </cell>
          <cell r="M113">
            <v>11.689710176424988</v>
          </cell>
          <cell r="N113">
            <v>9.2925536985012833</v>
          </cell>
        </row>
        <row r="114">
          <cell r="D114" t="str">
            <v>Cape Verde</v>
          </cell>
          <cell r="E114">
            <v>13.420000076293899</v>
          </cell>
          <cell r="F114">
            <v>1.0420037960698994E-4</v>
          </cell>
          <cell r="G114">
            <v>1.7870609268552466</v>
          </cell>
          <cell r="H114">
            <v>1.4699205370189634</v>
          </cell>
          <cell r="J114">
            <v>1.8493402172194204</v>
          </cell>
          <cell r="K114">
            <v>1.4443808086395433</v>
          </cell>
          <cell r="L114">
            <v>1.8421479105313423</v>
          </cell>
          <cell r="M114">
            <v>1.9208511157827566</v>
          </cell>
          <cell r="N114">
            <v>1.5269507858488447</v>
          </cell>
        </row>
        <row r="115">
          <cell r="D115" t="str">
            <v>Grenada</v>
          </cell>
          <cell r="E115">
            <v>48.799999952316298</v>
          </cell>
          <cell r="F115">
            <v>3.7891046877376247E-4</v>
          </cell>
          <cell r="G115">
            <v>6.4984033270889592</v>
          </cell>
          <cell r="H115">
            <v>5.3451655535492284</v>
          </cell>
          <cell r="J115">
            <v>6.7248734723589809</v>
          </cell>
          <cell r="K115">
            <v>5.252293814606432</v>
          </cell>
          <cell r="L115">
            <v>6.6987196300311203</v>
          </cell>
          <cell r="M115">
            <v>6.9849131017659456</v>
          </cell>
          <cell r="N115">
            <v>5.5525482751853508</v>
          </cell>
        </row>
        <row r="116">
          <cell r="D116" t="str">
            <v>Anguilla</v>
          </cell>
          <cell r="E116">
            <v>31.720000505447398</v>
          </cell>
          <cell r="F116">
            <v>2.4629180886817951E-4</v>
          </cell>
          <cell r="G116">
            <v>4.2239622340425607</v>
          </cell>
          <cell r="H116">
            <v>3.4743576685645854</v>
          </cell>
          <cell r="J116">
            <v>4.3711678309575843</v>
          </cell>
          <cell r="K116">
            <v>3.4139910372308599</v>
          </cell>
          <cell r="L116">
            <v>4.3541678331569749</v>
          </cell>
          <cell r="M116">
            <v>4.5401935929306383</v>
          </cell>
          <cell r="N116">
            <v>3.6091564399077525</v>
          </cell>
        </row>
        <row r="117">
          <cell r="D117" t="str">
            <v>Tajikistan</v>
          </cell>
          <cell r="E117">
            <v>43.980000734329202</v>
          </cell>
          <cell r="F117">
            <v>3.4148530145898314E-4</v>
          </cell>
          <cell r="G117">
            <v>5.8565529380451204</v>
          </cell>
          <cell r="H117">
            <v>4.817221008194859</v>
          </cell>
          <cell r="J117">
            <v>6.0606545192953556</v>
          </cell>
          <cell r="K117">
            <v>4.7335222551027751</v>
          </cell>
          <cell r="L117">
            <v>6.0370839044201761</v>
          </cell>
          <cell r="M117">
            <v>6.2950099107594522</v>
          </cell>
          <cell r="N117">
            <v>5.0041204397267425</v>
          </cell>
        </row>
        <row r="118">
          <cell r="D118" t="str">
            <v>Swaziland</v>
          </cell>
          <cell r="E118">
            <v>16.470000147819501</v>
          </cell>
          <cell r="F118">
            <v>1.2788228448385502E-4</v>
          </cell>
          <cell r="G118">
            <v>2.1932111447198017</v>
          </cell>
          <cell r="H118">
            <v>1.8039933922765692</v>
          </cell>
          <cell r="J118">
            <v>2.269644819509117</v>
          </cell>
          <cell r="K118">
            <v>1.7726491800714315</v>
          </cell>
          <cell r="L118">
            <v>2.2608178976356172</v>
          </cell>
          <cell r="M118">
            <v>2.3574081953074062</v>
          </cell>
          <cell r="N118">
            <v>1.8739850615253315</v>
          </cell>
        </row>
        <row r="119">
          <cell r="D119" t="str">
            <v>Nepal</v>
          </cell>
          <cell r="E119">
            <v>0.62000000476837203</v>
          </cell>
          <cell r="F119">
            <v>4.8140264892637176E-6</v>
          </cell>
          <cell r="G119">
            <v>8.2561682330303407E-2</v>
          </cell>
          <cell r="H119">
            <v>6.790989081816505E-2</v>
          </cell>
          <cell r="J119">
            <v>8.5438966987772799E-2</v>
          </cell>
          <cell r="K119">
            <v>6.6729962977106774E-2</v>
          </cell>
          <cell r="L119">
            <v>8.5106684561874674E-2</v>
          </cell>
          <cell r="M119">
            <v>8.8742749193301912E-2</v>
          </cell>
          <cell r="N119">
            <v>7.0544671320806648E-2</v>
          </cell>
        </row>
        <row r="120">
          <cell r="D120" t="str">
            <v>Micronesia</v>
          </cell>
          <cell r="E120">
            <v>6.0999999046325701</v>
          </cell>
          <cell r="F120">
            <v>4.736380790251465E-5</v>
          </cell>
          <cell r="G120">
            <v>0.81230040398033021</v>
          </cell>
          <cell r="H120">
            <v>0.66814568440072231</v>
          </cell>
          <cell r="J120">
            <v>0.84060917172416461</v>
          </cell>
          <cell r="K120">
            <v>0.65653671720302398</v>
          </cell>
          <cell r="L120">
            <v>0.8373399414810988</v>
          </cell>
          <cell r="M120">
            <v>0.87311412492361395</v>
          </cell>
          <cell r="N120">
            <v>0.69406852422528964</v>
          </cell>
        </row>
        <row r="121">
          <cell r="D121" t="str">
            <v>Guinea-Bissau</v>
          </cell>
          <cell r="E121">
            <v>0.61000001430511497</v>
          </cell>
          <cell r="F121">
            <v>4.7363809753729734E-6</v>
          </cell>
          <cell r="G121">
            <v>8.1230043572910263E-2</v>
          </cell>
          <cell r="H121">
            <v>6.6814571051520555E-2</v>
          </cell>
          <cell r="J121">
            <v>8.4060920457938573E-2</v>
          </cell>
          <cell r="K121">
            <v>6.5653674286377056E-2</v>
          </cell>
          <cell r="L121">
            <v>8.3733997420854203E-2</v>
          </cell>
          <cell r="M121">
            <v>8.7311415904929163E-2</v>
          </cell>
          <cell r="N121">
            <v>6.9406855135296749E-2</v>
          </cell>
        </row>
        <row r="122">
          <cell r="E122">
            <v>128790.31848933555</v>
          </cell>
          <cell r="F122">
            <v>4.8310519221065077E-3</v>
          </cell>
          <cell r="G122">
            <v>17150.234323478104</v>
          </cell>
          <cell r="H122">
            <v>14106.671612551003</v>
          </cell>
          <cell r="I122">
            <v>4.8310519221065077E-3</v>
          </cell>
          <cell r="J122">
            <v>17747.922072784499</v>
          </cell>
          <cell r="K122">
            <v>13861.569545977467</v>
          </cell>
          <cell r="L122">
            <v>17678.898267734985</v>
          </cell>
          <cell r="M122">
            <v>18434.204587618438</v>
          </cell>
          <cell r="N122">
            <v>14653.984866542793</v>
          </cell>
        </row>
        <row r="123">
          <cell r="L123"/>
          <cell r="M123"/>
        </row>
        <row r="124">
          <cell r="H124">
            <v>2920000</v>
          </cell>
          <cell r="J124">
            <v>3673717.9311966044</v>
          </cell>
          <cell r="K124">
            <v>2869265.28</v>
          </cell>
          <cell r="L124">
            <v>3659430.4</v>
          </cell>
          <cell r="M124">
            <v>3815774.4699999997</v>
          </cell>
          <cell r="N124">
            <v>3033290.6999999997</v>
          </cell>
        </row>
      </sheetData>
      <sheetData sheetId="2">
        <row r="1">
          <cell r="J1" t="str">
            <v>Country</v>
          </cell>
          <cell r="K1" t="str">
            <v>% of Total</v>
          </cell>
          <cell r="M1">
            <v>41487</v>
          </cell>
          <cell r="O1" t="str">
            <v>Sep Plan</v>
          </cell>
          <cell r="P1" t="str">
            <v>Nov Plan</v>
          </cell>
          <cell r="Q1" t="str">
            <v>Dec Plan</v>
          </cell>
          <cell r="R1" t="str">
            <v>Jan Plan</v>
          </cell>
          <cell r="S1" t="str">
            <v>Feb Plan</v>
          </cell>
        </row>
        <row r="2">
          <cell r="J2" t="str">
            <v>United States</v>
          </cell>
          <cell r="K2">
            <v>0.8507445350941939</v>
          </cell>
          <cell r="L2">
            <v>135922.62288811826</v>
          </cell>
          <cell r="M2">
            <v>115426.41125779826</v>
          </cell>
          <cell r="O2">
            <v>134351.9974823654</v>
          </cell>
          <cell r="P2">
            <v>104932.25906139071</v>
          </cell>
          <cell r="Q2">
            <v>133829.48639378813</v>
          </cell>
          <cell r="R2">
            <v>139547.16491250359</v>
          </cell>
          <cell r="S2">
            <v>110930.85319071898</v>
          </cell>
        </row>
        <row r="3">
          <cell r="J3" t="str">
            <v>Canada</v>
          </cell>
          <cell r="K3">
            <v>0.11984212978170826</v>
          </cell>
          <cell r="L3">
            <v>19147.059946291072</v>
          </cell>
          <cell r="M3">
            <v>16259.812890437568</v>
          </cell>
          <cell r="O3">
            <v>18925.810104593478</v>
          </cell>
          <cell r="P3">
            <v>14781.529460345799</v>
          </cell>
          <cell r="Q3">
            <v>18852.205351219745</v>
          </cell>
          <cell r="R3">
            <v>19657.639583029555</v>
          </cell>
          <cell r="S3">
            <v>15626.535530323266</v>
          </cell>
        </row>
        <row r="4">
          <cell r="J4" t="str">
            <v>Mexico</v>
          </cell>
          <cell r="K4">
            <v>2.9413335124097807E-2</v>
          </cell>
          <cell r="L4">
            <v>4699.3398053528963</v>
          </cell>
          <cell r="M4">
            <v>3990.7111670387112</v>
          </cell>
          <cell r="O4">
            <v>4645.037568302715</v>
          </cell>
          <cell r="P4">
            <v>3627.890128920556</v>
          </cell>
          <cell r="Q4">
            <v>4626.9724581310948</v>
          </cell>
          <cell r="R4">
            <v>4824.653415769234</v>
          </cell>
          <cell r="S4">
            <v>3835.283361696178</v>
          </cell>
        </row>
        <row r="5">
          <cell r="K5"/>
          <cell r="L5">
            <v>159769.02263976223</v>
          </cell>
          <cell r="M5">
            <v>135676.93531527455</v>
          </cell>
          <cell r="N5">
            <v>0.5874917247894369</v>
          </cell>
          <cell r="O5">
            <v>157922.8451552616</v>
          </cell>
          <cell r="P5">
            <v>123341.67865065706</v>
          </cell>
          <cell r="Q5">
            <v>157308.66420313896</v>
          </cell>
          <cell r="R5">
            <v>164029.45791130239</v>
          </cell>
          <cell r="S5">
            <v>130392.67208273843</v>
          </cell>
        </row>
        <row r="6">
          <cell r="J6" t="str">
            <v>United Kingdom</v>
          </cell>
          <cell r="K6"/>
          <cell r="L6">
            <v>27291.972976282599</v>
          </cell>
          <cell r="M6">
            <v>23176.528158893329</v>
          </cell>
          <cell r="N6">
            <v>0.10035617675959033</v>
          </cell>
          <cell r="O6">
            <v>26976.606297661678</v>
          </cell>
          <cell r="P6">
            <v>21069.401971451371</v>
          </cell>
          <cell r="Q6">
            <v>26871.691028913538</v>
          </cell>
          <cell r="R6">
            <v>28019.746623369665</v>
          </cell>
          <cell r="S6">
            <v>22273.86275505523</v>
          </cell>
        </row>
        <row r="7">
          <cell r="J7" t="str">
            <v>Germany</v>
          </cell>
          <cell r="K7">
            <v>0.64252498960619753</v>
          </cell>
          <cell r="L7">
            <v>10378.625975549219</v>
          </cell>
          <cell r="M7">
            <v>8813.599419212891</v>
          </cell>
          <cell r="O7">
            <v>10258.697936436687</v>
          </cell>
          <cell r="P7">
            <v>8012.2988096252338</v>
          </cell>
          <cell r="Q7">
            <v>10218.80062544318</v>
          </cell>
          <cell r="R7">
            <v>10655.384657838038</v>
          </cell>
          <cell r="S7">
            <v>8470.3326786351718</v>
          </cell>
        </row>
        <row r="8">
          <cell r="J8" t="str">
            <v>Austria</v>
          </cell>
          <cell r="K8">
            <v>8.0677030333248384E-2</v>
          </cell>
          <cell r="L8">
            <v>1303.1660031775789</v>
          </cell>
          <cell r="M8">
            <v>1106.6573895044037</v>
          </cell>
          <cell r="O8">
            <v>1288.1075413188134</v>
          </cell>
          <cell r="P8">
            <v>1006.044098766287</v>
          </cell>
          <cell r="Q8">
            <v>1283.0979360562833</v>
          </cell>
          <cell r="R8">
            <v>1337.9165093325066</v>
          </cell>
          <cell r="S8">
            <v>1063.5559666959971</v>
          </cell>
        </row>
        <row r="9">
          <cell r="J9" t="str">
            <v>Switzerland</v>
          </cell>
          <cell r="K9">
            <v>0.27679798006055412</v>
          </cell>
          <cell r="L9">
            <v>4471.083229925026</v>
          </cell>
          <cell r="M9">
            <v>3796.8741383836596</v>
          </cell>
          <cell r="O9">
            <v>4419.4185639338757</v>
          </cell>
          <cell r="P9">
            <v>3451.6760624440858</v>
          </cell>
          <cell r="Q9">
            <v>4402.2309132253495</v>
          </cell>
          <cell r="R9">
            <v>4590.3101011922718</v>
          </cell>
          <cell r="S9">
            <v>3648.9957804195319</v>
          </cell>
        </row>
        <row r="10">
          <cell r="K10"/>
          <cell r="L10">
            <v>16152.875208651823</v>
          </cell>
          <cell r="M10">
            <v>13717.130947100954</v>
          </cell>
          <cell r="N10">
            <v>5.9396248157793194E-2</v>
          </cell>
          <cell r="O10">
            <v>15966.224041689376</v>
          </cell>
          <cell r="P10">
            <v>12470.018970835607</v>
          </cell>
          <cell r="Q10">
            <v>15904.129474724812</v>
          </cell>
          <cell r="R10">
            <v>16583.611268362816</v>
          </cell>
          <cell r="S10">
            <v>13182.884425750701</v>
          </cell>
        </row>
        <row r="11">
          <cell r="J11" t="str">
            <v>France</v>
          </cell>
          <cell r="K11">
            <v>0.50599104353276969</v>
          </cell>
          <cell r="L11">
            <v>6135.2046438566886</v>
          </cell>
          <cell r="M11">
            <v>5210.0573055852965</v>
          </cell>
          <cell r="O11">
            <v>6064.31057134408</v>
          </cell>
          <cell r="P11">
            <v>4736.3777228882018</v>
          </cell>
          <cell r="Q11">
            <v>6040.7257376424477</v>
          </cell>
          <cell r="R11">
            <v>6298.8073362368004</v>
          </cell>
          <cell r="S11">
            <v>5007.1391441797814</v>
          </cell>
        </row>
        <row r="12">
          <cell r="J12" t="str">
            <v>Belgium</v>
          </cell>
          <cell r="K12">
            <v>0.17978394450045035</v>
          </cell>
          <cell r="L12">
            <v>2179.9027972687845</v>
          </cell>
          <cell r="M12">
            <v>1851.1882086522546</v>
          </cell>
          <cell r="O12">
            <v>2154.7133869799595</v>
          </cell>
          <cell r="P12">
            <v>1682.8848663400388</v>
          </cell>
          <cell r="Q12">
            <v>2146.3334472805095</v>
          </cell>
          <cell r="R12">
            <v>2238.0325561705063</v>
          </cell>
          <cell r="S12">
            <v>1779.0892497190025</v>
          </cell>
        </row>
        <row r="13">
          <cell r="J13" t="str">
            <v>Luxembourg</v>
          </cell>
          <cell r="K13">
            <v>2.2991575587597211E-2</v>
          </cell>
          <cell r="L13">
            <v>278.77572758948071</v>
          </cell>
          <cell r="M13">
            <v>236.73823457572638</v>
          </cell>
          <cell r="O13">
            <v>275.55439304666743</v>
          </cell>
          <cell r="P13">
            <v>215.21484978645304</v>
          </cell>
          <cell r="Q13">
            <v>274.48272884687049</v>
          </cell>
          <cell r="R13">
            <v>286.20962136342882</v>
          </cell>
          <cell r="S13">
            <v>227.51789697157074</v>
          </cell>
        </row>
        <row r="14">
          <cell r="J14" t="str">
            <v>Netherlands</v>
          </cell>
          <cell r="K14">
            <v>0.29123343637918286</v>
          </cell>
          <cell r="L14">
            <v>3531.2418157539705</v>
          </cell>
          <cell r="M14">
            <v>2998.7544487826576</v>
          </cell>
          <cell r="O14">
            <v>3490.4372904157181</v>
          </cell>
          <cell r="P14">
            <v>2726.1185308652725</v>
          </cell>
          <cell r="Q14">
            <v>3476.8625596904435</v>
          </cell>
          <cell r="R14">
            <v>3625.4066728433049</v>
          </cell>
          <cell r="S14">
            <v>2881.9607738644836</v>
          </cell>
        </row>
        <row r="15">
          <cell r="K15"/>
          <cell r="L15">
            <v>12125.124984468923</v>
          </cell>
          <cell r="M15">
            <v>10296.738197595934</v>
          </cell>
          <cell r="N15">
            <v>4.4585680457435037E-2</v>
          </cell>
          <cell r="O15">
            <v>11985.015641786424</v>
          </cell>
          <cell r="P15">
            <v>9360.5959698799652</v>
          </cell>
          <cell r="Q15">
            <v>11938.40447346027</v>
          </cell>
          <cell r="R15">
            <v>12448.456186614039</v>
          </cell>
          <cell r="S15">
            <v>9895.7070647348373</v>
          </cell>
        </row>
        <row r="16">
          <cell r="J16" t="str">
            <v>Italy</v>
          </cell>
          <cell r="K16">
            <v>0.49272829802613349</v>
          </cell>
          <cell r="L16">
            <v>4108.5103385663724</v>
          </cell>
          <cell r="M16">
            <v>3488.97478521019</v>
          </cell>
          <cell r="O16">
            <v>4061.0353076963293</v>
          </cell>
          <cell r="P16">
            <v>3171.7698058086457</v>
          </cell>
          <cell r="Q16">
            <v>4045.2414526056846</v>
          </cell>
          <cell r="R16">
            <v>4218.0687627884618</v>
          </cell>
          <cell r="S16">
            <v>3353.0883050660873</v>
          </cell>
        </row>
        <row r="17">
          <cell r="J17" t="str">
            <v>Portugal</v>
          </cell>
          <cell r="K17">
            <v>8.2522720572127353E-2</v>
          </cell>
          <cell r="L17">
            <v>688.0981912251093</v>
          </cell>
          <cell r="M17">
            <v>584.33764091996147</v>
          </cell>
          <cell r="O17">
            <v>680.14701666838869</v>
          </cell>
          <cell r="P17">
            <v>531.21177422201777</v>
          </cell>
          <cell r="Q17">
            <v>677.50184305927553</v>
          </cell>
          <cell r="R17">
            <v>706.4471662375463</v>
          </cell>
          <cell r="S17">
            <v>561.57921183158999</v>
          </cell>
        </row>
        <row r="18">
          <cell r="J18" t="str">
            <v>Spain</v>
          </cell>
          <cell r="K18">
            <v>0.42474898140173922</v>
          </cell>
          <cell r="L18">
            <v>3541.6792345302338</v>
          </cell>
          <cell r="M18">
            <v>3007.6179754461364</v>
          </cell>
          <cell r="O18">
            <v>3500.7541017849712</v>
          </cell>
          <cell r="P18">
            <v>2734.1762177145365</v>
          </cell>
          <cell r="Q18">
            <v>3487.1392477385684</v>
          </cell>
          <cell r="R18">
            <v>3636.1224180833815</v>
          </cell>
          <cell r="S18">
            <v>2890.479089251266</v>
          </cell>
        </row>
        <row r="19">
          <cell r="K19"/>
          <cell r="L19">
            <v>8338.2877643217143</v>
          </cell>
          <cell r="M19">
            <v>7080.9304015762873</v>
          </cell>
          <cell r="N19">
            <v>3.0660981581500102E-2</v>
          </cell>
          <cell r="O19">
            <v>8241.9364261496885</v>
          </cell>
          <cell r="P19">
            <v>6437.1577977451998</v>
          </cell>
          <cell r="Q19">
            <v>8209.882543403528</v>
          </cell>
          <cell r="R19">
            <v>8560.6383471093886</v>
          </cell>
          <cell r="S19">
            <v>6805.1466061489427</v>
          </cell>
        </row>
        <row r="20">
          <cell r="J20" t="str">
            <v>Denmark</v>
          </cell>
          <cell r="K20">
            <v>0.28797030525190487</v>
          </cell>
          <cell r="L20">
            <v>1257.7916387713526</v>
          </cell>
          <cell r="M20">
            <v>1068.1251721646506</v>
          </cell>
          <cell r="O20">
            <v>1243.2574908788133</v>
          </cell>
          <cell r="P20">
            <v>971.01509138361473</v>
          </cell>
          <cell r="Q20">
            <v>1238.4223128605167</v>
          </cell>
          <cell r="R20">
            <v>1291.3321823231049</v>
          </cell>
          <cell r="S20">
            <v>1026.5244788566811</v>
          </cell>
        </row>
        <row r="21">
          <cell r="J21" t="str">
            <v>Finland</v>
          </cell>
          <cell r="K21">
            <v>9.0233664082645562E-2</v>
          </cell>
          <cell r="L21">
            <v>394.12101230220071</v>
          </cell>
          <cell r="M21">
            <v>334.69023099104936</v>
          </cell>
          <cell r="O21">
            <v>389.56682947589974</v>
          </cell>
          <cell r="P21">
            <v>304.26140465574582</v>
          </cell>
          <cell r="Q21">
            <v>388.05175718849461</v>
          </cell>
          <cell r="R21">
            <v>404.63072835556505</v>
          </cell>
          <cell r="S21">
            <v>321.65491826228441</v>
          </cell>
        </row>
        <row r="22">
          <cell r="J22" t="str">
            <v>Norway</v>
          </cell>
          <cell r="K22">
            <v>0.374237506156406</v>
          </cell>
          <cell r="L22">
            <v>1634.5880029067905</v>
          </cell>
          <cell r="M22">
            <v>1388.1031946822109</v>
          </cell>
          <cell r="O22">
            <v>1615.6998635319537</v>
          </cell>
          <cell r="P22">
            <v>1261.9018683949355</v>
          </cell>
          <cell r="Q22">
            <v>1609.4162122999051</v>
          </cell>
          <cell r="R22">
            <v>1678.176279701365</v>
          </cell>
          <cell r="S22">
            <v>1334.0401908445992</v>
          </cell>
        </row>
        <row r="23">
          <cell r="J23" t="str">
            <v>Sweden</v>
          </cell>
          <cell r="K23">
            <v>0.24755852450904356</v>
          </cell>
          <cell r="L23">
            <v>1081.2817729997118</v>
          </cell>
          <cell r="M23">
            <v>918.23179956260401</v>
          </cell>
          <cell r="O23">
            <v>1068.7872478988484</v>
          </cell>
          <cell r="P23">
            <v>834.74948255051618</v>
          </cell>
          <cell r="Q23">
            <v>1064.6306056544304</v>
          </cell>
          <cell r="R23">
            <v>1110.1154663405575</v>
          </cell>
          <cell r="S23">
            <v>882.46906268990688</v>
          </cell>
        </row>
        <row r="24">
          <cell r="K24"/>
          <cell r="L24">
            <v>4367.7824269800558</v>
          </cell>
          <cell r="M24">
            <v>3709.150397400515</v>
          </cell>
          <cell r="N24">
            <v>1.6060910864537571E-2</v>
          </cell>
          <cell r="O24">
            <v>4317.3114317855152</v>
          </cell>
          <cell r="P24">
            <v>3371.9278469848123</v>
          </cell>
          <cell r="Q24">
            <v>4300.520888003347</v>
          </cell>
          <cell r="R24">
            <v>4484.2546567205927</v>
          </cell>
          <cell r="S24">
            <v>3564.6886506534715</v>
          </cell>
        </row>
        <row r="25">
          <cell r="J25" t="str">
            <v>Ireland</v>
          </cell>
          <cell r="K25">
            <v>0.88329396558909923</v>
          </cell>
          <cell r="L25">
            <v>1664.5706597623534</v>
          </cell>
          <cell r="M25">
            <v>1413.5646698014802</v>
          </cell>
          <cell r="O25">
            <v>1645.336062074774</v>
          </cell>
          <cell r="P25">
            <v>1285.0484782062131</v>
          </cell>
          <cell r="Q25">
            <v>1638.9371520996319</v>
          </cell>
          <cell r="R25">
            <v>1708.9584605615898</v>
          </cell>
          <cell r="S25">
            <v>1358.5100078275295</v>
          </cell>
        </row>
        <row r="26">
          <cell r="J26" t="str">
            <v>Greece</v>
          </cell>
          <cell r="K26">
            <v>0.11670603441090077</v>
          </cell>
          <cell r="L26">
            <v>219.93294222047436</v>
          </cell>
          <cell r="M26">
            <v>186.76854300239665</v>
          </cell>
          <cell r="O26">
            <v>217.39155316195254</v>
          </cell>
          <cell r="P26">
            <v>169.78822199604619</v>
          </cell>
          <cell r="Q26">
            <v>216.54609124684356</v>
          </cell>
          <cell r="R26">
            <v>225.79772156836106</v>
          </cell>
          <cell r="S26">
            <v>179.49439472886326</v>
          </cell>
        </row>
        <row r="27">
          <cell r="K27"/>
          <cell r="L27">
            <v>1884.5036019828278</v>
          </cell>
          <cell r="M27">
            <v>1600.3332128038769</v>
          </cell>
          <cell r="N27">
            <v>6.9295677798385871E-3</v>
          </cell>
          <cell r="O27">
            <v>1862.7276152367265</v>
          </cell>
          <cell r="P27">
            <v>1454.8367002022592</v>
          </cell>
          <cell r="Q27">
            <v>1855.4832433464755</v>
          </cell>
          <cell r="R27">
            <v>1934.756182129951</v>
          </cell>
          <cell r="S27">
            <v>1538.0044025563927</v>
          </cell>
        </row>
        <row r="28">
          <cell r="J28" t="str">
            <v>Japan</v>
          </cell>
          <cell r="L28">
            <v>5907.6041666112915</v>
          </cell>
          <cell r="M28">
            <v>5016.7774399471627</v>
          </cell>
          <cell r="N28">
            <v>2.1723038070034333E-2</v>
          </cell>
          <cell r="O28">
            <v>5839.3400837525569</v>
          </cell>
          <cell r="P28">
            <v>4560.6701641805648</v>
          </cell>
          <cell r="Q28">
            <v>5816.630187354217</v>
          </cell>
          <cell r="R28">
            <v>6065.1376154981763</v>
          </cell>
          <cell r="S28">
            <v>4821.387025871787</v>
          </cell>
        </row>
        <row r="29">
          <cell r="J29" t="str">
            <v>Australia</v>
          </cell>
          <cell r="K29">
            <v>0.94784263878829977</v>
          </cell>
          <cell r="L29">
            <v>19409.748670180936</v>
          </cell>
          <cell r="M29">
            <v>16482.889932597478</v>
          </cell>
          <cell r="O29">
            <v>19185.463383943068</v>
          </cell>
          <cell r="P29">
            <v>14984.325143963581</v>
          </cell>
          <cell r="Q29">
            <v>19110.848807714534</v>
          </cell>
          <cell r="R29">
            <v>19927.333221177552</v>
          </cell>
          <cell r="S29">
            <v>15840.924302740279</v>
          </cell>
        </row>
        <row r="30">
          <cell r="J30" t="str">
            <v>New Zealand</v>
          </cell>
          <cell r="K30">
            <v>5.2157361211700282E-2</v>
          </cell>
          <cell r="L30">
            <v>1068.0689293669313</v>
          </cell>
          <cell r="M30">
            <v>907.01136332736689</v>
          </cell>
          <cell r="O30">
            <v>1055.7270825138157</v>
          </cell>
          <cell r="P30">
            <v>824.54916783061981</v>
          </cell>
          <cell r="Q30">
            <v>1051.6212328244783</v>
          </cell>
          <cell r="R30">
            <v>1096.550286165183</v>
          </cell>
          <cell r="S30">
            <v>871.68563322013847</v>
          </cell>
        </row>
        <row r="31">
          <cell r="K31"/>
          <cell r="L31">
            <v>20477.817599547867</v>
          </cell>
          <cell r="M31">
            <v>17389.901295924843</v>
          </cell>
          <cell r="N31">
            <v>7.5299630571112872E-2</v>
          </cell>
          <cell r="O31">
            <v>20241.190466456883</v>
          </cell>
          <cell r="P31">
            <v>15808.874311794199</v>
          </cell>
          <cell r="Q31">
            <v>20162.47004053901</v>
          </cell>
          <cell r="R31">
            <v>21023.883507342733</v>
          </cell>
          <cell r="S31">
            <v>16712.609935960416</v>
          </cell>
        </row>
        <row r="32">
          <cell r="J32" t="str">
            <v>Bulgaria</v>
          </cell>
          <cell r="K32">
            <v>1.0064416653829534E-2</v>
          </cell>
          <cell r="L32">
            <v>8.959976247917286</v>
          </cell>
          <cell r="M32">
            <v>7.6088724693276317</v>
          </cell>
          <cell r="O32">
            <v>8.8564411186584504</v>
          </cell>
          <cell r="P32">
            <v>6.9171012805150287</v>
          </cell>
          <cell r="Q32">
            <v>8.8219973532024287</v>
          </cell>
          <cell r="R32">
            <v>9.1989049101077036</v>
          </cell>
          <cell r="S32">
            <v>7.3125267054931671</v>
          </cell>
        </row>
        <row r="33">
          <cell r="J33" t="str">
            <v>Cyprus</v>
          </cell>
          <cell r="K33">
            <v>1.0806333638375484E-2</v>
          </cell>
          <cell r="L33">
            <v>9.6204773766070169</v>
          </cell>
          <cell r="M33">
            <v>8.1697744979703213</v>
          </cell>
          <cell r="O33">
            <v>9.5093099648685939</v>
          </cell>
          <cell r="P33">
            <v>7.42700812363901</v>
          </cell>
          <cell r="Q33">
            <v>9.4723271138915237</v>
          </cell>
          <cell r="R33">
            <v>9.8770191045786948</v>
          </cell>
          <cell r="S33">
            <v>7.8515830611028967</v>
          </cell>
        </row>
        <row r="34">
          <cell r="J34" t="str">
            <v>Czech Republic</v>
          </cell>
          <cell r="K34">
            <v>0.43757361402154754</v>
          </cell>
          <cell r="L34">
            <v>389.55553244673911</v>
          </cell>
          <cell r="M34">
            <v>330.81319459939965</v>
          </cell>
          <cell r="O34">
            <v>385.05410506686826</v>
          </cell>
          <cell r="P34">
            <v>300.73685440242116</v>
          </cell>
          <cell r="Q34">
            <v>383.55658330783342</v>
          </cell>
          <cell r="R34">
            <v>399.94350442802761</v>
          </cell>
          <cell r="S34">
            <v>317.92888233956472</v>
          </cell>
        </row>
        <row r="35">
          <cell r="J35" t="str">
            <v>Estonia</v>
          </cell>
          <cell r="K35">
            <v>1.5290511519227567E-2</v>
          </cell>
          <cell r="L35">
            <v>13.612574354088853</v>
          </cell>
          <cell r="M35">
            <v>11.559890269081682</v>
          </cell>
          <cell r="O35">
            <v>13.455277101696728</v>
          </cell>
          <cell r="P35">
            <v>10.508906819664961</v>
          </cell>
          <cell r="Q35">
            <v>13.40294790959492</v>
          </cell>
          <cell r="R35">
            <v>13.975570202447944</v>
          </cell>
          <cell r="S35">
            <v>11.109662653171027</v>
          </cell>
        </row>
        <row r="36">
          <cell r="J36" t="str">
            <v>Hungary</v>
          </cell>
          <cell r="K36">
            <v>0.11171557299599444</v>
          </cell>
          <cell r="L36">
            <v>99.456224339212852</v>
          </cell>
          <cell r="M36">
            <v>84.458898811680783</v>
          </cell>
          <cell r="O36">
            <v>98.306978765604356</v>
          </cell>
          <cell r="P36">
            <v>76.780200939915474</v>
          </cell>
          <cell r="Q36">
            <v>97.924651093131146</v>
          </cell>
          <cell r="R36">
            <v>102.10834550230206</v>
          </cell>
          <cell r="S36">
            <v>81.169444693234112</v>
          </cell>
        </row>
        <row r="37">
          <cell r="J37" t="str">
            <v>Latvia</v>
          </cell>
          <cell r="K37">
            <v>1.3308039274637928E-2</v>
          </cell>
          <cell r="L37">
            <v>11.847652964738423</v>
          </cell>
          <cell r="M37">
            <v>10.061107080557326</v>
          </cell>
          <cell r="O37">
            <v>11.710749891875574</v>
          </cell>
          <cell r="P37">
            <v>9.1463875825049339</v>
          </cell>
          <cell r="Q37">
            <v>11.665205376060962</v>
          </cell>
          <cell r="R37">
            <v>12.163585038064987</v>
          </cell>
          <cell r="S37">
            <v>9.6692531659560252</v>
          </cell>
        </row>
        <row r="38">
          <cell r="J38" t="str">
            <v>Lithuania</v>
          </cell>
          <cell r="K38">
            <v>7.9160938325450198E-3</v>
          </cell>
          <cell r="L38">
            <v>7.0474042515816979</v>
          </cell>
          <cell r="M38">
            <v>5.9847033860772685</v>
          </cell>
          <cell r="O38">
            <v>6.9659694475222134</v>
          </cell>
          <cell r="P38">
            <v>5.4405957810718553</v>
          </cell>
          <cell r="Q38">
            <v>6.9388779539290599</v>
          </cell>
          <cell r="R38">
            <v>7.2353318557577548</v>
          </cell>
          <cell r="S38">
            <v>5.7516147775588369</v>
          </cell>
        </row>
        <row r="39">
          <cell r="J39" t="str">
            <v>Malta</v>
          </cell>
          <cell r="K39">
            <v>1.1108520720815217E-2</v>
          </cell>
          <cell r="L39">
            <v>9.8895033096755949</v>
          </cell>
          <cell r="M39">
            <v>8.3982331410539448</v>
          </cell>
          <cell r="O39">
            <v>9.7752272251032792</v>
          </cell>
          <cell r="P39">
            <v>7.6346961324719542</v>
          </cell>
          <cell r="Q39">
            <v>9.7372101898958245</v>
          </cell>
          <cell r="R39">
            <v>10.153218941294345</v>
          </cell>
          <cell r="S39">
            <v>8.0711438351051132</v>
          </cell>
        </row>
        <row r="40">
          <cell r="J40" t="str">
            <v>Poland</v>
          </cell>
          <cell r="K40">
            <v>0.24920087389075221</v>
          </cell>
          <cell r="L40">
            <v>221.85428006617477</v>
          </cell>
          <cell r="M40">
            <v>188.40015610425337</v>
          </cell>
          <cell r="O40">
            <v>219.29068939051683</v>
          </cell>
          <cell r="P40">
            <v>171.2714947308244</v>
          </cell>
          <cell r="Q40">
            <v>218.4378415060383</v>
          </cell>
          <cell r="R40">
            <v>227.77029422410857</v>
          </cell>
          <cell r="S40">
            <v>181.06246075026868</v>
          </cell>
        </row>
        <row r="41">
          <cell r="J41" t="str">
            <v>Romania</v>
          </cell>
          <cell r="K41">
            <v>3.2187788375077173E-2</v>
          </cell>
          <cell r="L41">
            <v>28.655592195096776</v>
          </cell>
          <cell r="M41">
            <v>24.334522828253419</v>
          </cell>
          <cell r="O41">
            <v>28.324468500143073</v>
          </cell>
          <cell r="P41">
            <v>22.12211595010583</v>
          </cell>
          <cell r="Q41">
            <v>28.214311233063174</v>
          </cell>
          <cell r="R41">
            <v>29.419728406846236</v>
          </cell>
          <cell r="S41">
            <v>23.386756548274853</v>
          </cell>
        </row>
        <row r="42">
          <cell r="J42" t="str">
            <v>Slovakia</v>
          </cell>
          <cell r="K42">
            <v>9.0615536882827252E-2</v>
          </cell>
          <cell r="L42">
            <v>80.671646066388774</v>
          </cell>
          <cell r="M42">
            <v>68.506907811565739</v>
          </cell>
          <cell r="O42">
            <v>79.739461753406019</v>
          </cell>
          <cell r="P42">
            <v>62.278507315996656</v>
          </cell>
          <cell r="Q42">
            <v>79.429345389346707</v>
          </cell>
          <cell r="R42">
            <v>82.822853607348662</v>
          </cell>
          <cell r="S42">
            <v>65.838742192389617</v>
          </cell>
        </row>
        <row r="43">
          <cell r="J43" t="str">
            <v>Slovenia</v>
          </cell>
          <cell r="K43">
            <v>1.0212698194370729E-2</v>
          </cell>
          <cell r="L43">
            <v>9.0919857947148301</v>
          </cell>
          <cell r="M43">
            <v>7.7209758698862805</v>
          </cell>
          <cell r="O43">
            <v>8.9869252567815856</v>
          </cell>
          <cell r="P43">
            <v>7.0190126450017098</v>
          </cell>
          <cell r="Q43">
            <v>8.9519740228075619</v>
          </cell>
          <cell r="R43">
            <v>9.3344346519972863</v>
          </cell>
          <cell r="S43">
            <v>7.4202639705960154</v>
          </cell>
        </row>
        <row r="44">
          <cell r="K44"/>
          <cell r="L44">
            <v>890.26284941293591</v>
          </cell>
          <cell r="M44">
            <v>756.01723686910736</v>
          </cell>
          <cell r="N44">
            <v>3.2736136722626369E-3</v>
          </cell>
          <cell r="O44">
            <v>879.97560348304489</v>
          </cell>
          <cell r="P44">
            <v>687.28288170413293</v>
          </cell>
          <cell r="Q44">
            <v>876.55327244879493</v>
          </cell>
          <cell r="R44">
            <v>914.00279087288175</v>
          </cell>
          <cell r="S44">
            <v>726.572334692715</v>
          </cell>
        </row>
        <row r="45">
          <cell r="J45" t="str">
            <v>Brazil</v>
          </cell>
          <cell r="K45">
            <v>0.82594437878220051</v>
          </cell>
          <cell r="L45">
            <v>4044.4714831506603</v>
          </cell>
          <cell r="M45">
            <v>3434.5925557870787</v>
          </cell>
          <cell r="O45">
            <v>3997.7364398642444</v>
          </cell>
          <cell r="P45">
            <v>3122.3318121642201</v>
          </cell>
          <cell r="Q45">
            <v>3982.1887616891377</v>
          </cell>
          <cell r="R45">
            <v>4152.3222334203501</v>
          </cell>
          <cell r="S45">
            <v>3300.8241218295007</v>
          </cell>
        </row>
        <row r="46">
          <cell r="J46" t="str">
            <v>Argentina</v>
          </cell>
          <cell r="K46">
            <v>1.305446778286041E-2</v>
          </cell>
          <cell r="L46">
            <v>63.924913144073557</v>
          </cell>
          <cell r="M46">
            <v>54.285468874893773</v>
          </cell>
          <cell r="O46">
            <v>63.186242196506051</v>
          </cell>
          <cell r="P46">
            <v>49.350030215589598</v>
          </cell>
          <cell r="Q46">
            <v>62.940503295619678</v>
          </cell>
          <cell r="R46">
            <v>65.629548687242817</v>
          </cell>
          <cell r="S46">
            <v>52.171191259689635</v>
          </cell>
        </row>
        <row r="47">
          <cell r="J47" t="str">
            <v>Belize</v>
          </cell>
          <cell r="K47">
            <v>1.1526575178056273E-4</v>
          </cell>
          <cell r="L47">
            <v>0.56443152594339685</v>
          </cell>
          <cell r="M47">
            <v>0.47931907180776084</v>
          </cell>
          <cell r="O47">
            <v>0.55790935564078092</v>
          </cell>
          <cell r="P47">
            <v>0.43574111390905151</v>
          </cell>
          <cell r="Q47">
            <v>0.55573957900771231</v>
          </cell>
          <cell r="R47">
            <v>0.57948277894455291</v>
          </cell>
          <cell r="S47">
            <v>0.46065084244422555</v>
          </cell>
        </row>
        <row r="48">
          <cell r="J48" t="str">
            <v>Bolivia</v>
          </cell>
          <cell r="K48">
            <v>2.7333812843475641E-4</v>
          </cell>
          <cell r="L48">
            <v>1.3384778613568902</v>
          </cell>
          <cell r="M48">
            <v>1.1366444584549287</v>
          </cell>
          <cell r="O48">
            <v>1.323011360715453</v>
          </cell>
          <cell r="P48">
            <v>1.0333048517717711</v>
          </cell>
          <cell r="Q48">
            <v>1.3178660102983275</v>
          </cell>
          <cell r="R48">
            <v>1.3741700011502105</v>
          </cell>
          <cell r="S48">
            <v>1.0923751174182794</v>
          </cell>
        </row>
        <row r="49">
          <cell r="J49" t="str">
            <v>Chile</v>
          </cell>
          <cell r="K49">
            <v>4.3448177943114986E-2</v>
          </cell>
          <cell r="L49">
            <v>212.75635648114545</v>
          </cell>
          <cell r="M49">
            <v>180.67413782264609</v>
          </cell>
          <cell r="O49">
            <v>210.29789495631337</v>
          </cell>
          <cell r="P49">
            <v>164.24789811195365</v>
          </cell>
          <cell r="Q49">
            <v>209.48002113174624</v>
          </cell>
          <cell r="R49">
            <v>218.4297634433976</v>
          </cell>
          <cell r="S49">
            <v>173.63735075675422</v>
          </cell>
        </row>
        <row r="50">
          <cell r="J50" t="str">
            <v>Colombia</v>
          </cell>
          <cell r="K50">
            <v>6.7210849969674358E-2</v>
          </cell>
          <cell r="L50">
            <v>329.11703626031561</v>
          </cell>
          <cell r="M50">
            <v>279.48841460041973</v>
          </cell>
          <cell r="O50">
            <v>325.31399326693531</v>
          </cell>
          <cell r="P50">
            <v>254.07833792915611</v>
          </cell>
          <cell r="Q50">
            <v>324.04880799290436</v>
          </cell>
          <cell r="R50">
            <v>337.89334224617483</v>
          </cell>
          <cell r="S50">
            <v>268.60306883578454</v>
          </cell>
        </row>
        <row r="51">
          <cell r="J51" t="str">
            <v>Costa Rica</v>
          </cell>
          <cell r="K51">
            <v>6.9725747697133916E-3</v>
          </cell>
          <cell r="L51">
            <v>34.143194801835399</v>
          </cell>
          <cell r="M51">
            <v>28.99463210105754</v>
          </cell>
          <cell r="O51">
            <v>33.748660264097168</v>
          </cell>
          <cell r="P51">
            <v>26.358544928012169</v>
          </cell>
          <cell r="Q51">
            <v>33.617407662401142</v>
          </cell>
          <cell r="R51">
            <v>35.053664610146065</v>
          </cell>
          <cell r="S51">
            <v>27.865366703099511</v>
          </cell>
        </row>
        <row r="52">
          <cell r="J52" t="str">
            <v>Dominican Republic</v>
          </cell>
          <cell r="K52">
            <v>4.3982649806390845E-3</v>
          </cell>
          <cell r="L52">
            <v>21.537354992067563</v>
          </cell>
          <cell r="M52">
            <v>18.289667620421547</v>
          </cell>
          <cell r="O52">
            <v>21.288484596510941</v>
          </cell>
          <cell r="P52">
            <v>16.626837133543319</v>
          </cell>
          <cell r="Q52">
            <v>21.205691117670824</v>
          </cell>
          <cell r="R52">
            <v>22.1116747528561</v>
          </cell>
          <cell r="S52">
            <v>17.577332705741178</v>
          </cell>
        </row>
        <row r="53">
          <cell r="J53" t="str">
            <v>Ecuador</v>
          </cell>
          <cell r="K53">
            <v>9.6378568702159932E-3</v>
          </cell>
          <cell r="L53">
            <v>47.194506399752612</v>
          </cell>
          <cell r="M53">
            <v>40.077894239067341</v>
          </cell>
          <cell r="O53">
            <v>46.64916016386934</v>
          </cell>
          <cell r="P53">
            <v>36.434156923896474</v>
          </cell>
          <cell r="Q53">
            <v>46.467735965381785</v>
          </cell>
          <cell r="R53">
            <v>48.453005302520474</v>
          </cell>
          <cell r="S53">
            <v>38.516964649429625</v>
          </cell>
        </row>
        <row r="54">
          <cell r="J54" t="str">
            <v>El Salvador</v>
          </cell>
          <cell r="K54">
            <v>1.2802516513598366E-3</v>
          </cell>
          <cell r="L54">
            <v>6.2691162119366037</v>
          </cell>
          <cell r="M54">
            <v>5.3237759154894917</v>
          </cell>
          <cell r="O54">
            <v>6.1966747523409511</v>
          </cell>
          <cell r="P54">
            <v>4.8397574477235956</v>
          </cell>
          <cell r="Q54">
            <v>6.1725751384083027</v>
          </cell>
          <cell r="R54">
            <v>6.4362898191191507</v>
          </cell>
          <cell r="S54">
            <v>5.1164287104313066</v>
          </cell>
        </row>
        <row r="55">
          <cell r="J55" t="str">
            <v>Guatemala</v>
          </cell>
          <cell r="K55">
            <v>2.7099136173983512E-3</v>
          </cell>
          <cell r="L55">
            <v>13.26986251002678</v>
          </cell>
          <cell r="M55">
            <v>11.268857051688661</v>
          </cell>
          <cell r="O55">
            <v>13.116525392582753</v>
          </cell>
          <cell r="P55">
            <v>10.244333290693781</v>
          </cell>
          <cell r="Q55">
            <v>13.065513646649242</v>
          </cell>
          <cell r="R55">
            <v>13.623719530318375</v>
          </cell>
          <cell r="S55">
            <v>10.829964421540641</v>
          </cell>
        </row>
        <row r="56">
          <cell r="J56" t="str">
            <v>Honduras</v>
          </cell>
          <cell r="K56">
            <v>1.5472728346349013E-3</v>
          </cell>
          <cell r="L56">
            <v>7.5766613552856912</v>
          </cell>
          <cell r="M56">
            <v>6.434152100464817</v>
          </cell>
          <cell r="O56">
            <v>7.4891108315940391</v>
          </cell>
          <cell r="P56">
            <v>5.8491822425151581</v>
          </cell>
          <cell r="Q56">
            <v>7.45998477819386</v>
          </cell>
          <cell r="R56">
            <v>7.778702243720975</v>
          </cell>
          <cell r="S56">
            <v>6.1835586352009866</v>
          </cell>
        </row>
        <row r="57">
          <cell r="J57" t="str">
            <v>Nicaragua</v>
          </cell>
          <cell r="K57">
            <v>7.0324577964887413E-4</v>
          </cell>
          <cell r="L57">
            <v>3.4436429068378565</v>
          </cell>
          <cell r="M57">
            <v>2.9243648624765672</v>
          </cell>
          <cell r="O57">
            <v>3.4038506123478345</v>
          </cell>
          <cell r="P57">
            <v>2.6584921769253027</v>
          </cell>
          <cell r="Q57">
            <v>3.3906126276349853</v>
          </cell>
          <cell r="R57">
            <v>3.5354718324986298</v>
          </cell>
          <cell r="S57">
            <v>2.810468468182306</v>
          </cell>
        </row>
        <row r="58">
          <cell r="J58" t="str">
            <v>Panama</v>
          </cell>
          <cell r="K58">
            <v>4.3471596290926232E-3</v>
          </cell>
          <cell r="L58">
            <v>21.28710310795061</v>
          </cell>
          <cell r="M58">
            <v>18.077152026767212</v>
          </cell>
          <cell r="O58">
            <v>21.041124445636623</v>
          </cell>
          <cell r="P58">
            <v>16.433642689698779</v>
          </cell>
          <cell r="Q58">
            <v>20.959292980195084</v>
          </cell>
          <cell r="R58">
            <v>21.854749597937051</v>
          </cell>
          <cell r="S58">
            <v>17.373094040919877</v>
          </cell>
        </row>
        <row r="59">
          <cell r="J59" t="str">
            <v>Paraguay</v>
          </cell>
          <cell r="K59">
            <v>1.3376491875996004E-3</v>
          </cell>
          <cell r="L59">
            <v>6.5501795673977909</v>
          </cell>
          <cell r="M59">
            <v>5.5624568191361483</v>
          </cell>
          <cell r="O59">
            <v>6.4744903390544968</v>
          </cell>
          <cell r="P59">
            <v>5.0567383461292517</v>
          </cell>
          <cell r="Q59">
            <v>6.4493102668677285</v>
          </cell>
          <cell r="R59">
            <v>6.7248480707332936</v>
          </cell>
          <cell r="S59">
            <v>5.3458136145735686</v>
          </cell>
        </row>
        <row r="60">
          <cell r="J60" t="str">
            <v>Peru</v>
          </cell>
          <cell r="K60">
            <v>1.1470110838557729E-2</v>
          </cell>
          <cell r="L60">
            <v>56.166658902048304</v>
          </cell>
          <cell r="M60">
            <v>47.697106866019936</v>
          </cell>
          <cell r="O60">
            <v>55.517636836748508</v>
          </cell>
          <cell r="P60">
            <v>43.360658272271316</v>
          </cell>
          <cell r="Q60">
            <v>55.30172206508599</v>
          </cell>
          <cell r="R60">
            <v>57.664411161636195</v>
          </cell>
          <cell r="S60">
            <v>45.839428790341287</v>
          </cell>
        </row>
        <row r="61">
          <cell r="J61" t="str">
            <v>Venezuela</v>
          </cell>
          <cell r="K61">
            <v>5.5492214830740252E-3</v>
          </cell>
          <cell r="L61">
            <v>27.173340746106401</v>
          </cell>
          <cell r="M61">
            <v>23.075784866144932</v>
          </cell>
          <cell r="O61">
            <v>26.859344897378964</v>
          </cell>
          <cell r="P61">
            <v>20.977817894824732</v>
          </cell>
          <cell r="Q61">
            <v>26.754885672329895</v>
          </cell>
          <cell r="R61">
            <v>27.897950920516266</v>
          </cell>
          <cell r="S61">
            <v>22.177043151153121</v>
          </cell>
        </row>
        <row r="62">
          <cell r="K62"/>
          <cell r="L62">
            <v>4896.7843199247409</v>
          </cell>
          <cell r="M62">
            <v>4158.3823850840354</v>
          </cell>
          <cell r="N62">
            <v>1.8006120451277596E-2</v>
          </cell>
          <cell r="O62">
            <v>4840.200554132517</v>
          </cell>
          <cell r="P62">
            <v>3780.3172857328341</v>
          </cell>
          <cell r="Q62">
            <v>4821.3764316195329</v>
          </cell>
          <cell r="R62">
            <v>5027.3630284192632</v>
          </cell>
          <cell r="S62">
            <v>3996.424222532205</v>
          </cell>
        </row>
        <row r="63">
          <cell r="J63" t="str">
            <v>Thailand</v>
          </cell>
          <cell r="K63">
            <v>0.12453604576012003</v>
          </cell>
          <cell r="L63">
            <v>176.24501352472413</v>
          </cell>
          <cell r="M63">
            <v>149.66845828148999</v>
          </cell>
          <cell r="O63">
            <v>174.20845117772586</v>
          </cell>
          <cell r="P63">
            <v>136.0611429097967</v>
          </cell>
          <cell r="Q63">
            <v>173.53093354367519</v>
          </cell>
          <cell r="R63">
            <v>180.94480112840031</v>
          </cell>
          <cell r="S63">
            <v>143.83926167316858</v>
          </cell>
        </row>
        <row r="64">
          <cell r="J64" t="str">
            <v>Brunei Darussalam</v>
          </cell>
          <cell r="K64">
            <v>2.841985151060088E-3</v>
          </cell>
          <cell r="L64">
            <v>4.0220139344270729</v>
          </cell>
          <cell r="M64">
            <v>3.4155214534221363</v>
          </cell>
          <cell r="O64">
            <v>3.9755383946421845</v>
          </cell>
          <cell r="P64">
            <v>3.1049945855092655</v>
          </cell>
          <cell r="Q64">
            <v>3.960077047336664</v>
          </cell>
          <cell r="R64">
            <v>4.1292658268511468</v>
          </cell>
          <cell r="S64">
            <v>3.2824957892271329</v>
          </cell>
        </row>
        <row r="65">
          <cell r="J65" t="str">
            <v>Cambodia</v>
          </cell>
          <cell r="K65">
            <v>9.8863378192969617E-4</v>
          </cell>
          <cell r="L65">
            <v>1.3991272422670387</v>
          </cell>
          <cell r="M65">
            <v>1.1881483231885281</v>
          </cell>
          <cell r="O65">
            <v>1.3829599204048468</v>
          </cell>
          <cell r="P65">
            <v>1.0801261712427406</v>
          </cell>
          <cell r="Q65">
            <v>1.3775814228237868</v>
          </cell>
          <cell r="R65">
            <v>1.4364366715533874</v>
          </cell>
          <cell r="S65">
            <v>1.141873040772728</v>
          </cell>
        </row>
        <row r="66">
          <cell r="J66" t="str">
            <v>Hong Kong</v>
          </cell>
          <cell r="K66">
            <v>0.21306508222854384</v>
          </cell>
          <cell r="L66">
            <v>301.53244444060607</v>
          </cell>
          <cell r="M66">
            <v>256.0633925392936</v>
          </cell>
          <cell r="O66">
            <v>298.04814942161568</v>
          </cell>
          <cell r="P66">
            <v>232.78303422308329</v>
          </cell>
          <cell r="Q66">
            <v>296.88900429596788</v>
          </cell>
          <cell r="R66">
            <v>309.57317374208691</v>
          </cell>
          <cell r="S66">
            <v>246.09039036873591</v>
          </cell>
        </row>
        <row r="67">
          <cell r="J67" t="str">
            <v>Laos</v>
          </cell>
          <cell r="K67">
            <v>1.4125907076060023E-4</v>
          </cell>
          <cell r="L67">
            <v>0.19991165356772891</v>
          </cell>
          <cell r="M67">
            <v>0.16976632917780674</v>
          </cell>
          <cell r="O67">
            <v>0.19760161631765327</v>
          </cell>
          <cell r="P67">
            <v>0.1543317880116751</v>
          </cell>
          <cell r="Q67">
            <v>0.19683311984881349</v>
          </cell>
          <cell r="R67">
            <v>0.20524254090733707</v>
          </cell>
          <cell r="S67">
            <v>0.16315437284703962</v>
          </cell>
        </row>
        <row r="68">
          <cell r="J68" t="str">
            <v>Macao</v>
          </cell>
          <cell r="K68">
            <v>6.0040496742892208E-3</v>
          </cell>
          <cell r="L68">
            <v>8.4970083126493456</v>
          </cell>
          <cell r="M68">
            <v>7.2157169654098041</v>
          </cell>
          <cell r="O68">
            <v>8.3988229124181757</v>
          </cell>
          <cell r="P68">
            <v>6.5596900542716945</v>
          </cell>
          <cell r="Q68">
            <v>8.3661588792443382</v>
          </cell>
          <cell r="R68">
            <v>8.7235913718660587</v>
          </cell>
          <cell r="S68">
            <v>6.9346835843999859</v>
          </cell>
        </row>
        <row r="69">
          <cell r="J69" t="str">
            <v>Malaysia</v>
          </cell>
          <cell r="K69">
            <v>0.12238570893343392</v>
          </cell>
          <cell r="L69">
            <v>173.20182919372326</v>
          </cell>
          <cell r="M69">
            <v>147.08416555184976</v>
          </cell>
          <cell r="O69">
            <v>171.2004317260004</v>
          </cell>
          <cell r="P69">
            <v>133.71180473630517</v>
          </cell>
          <cell r="Q69">
            <v>170.53461264163738</v>
          </cell>
          <cell r="R69">
            <v>177.82046658663032</v>
          </cell>
          <cell r="S69">
            <v>141.35562041403523</v>
          </cell>
        </row>
        <row r="70">
          <cell r="J70" t="str">
            <v>Philippines</v>
          </cell>
          <cell r="K70">
            <v>0.1055338252299562</v>
          </cell>
          <cell r="L70">
            <v>149.35282665708093</v>
          </cell>
          <cell r="M70">
            <v>126.83143119173766</v>
          </cell>
          <cell r="O70">
            <v>147.62701134404284</v>
          </cell>
          <cell r="P70">
            <v>115.30037579713131</v>
          </cell>
          <cell r="Q70">
            <v>147.05287212880037</v>
          </cell>
          <cell r="R70">
            <v>153.3355013964061</v>
          </cell>
          <cell r="S70">
            <v>121.89167730491044</v>
          </cell>
        </row>
        <row r="71">
          <cell r="J71" t="str">
            <v>Singapore</v>
          </cell>
          <cell r="K71">
            <v>0.24350763807705952</v>
          </cell>
          <cell r="L71">
            <v>344.61514097638246</v>
          </cell>
          <cell r="M71">
            <v>292.64951001384213</v>
          </cell>
          <cell r="O71">
            <v>340.63301287935383</v>
          </cell>
          <cell r="P71">
            <v>266.04287410769575</v>
          </cell>
          <cell r="Q71">
            <v>339.30825009428014</v>
          </cell>
          <cell r="R71">
            <v>353.80472277055173</v>
          </cell>
          <cell r="S71">
            <v>281.25157386358654</v>
          </cell>
        </row>
        <row r="72">
          <cell r="J72" t="str">
            <v>Sri Lanka</v>
          </cell>
          <cell r="K72">
            <v>7.703292065391101E-3</v>
          </cell>
          <cell r="L72">
            <v>10.901797997223049</v>
          </cell>
          <cell r="M72">
            <v>9.2578806407576248</v>
          </cell>
          <cell r="O72">
            <v>10.775824553369496</v>
          </cell>
          <cell r="P72">
            <v>8.4161875880012804</v>
          </cell>
          <cell r="Q72">
            <v>10.733916074722293</v>
          </cell>
          <cell r="R72">
            <v>11.19250769765916</v>
          </cell>
          <cell r="S72">
            <v>8.8973103038209551</v>
          </cell>
        </row>
        <row r="73">
          <cell r="J73" t="str">
            <v>Taiwan</v>
          </cell>
          <cell r="K73">
            <v>0.16585175733298707</v>
          </cell>
          <cell r="L73">
            <v>234.71553987313141</v>
          </cell>
          <cell r="M73">
            <v>199.32202497514126</v>
          </cell>
          <cell r="O73">
            <v>232.00333360300093</v>
          </cell>
          <cell r="P73">
            <v>181.20038675220843</v>
          </cell>
          <cell r="Q73">
            <v>231.10104471510871</v>
          </cell>
          <cell r="R73">
            <v>240.97451516340911</v>
          </cell>
          <cell r="S73">
            <v>191.55895127684991</v>
          </cell>
        </row>
        <row r="74">
          <cell r="J74" t="str">
            <v>Viet Nam</v>
          </cell>
          <cell r="K74">
            <v>6.8377657175683285E-3</v>
          </cell>
          <cell r="L74">
            <v>9.6768939788968247</v>
          </cell>
          <cell r="M74">
            <v>8.2176838584528014</v>
          </cell>
          <cell r="O74">
            <v>9.5650746569246277</v>
          </cell>
          <cell r="P74">
            <v>7.4705617381959524</v>
          </cell>
          <cell r="Q74">
            <v>9.5278749303484105</v>
          </cell>
          <cell r="R74">
            <v>9.9349401241724653</v>
          </cell>
          <cell r="S74">
            <v>7.8976264767841959</v>
          </cell>
        </row>
        <row r="75">
          <cell r="J75" t="str">
            <v>Mongolia</v>
          </cell>
          <cell r="K75">
            <v>6.0295697690032884E-4</v>
          </cell>
          <cell r="L75">
            <v>0.8533124678883558</v>
          </cell>
          <cell r="M75">
            <v>0.72463872280453245</v>
          </cell>
          <cell r="O75">
            <v>0.84345219435453578</v>
          </cell>
          <cell r="P75">
            <v>0.65875718874611844</v>
          </cell>
          <cell r="Q75">
            <v>0.84017190725427937</v>
          </cell>
          <cell r="R75">
            <v>0.87606708249242482</v>
          </cell>
          <cell r="S75">
            <v>0.69641593201927499</v>
          </cell>
        </row>
        <row r="76">
          <cell r="K76"/>
          <cell r="L76">
            <v>1415.2128602525677</v>
          </cell>
          <cell r="M76">
            <v>1201.8083388465677</v>
          </cell>
          <cell r="N76">
            <v>5.2039239552001482E-3</v>
          </cell>
          <cell r="O76">
            <v>1398.8596644001711</v>
          </cell>
          <cell r="P76">
            <v>1092.5442676401995</v>
          </cell>
          <cell r="Q76">
            <v>1393.4193308010483</v>
          </cell>
          <cell r="R76">
            <v>1452.9512321029865</v>
          </cell>
          <cell r="S76">
            <v>1155.001034401158</v>
          </cell>
        </row>
        <row r="77">
          <cell r="J77" t="str">
            <v>Russia</v>
          </cell>
          <cell r="K77"/>
          <cell r="L77">
            <v>2499.6170445011226</v>
          </cell>
          <cell r="M77">
            <v>2122.691711173637</v>
          </cell>
          <cell r="N77">
            <v>9.1914208682250982E-3</v>
          </cell>
          <cell r="O77">
            <v>2470.7332431785271</v>
          </cell>
          <cell r="P77">
            <v>1929.7042515413948</v>
          </cell>
          <cell r="Q77">
            <v>2461.1242642227307</v>
          </cell>
          <cell r="R77">
            <v>2566.2723725852607</v>
          </cell>
          <cell r="S77">
            <v>2040.018398002911</v>
          </cell>
        </row>
        <row r="78">
          <cell r="J78" t="str">
            <v>Turkey</v>
          </cell>
          <cell r="K78"/>
          <cell r="L78">
            <v>1263.1504335320087</v>
          </cell>
          <cell r="M78">
            <v>1072.6758969428113</v>
          </cell>
          <cell r="N78">
            <v>4.6447703979354384E-3</v>
          </cell>
          <cell r="O78">
            <v>1248.5543632087763</v>
          </cell>
          <cell r="P78">
            <v>975.15208070984897</v>
          </cell>
          <cell r="Q78">
            <v>1243.6985850164665</v>
          </cell>
          <cell r="R78">
            <v>1296.8338758624723</v>
          </cell>
          <cell r="S78">
            <v>1030.8979647580145</v>
          </cell>
        </row>
        <row r="79">
          <cell r="J79" t="str">
            <v>South Africa</v>
          </cell>
          <cell r="K79">
            <v>0.41619094682232305</v>
          </cell>
          <cell r="L79">
            <v>1944.062980761908</v>
          </cell>
          <cell r="M79">
            <v>1650.9114403508229</v>
          </cell>
          <cell r="O79">
            <v>1921.5987680864232</v>
          </cell>
          <cell r="P79">
            <v>1500.8165380746209</v>
          </cell>
          <cell r="Q79">
            <v>1914.1254391971124</v>
          </cell>
          <cell r="R79">
            <v>1995.9037841697655</v>
          </cell>
          <cell r="S79">
            <v>1586.6127398815993</v>
          </cell>
        </row>
        <row r="80">
          <cell r="J80" t="str">
            <v>Israel</v>
          </cell>
          <cell r="K80">
            <v>0.14003906391792051</v>
          </cell>
          <cell r="L80">
            <v>654.13426722038832</v>
          </cell>
          <cell r="M80">
            <v>555.49524679308752</v>
          </cell>
          <cell r="O80">
            <v>646.57555567524992</v>
          </cell>
          <cell r="P80">
            <v>504.99162634171711</v>
          </cell>
          <cell r="Q80">
            <v>644.06094551854073</v>
          </cell>
          <cell r="R80">
            <v>671.57755289831675</v>
          </cell>
          <cell r="S80">
            <v>533.8601538301142</v>
          </cell>
        </row>
        <row r="81">
          <cell r="J81" t="str">
            <v>India</v>
          </cell>
          <cell r="K81">
            <v>0.1230351375150206</v>
          </cell>
          <cell r="L81">
            <v>574.70749424545863</v>
          </cell>
          <cell r="M81">
            <v>488.0454936358783</v>
          </cell>
          <cell r="O81">
            <v>568.06658214297863</v>
          </cell>
          <cell r="P81">
            <v>443.674160999131</v>
          </cell>
          <cell r="Q81">
            <v>565.85730283353746</v>
          </cell>
          <cell r="R81">
            <v>590.03276843720562</v>
          </cell>
          <cell r="S81">
            <v>469.03739287186681</v>
          </cell>
        </row>
        <row r="82">
          <cell r="J82" t="str">
            <v>Indonesia</v>
          </cell>
          <cell r="K82">
            <v>0.15506905942764809</v>
          </cell>
          <cell r="L82">
            <v>724.34064267034057</v>
          </cell>
          <cell r="M82">
            <v>615.11497597000255</v>
          </cell>
          <cell r="O82">
            <v>715.97067605533573</v>
          </cell>
          <cell r="P82">
            <v>559.19094518902591</v>
          </cell>
          <cell r="Q82">
            <v>713.18617992319469</v>
          </cell>
          <cell r="R82">
            <v>743.65606672222884</v>
          </cell>
          <cell r="S82">
            <v>591.15784984722029</v>
          </cell>
        </row>
        <row r="83">
          <cell r="J83" t="str">
            <v>Nigeria</v>
          </cell>
          <cell r="K83">
            <v>4.2158370933092194E-2</v>
          </cell>
          <cell r="L83">
            <v>196.92530288325199</v>
          </cell>
          <cell r="M83">
            <v>167.23029996543502</v>
          </cell>
          <cell r="O83">
            <v>194.64977378315058</v>
          </cell>
          <cell r="P83">
            <v>152.02632541087138</v>
          </cell>
          <cell r="Q83">
            <v>193.89275738520607</v>
          </cell>
          <cell r="R83">
            <v>202.17655555038652</v>
          </cell>
          <cell r="S83">
            <v>160.71711536688929</v>
          </cell>
        </row>
        <row r="84">
          <cell r="J84" t="str">
            <v>Ukraine</v>
          </cell>
          <cell r="K84">
            <v>1.7677338326604022E-2</v>
          </cell>
          <cell r="L84">
            <v>82.572336812087684</v>
          </cell>
          <cell r="M84">
            <v>70.120987256365126</v>
          </cell>
          <cell r="O84">
            <v>81.618189465209284</v>
          </cell>
          <cell r="P84">
            <v>63.745840490455997</v>
          </cell>
          <cell r="Q84">
            <v>81.300766502958425</v>
          </cell>
          <cell r="R84">
            <v>84.774228583065806</v>
          </cell>
          <cell r="S84">
            <v>67.389957447010147</v>
          </cell>
        </row>
        <row r="85">
          <cell r="J85" t="str">
            <v>Kazakhstan</v>
          </cell>
          <cell r="K85">
            <v>1.9168987740220838E-2</v>
          </cell>
          <cell r="L85">
            <v>89.539956909133295</v>
          </cell>
          <cell r="M85">
            <v>76.037937398444754</v>
          </cell>
          <cell r="O85">
            <v>88.505296687285849</v>
          </cell>
          <cell r="P85">
            <v>69.124842907635326</v>
          </cell>
          <cell r="Q85">
            <v>88.161088936128323</v>
          </cell>
          <cell r="R85">
            <v>91.927648742787369</v>
          </cell>
          <cell r="S85">
            <v>73.076457792948034</v>
          </cell>
        </row>
        <row r="86">
          <cell r="J86" t="str">
            <v>Kenya</v>
          </cell>
          <cell r="K86">
            <v>1.9383755211510693E-2</v>
          </cell>
          <cell r="L86">
            <v>90.543153863786657</v>
          </cell>
          <cell r="M86">
            <v>76.889859041802865</v>
          </cell>
          <cell r="O86">
            <v>89.496901409605314</v>
          </cell>
          <cell r="P86">
            <v>69.899310913759166</v>
          </cell>
          <cell r="Q86">
            <v>89.148837188334895</v>
          </cell>
          <cell r="R86">
            <v>92.957597164147415</v>
          </cell>
          <cell r="S86">
            <v>73.895199307299407</v>
          </cell>
        </row>
        <row r="87">
          <cell r="J87" t="str">
            <v>Azerbaijan</v>
          </cell>
          <cell r="K87">
            <v>6.0833766341672254E-3</v>
          </cell>
          <cell r="L87">
            <v>28.415964842131324</v>
          </cell>
          <cell r="M87">
            <v>24.131029658357953</v>
          </cell>
          <cell r="O87">
            <v>28.087610110875364</v>
          </cell>
          <cell r="P87">
            <v>21.937123643856232</v>
          </cell>
          <cell r="Q87">
            <v>27.978374014579188</v>
          </cell>
          <cell r="R87">
            <v>29.173711099121512</v>
          </cell>
          <cell r="S87">
            <v>23.191188907307737</v>
          </cell>
        </row>
        <row r="88">
          <cell r="J88" t="str">
            <v>Trinidad and Tobago</v>
          </cell>
          <cell r="K88">
            <v>1.2070627872686458E-2</v>
          </cell>
          <cell r="L88">
            <v>56.38291986168683</v>
          </cell>
          <cell r="M88">
            <v>47.880757136562359</v>
          </cell>
          <cell r="O88">
            <v>55.73139883815427</v>
          </cell>
          <cell r="P88">
            <v>43.52761172387099</v>
          </cell>
          <cell r="Q88">
            <v>55.514652720340287</v>
          </cell>
          <cell r="R88">
            <v>57.886438982741822</v>
          </cell>
          <cell r="S88">
            <v>46.015926361200329</v>
          </cell>
        </row>
        <row r="89">
          <cell r="J89" t="str">
            <v>Namibia</v>
          </cell>
          <cell r="K89">
            <v>3.421375207211605E-3</v>
          </cell>
          <cell r="L89">
            <v>15.981531877184809</v>
          </cell>
          <cell r="M89">
            <v>13.571625030396616</v>
          </cell>
          <cell r="O89">
            <v>15.796860632208775</v>
          </cell>
          <cell r="P89">
            <v>12.337741926264897</v>
          </cell>
          <cell r="Q89">
            <v>15.735424739927963</v>
          </cell>
          <cell r="R89">
            <v>16.407698858604746</v>
          </cell>
          <cell r="S89">
            <v>13.043045585502433</v>
          </cell>
        </row>
        <row r="90">
          <cell r="J90" t="str">
            <v>Belarus</v>
          </cell>
          <cell r="K90">
            <v>2.1730671039429613E-3</v>
          </cell>
          <cell r="L90">
            <v>10.150579544659159</v>
          </cell>
          <cell r="M90">
            <v>8.6199408467215655</v>
          </cell>
          <cell r="O90">
            <v>10.033286648324452</v>
          </cell>
          <cell r="P90">
            <v>7.8362469747229699</v>
          </cell>
          <cell r="Q90">
            <v>9.9942659889605174</v>
          </cell>
          <cell r="R90">
            <v>10.421257091558521</v>
          </cell>
          <cell r="S90">
            <v>8.2842166031194999</v>
          </cell>
        </row>
        <row r="91">
          <cell r="J91" t="str">
            <v>Mozambique</v>
          </cell>
          <cell r="K91">
            <v>7.2667729401888091E-3</v>
          </cell>
          <cell r="L91">
            <v>33.943708700262633</v>
          </cell>
          <cell r="M91">
            <v>28.825227153513911</v>
          </cell>
          <cell r="O91">
            <v>33.551479282397501</v>
          </cell>
          <cell r="P91">
            <v>26.204541666122413</v>
          </cell>
          <cell r="Q91">
            <v>33.420993541271663</v>
          </cell>
          <cell r="R91">
            <v>34.848858969095104</v>
          </cell>
          <cell r="S91">
            <v>27.702559637013291</v>
          </cell>
        </row>
        <row r="92">
          <cell r="J92" t="str">
            <v>Botswana</v>
          </cell>
          <cell r="K92">
            <v>3.9897408955625298E-3</v>
          </cell>
          <cell r="L92">
            <v>18.636415897836041</v>
          </cell>
          <cell r="M92">
            <v>15.826170508537428</v>
          </cell>
          <cell r="O92">
            <v>18.421066696508369</v>
          </cell>
          <cell r="P92">
            <v>14.387312276759319</v>
          </cell>
          <cell r="Q92">
            <v>18.349424950998703</v>
          </cell>
          <cell r="R92">
            <v>19.133378590067416</v>
          </cell>
          <cell r="S92">
            <v>15.209782389688929</v>
          </cell>
        </row>
        <row r="93">
          <cell r="J93" t="str">
            <v>Ghana</v>
          </cell>
          <cell r="K93">
            <v>4.3931873666263272E-3</v>
          </cell>
          <cell r="L93">
            <v>20.520948358483238</v>
          </cell>
          <cell r="M93">
            <v>17.426528228314396</v>
          </cell>
          <cell r="O93">
            <v>20.283822836939208</v>
          </cell>
          <cell r="P93">
            <v>15.842171255849237</v>
          </cell>
          <cell r="Q93">
            <v>20.204936608601379</v>
          </cell>
          <cell r="R93">
            <v>21.068164400413114</v>
          </cell>
          <cell r="S93">
            <v>16.747810344735644</v>
          </cell>
        </row>
        <row r="94">
          <cell r="J94" t="str">
            <v>Bermuda</v>
          </cell>
          <cell r="K94">
            <v>3.0177734441944166E-3</v>
          </cell>
          <cell r="L94">
            <v>14.096274034738459</v>
          </cell>
          <cell r="M94">
            <v>11.970651311486543</v>
          </cell>
          <cell r="O94">
            <v>13.93338749197626</v>
          </cell>
          <cell r="P94">
            <v>10.882322952457029</v>
          </cell>
          <cell r="Q94">
            <v>13.879198871022137</v>
          </cell>
          <cell r="R94">
            <v>14.472168323272138</v>
          </cell>
          <cell r="S94">
            <v>11.504425622884355</v>
          </cell>
        </row>
        <row r="95">
          <cell r="J95" t="str">
            <v>Mauritius</v>
          </cell>
          <cell r="K95">
            <v>3.2475267229679773E-3</v>
          </cell>
          <cell r="L95">
            <v>15.169470958848949</v>
          </cell>
          <cell r="M95">
            <v>12.882017402655539</v>
          </cell>
          <cell r="O95">
            <v>14.994183313764211</v>
          </cell>
          <cell r="P95">
            <v>11.710830932010548</v>
          </cell>
          <cell r="Q95">
            <v>14.935869130183647</v>
          </cell>
          <cell r="R95">
            <v>15.57398334839648</v>
          </cell>
          <cell r="S95">
            <v>12.380296378639459</v>
          </cell>
        </row>
        <row r="96">
          <cell r="J96" t="str">
            <v>Cayman Islands</v>
          </cell>
          <cell r="K96">
            <v>3.3168642274997058E-3</v>
          </cell>
          <cell r="L96">
            <v>15.493352284879068</v>
          </cell>
          <cell r="M96">
            <v>13.157059616694077</v>
          </cell>
          <cell r="O96">
            <v>15.314322096954124</v>
          </cell>
          <cell r="P96">
            <v>11.960867301865724</v>
          </cell>
          <cell r="Q96">
            <v>15.254762855114398</v>
          </cell>
          <cell r="R96">
            <v>15.906501363832422</v>
          </cell>
          <cell r="S96">
            <v>12.64462641484422</v>
          </cell>
        </row>
        <row r="97">
          <cell r="J97" t="str">
            <v>Armenia</v>
          </cell>
          <cell r="K97">
            <v>1.7428329023558269E-3</v>
          </cell>
          <cell r="L97">
            <v>8.140919337609354</v>
          </cell>
          <cell r="M97">
            <v>6.9133237978561839</v>
          </cell>
          <cell r="O97">
            <v>8.0468486489620403</v>
          </cell>
          <cell r="P97">
            <v>6.2847893807571893</v>
          </cell>
          <cell r="Q97">
            <v>8.0155534860617834</v>
          </cell>
          <cell r="R97">
            <v>8.3580068512941388</v>
          </cell>
          <cell r="S97">
            <v>6.6440678430784699</v>
          </cell>
        </row>
        <row r="98">
          <cell r="J98" t="str">
            <v>Bahamas</v>
          </cell>
          <cell r="K98">
            <v>3.2538936782472122E-3</v>
          </cell>
          <cell r="L98">
            <v>15.199211543436464</v>
          </cell>
          <cell r="M98">
            <v>12.907273308366477</v>
          </cell>
          <cell r="O98">
            <v>15.023580237254384</v>
          </cell>
          <cell r="P98">
            <v>11.733790662041237</v>
          </cell>
          <cell r="Q98">
            <v>14.965151725500208</v>
          </cell>
          <cell r="R98">
            <v>15.604517001837262</v>
          </cell>
          <cell r="S98">
            <v>12.404568632607067</v>
          </cell>
        </row>
        <row r="99">
          <cell r="J99" t="str">
            <v>Barbados</v>
          </cell>
          <cell r="K99">
            <v>1.8078222405231294E-3</v>
          </cell>
          <cell r="L99">
            <v>8.4444900121757271</v>
          </cell>
          <cell r="M99">
            <v>7.1711180692126728</v>
          </cell>
          <cell r="O99">
            <v>8.346911476168021</v>
          </cell>
          <cell r="P99">
            <v>6.519145928550266</v>
          </cell>
          <cell r="Q99">
            <v>8.3144493328177287</v>
          </cell>
          <cell r="R99">
            <v>8.6696726070468291</v>
          </cell>
          <cell r="S99">
            <v>6.8918216990428949</v>
          </cell>
        </row>
        <row r="100">
          <cell r="J100" t="str">
            <v>Moldova</v>
          </cell>
          <cell r="K100">
            <v>1.158860414804453E-3</v>
          </cell>
          <cell r="L100">
            <v>5.4131346428674609</v>
          </cell>
          <cell r="M100">
            <v>4.5968705738982099</v>
          </cell>
          <cell r="O100">
            <v>5.3505842990453942</v>
          </cell>
          <cell r="P100">
            <v>4.1789397129799646</v>
          </cell>
          <cell r="Q100">
            <v>5.3297752327195616</v>
          </cell>
          <cell r="R100">
            <v>5.5574824606172619</v>
          </cell>
          <cell r="S100">
            <v>4.41783443852316</v>
          </cell>
        </row>
        <row r="101">
          <cell r="J101" t="str">
            <v>Papua New Guinea</v>
          </cell>
          <cell r="K101">
            <v>7.930720388038304E-4</v>
          </cell>
          <cell r="L101">
            <v>3.7045063173229078</v>
          </cell>
          <cell r="M101">
            <v>3.1458918361396933</v>
          </cell>
          <cell r="O101">
            <v>3.6616996703194222</v>
          </cell>
          <cell r="P101">
            <v>2.8598787186725629</v>
          </cell>
          <cell r="Q101">
            <v>3.6474588795858662</v>
          </cell>
          <cell r="R101">
            <v>3.8032914830402436</v>
          </cell>
          <cell r="S101">
            <v>3.0233675432330198</v>
          </cell>
        </row>
        <row r="102">
          <cell r="J102" t="str">
            <v>Zimbabwe</v>
          </cell>
          <cell r="K102">
            <v>1.0403732375013732E-3</v>
          </cell>
          <cell r="L102">
            <v>4.8596710539820744</v>
          </cell>
          <cell r="M102">
            <v>4.1268655484692456</v>
          </cell>
          <cell r="O102">
            <v>4.8035161427627031</v>
          </cell>
          <cell r="P102">
            <v>3.7516658460110155</v>
          </cell>
          <cell r="Q102">
            <v>4.7848346903408085</v>
          </cell>
          <cell r="R102">
            <v>4.9892600921096379</v>
          </cell>
          <cell r="S102">
            <v>3.9661348846115922</v>
          </cell>
        </row>
        <row r="103">
          <cell r="J103" t="str">
            <v>Uganda</v>
          </cell>
          <cell r="K103">
            <v>8.5728494358400448E-4</v>
          </cell>
          <cell r="L103">
            <v>4.0044502061159015</v>
          </cell>
          <cell r="M103">
            <v>3.4006062164719602</v>
          </cell>
          <cell r="O103">
            <v>3.9581776203155585</v>
          </cell>
          <cell r="P103">
            <v>3.0914353880035721</v>
          </cell>
          <cell r="Q103">
            <v>3.9427837911509069</v>
          </cell>
          <cell r="R103">
            <v>4.1112337403666546</v>
          </cell>
          <cell r="S103">
            <v>3.2681614619064181</v>
          </cell>
        </row>
        <row r="104">
          <cell r="J104" t="str">
            <v>Burkina Faso</v>
          </cell>
          <cell r="K104">
            <v>1.8550307685051488E-3</v>
          </cell>
          <cell r="L104">
            <v>8.6650050241596048</v>
          </cell>
          <cell r="M104">
            <v>7.3583809097975017</v>
          </cell>
          <cell r="O104">
            <v>8.5648783731081153</v>
          </cell>
          <cell r="P104">
            <v>6.6893835083787874</v>
          </cell>
          <cell r="Q104">
            <v>8.5315685302615147</v>
          </cell>
          <cell r="R104">
            <v>8.8960679199766464</v>
          </cell>
          <cell r="S104">
            <v>7.0717911397508528</v>
          </cell>
        </row>
        <row r="105">
          <cell r="J105" t="str">
            <v>Virgin Islands, British</v>
          </cell>
          <cell r="K105">
            <v>1.0454202046975435E-3</v>
          </cell>
          <cell r="L105">
            <v>4.8832458630116973</v>
          </cell>
          <cell r="M105">
            <v>4.1468854358475022</v>
          </cell>
          <cell r="O105">
            <v>4.8268185380232937</v>
          </cell>
          <cell r="P105">
            <v>3.7698655975744875</v>
          </cell>
          <cell r="Q105">
            <v>4.8080464597815959</v>
          </cell>
          <cell r="R105">
            <v>5.0134635520895525</v>
          </cell>
          <cell r="S105">
            <v>3.9853750495223075</v>
          </cell>
        </row>
        <row r="106">
          <cell r="J106" t="str">
            <v>Uzbekistan</v>
          </cell>
          <cell r="K106">
            <v>2.0242205557000095E-4</v>
          </cell>
          <cell r="L106">
            <v>0.94553047760399167</v>
          </cell>
          <cell r="M106">
            <v>0.80295088077086507</v>
          </cell>
          <cell r="O106">
            <v>0.93460459816991892</v>
          </cell>
          <cell r="P106">
            <v>0.72994948830593509</v>
          </cell>
          <cell r="Q106">
            <v>0.93096980840028276</v>
          </cell>
          <cell r="R106">
            <v>0.97074419757637431</v>
          </cell>
          <cell r="S106">
            <v>0.77167803541265867</v>
          </cell>
        </row>
        <row r="107">
          <cell r="J107" t="str">
            <v>Antigua and Barbuda</v>
          </cell>
          <cell r="K107">
            <v>1.1440300966599165E-3</v>
          </cell>
          <cell r="L107">
            <v>5.343860977215086</v>
          </cell>
          <cell r="M107">
            <v>4.5380429081938187</v>
          </cell>
          <cell r="O107">
            <v>5.2821111107301348</v>
          </cell>
          <cell r="P107">
            <v>4.1254604460565281</v>
          </cell>
          <cell r="Q107">
            <v>5.2615683448749717</v>
          </cell>
          <cell r="R107">
            <v>5.4863615284318765</v>
          </cell>
          <cell r="S107">
            <v>4.3612979571694117</v>
          </cell>
        </row>
        <row r="108">
          <cell r="J108" t="str">
            <v>Saint Kitts and Nevis</v>
          </cell>
          <cell r="K108">
            <v>7.9563434816708688E-4</v>
          </cell>
          <cell r="L108">
            <v>3.7164750802582849</v>
          </cell>
          <cell r="M108">
            <v>3.1560557906269691</v>
          </cell>
          <cell r="O108">
            <v>3.6735301307210317</v>
          </cell>
          <cell r="P108">
            <v>2.8691186031472258</v>
          </cell>
          <cell r="Q108">
            <v>3.6592433299030809</v>
          </cell>
          <cell r="R108">
            <v>3.8155794075935869</v>
          </cell>
          <cell r="S108">
            <v>3.0331356381670895</v>
          </cell>
        </row>
        <row r="109">
          <cell r="J109" t="str">
            <v>Fiji</v>
          </cell>
          <cell r="K109">
            <v>1.5156418750950483E-4</v>
          </cell>
          <cell r="L109">
            <v>0.70796909062098001</v>
          </cell>
          <cell r="M109">
            <v>0.60121214316980409</v>
          </cell>
          <cell r="O109">
            <v>0.69978830204737819</v>
          </cell>
          <cell r="P109">
            <v>0.54655210770650775</v>
          </cell>
          <cell r="Q109">
            <v>0.69706674111543598</v>
          </cell>
          <cell r="R109">
            <v>0.72684794732928382</v>
          </cell>
          <cell r="S109">
            <v>0.57779649617185214</v>
          </cell>
        </row>
        <row r="110">
          <cell r="J110" t="str">
            <v>Kyrgyzstan</v>
          </cell>
          <cell r="K110">
            <v>4.0740640476792878E-4</v>
          </cell>
          <cell r="L110">
            <v>1.9030296446423101</v>
          </cell>
          <cell r="M110">
            <v>1.6160656536114162</v>
          </cell>
          <cell r="O110">
            <v>1.8810395840897232</v>
          </cell>
          <cell r="P110">
            <v>1.4691388043437252</v>
          </cell>
          <cell r="Q110">
            <v>1.8737239947486071</v>
          </cell>
          <cell r="R110">
            <v>1.9537762442450466</v>
          </cell>
          <cell r="S110">
            <v>1.5531241057727996</v>
          </cell>
        </row>
        <row r="111">
          <cell r="J111" t="str">
            <v>Dominica</v>
          </cell>
          <cell r="K111">
            <v>5.6293052181632927E-5</v>
          </cell>
          <cell r="L111">
            <v>0.26294958998022372</v>
          </cell>
          <cell r="M111">
            <v>0.22329857140933596</v>
          </cell>
          <cell r="O111">
            <v>0.2599111310564638</v>
          </cell>
          <cell r="P111">
            <v>0.20299707222838803</v>
          </cell>
          <cell r="Q111">
            <v>0.25890030538534209</v>
          </cell>
          <cell r="R111">
            <v>0.26996146054986908</v>
          </cell>
          <cell r="S111">
            <v>0.21460167367919281</v>
          </cell>
        </row>
        <row r="112">
          <cell r="J112" t="str">
            <v>Turkmenistan</v>
          </cell>
          <cell r="K112">
            <v>9.5271138104694676E-5</v>
          </cell>
          <cell r="L112">
            <v>0.44501951361152947</v>
          </cell>
          <cell r="M112">
            <v>0.37791358277533649</v>
          </cell>
          <cell r="O112">
            <v>0.43987718381180652</v>
          </cell>
          <cell r="P112">
            <v>0.34355504549155602</v>
          </cell>
          <cell r="Q112">
            <v>0.43816644850112402</v>
          </cell>
          <cell r="R112">
            <v>0.45688650009606924</v>
          </cell>
          <cell r="S112">
            <v>0.36319483307852729</v>
          </cell>
        </row>
        <row r="113">
          <cell r="J113" t="str">
            <v>Niger</v>
          </cell>
          <cell r="K113">
            <v>6.3413152006984485E-4</v>
          </cell>
          <cell r="L113">
            <v>2.9620817620243813</v>
          </cell>
          <cell r="M113">
            <v>2.5154198791769886</v>
          </cell>
          <cell r="O113">
            <v>2.9278540465013934</v>
          </cell>
          <cell r="P113">
            <v>2.2867269937073385</v>
          </cell>
          <cell r="Q113">
            <v>2.916467269723225</v>
          </cell>
          <cell r="R113">
            <v>3.0410692741691396</v>
          </cell>
          <cell r="S113">
            <v>2.4174508268024031</v>
          </cell>
        </row>
        <row r="114">
          <cell r="J114" t="str">
            <v>Cape Verde</v>
          </cell>
          <cell r="K114">
            <v>1.0420037960698994E-4</v>
          </cell>
          <cell r="L114">
            <v>0.48672875304461555</v>
          </cell>
          <cell r="M114">
            <v>0.41333335118295611</v>
          </cell>
          <cell r="O114">
            <v>0.48110446086279401</v>
          </cell>
          <cell r="P114">
            <v>0.37575457655158195</v>
          </cell>
          <cell r="Q114">
            <v>0.47923338770961826</v>
          </cell>
          <cell r="R114">
            <v>0.49970796711804466</v>
          </cell>
          <cell r="S114">
            <v>0.39723509376461413</v>
          </cell>
        </row>
        <row r="115">
          <cell r="J115" t="str">
            <v>Grenada</v>
          </cell>
          <cell r="K115">
            <v>3.7891046877376247E-4</v>
          </cell>
          <cell r="L115">
            <v>1.769922726552452</v>
          </cell>
          <cell r="M115">
            <v>1.5030303579245119</v>
          </cell>
          <cell r="O115">
            <v>1.7494707551184474</v>
          </cell>
          <cell r="P115">
            <v>1.3663802692662708</v>
          </cell>
          <cell r="Q115">
            <v>1.7426668527885918</v>
          </cell>
          <cell r="R115">
            <v>1.8171198683232113</v>
          </cell>
          <cell r="S115">
            <v>1.444491240429632</v>
          </cell>
        </row>
        <row r="116">
          <cell r="J116" t="str">
            <v>Anguilla</v>
          </cell>
          <cell r="K116">
            <v>2.4629180886817951E-4</v>
          </cell>
          <cell r="L116">
            <v>1.1504497917152523</v>
          </cell>
          <cell r="M116">
            <v>0.9769697491732342</v>
          </cell>
          <cell r="O116">
            <v>1.1371560100583278</v>
          </cell>
          <cell r="P116">
            <v>0.88814719004322951</v>
          </cell>
          <cell r="Q116">
            <v>1.1327334734691286</v>
          </cell>
          <cell r="R116">
            <v>1.181127934385068</v>
          </cell>
          <cell r="S116">
            <v>0.93891932215806162</v>
          </cell>
        </row>
        <row r="117">
          <cell r="J117" t="str">
            <v>Tajikistan</v>
          </cell>
          <cell r="K117">
            <v>3.4148530145898314E-4</v>
          </cell>
          <cell r="L117">
            <v>1.5951066165890033</v>
          </cell>
          <cell r="M117">
            <v>1.3545753342178335</v>
          </cell>
          <cell r="O117">
            <v>1.576674696106116</v>
          </cell>
          <cell r="P117">
            <v>1.231422239844719</v>
          </cell>
          <cell r="Q117">
            <v>1.5705428184471868</v>
          </cell>
          <cell r="R117">
            <v>1.637642074207128</v>
          </cell>
          <cell r="S117">
            <v>1.3018181532152215</v>
          </cell>
        </row>
        <row r="118">
          <cell r="J118" t="str">
            <v>Swaziland</v>
          </cell>
          <cell r="K118">
            <v>1.2788228448385502E-4</v>
          </cell>
          <cell r="L118">
            <v>0.59734892615638902</v>
          </cell>
          <cell r="M118">
            <v>0.50727275084800305</v>
          </cell>
          <cell r="O118">
            <v>0.59044638572871699</v>
          </cell>
          <cell r="P118">
            <v>0.4611533454668571</v>
          </cell>
          <cell r="Q118">
            <v>0.58815006866953734</v>
          </cell>
          <cell r="R118">
            <v>0.61327796166254933</v>
          </cell>
          <cell r="S118">
            <v>0.48751579849685595</v>
          </cell>
        </row>
        <row r="119">
          <cell r="J119" t="str">
            <v>Nepal</v>
          </cell>
          <cell r="K119">
            <v>4.8140264892637176E-6</v>
          </cell>
          <cell r="L119">
            <v>2.2486723360131567E-2</v>
          </cell>
          <cell r="M119">
            <v>1.9095877663745233E-2</v>
          </cell>
          <cell r="O119">
            <v>2.2226882737201328E-2</v>
          </cell>
          <cell r="P119">
            <v>1.7359749473120377E-2</v>
          </cell>
          <cell r="Q119">
            <v>2.2140439715048133E-2</v>
          </cell>
          <cell r="R119">
            <v>2.3086359182908557E-2</v>
          </cell>
          <cell r="S119">
            <v>1.8352142967814376E-2</v>
          </cell>
        </row>
        <row r="120">
          <cell r="J120" t="str">
            <v>Micronesia</v>
          </cell>
          <cell r="K120">
            <v>4.736380790251465E-5</v>
          </cell>
          <cell r="L120">
            <v>0.22124033757636336</v>
          </cell>
          <cell r="M120">
            <v>0.18787879198684704</v>
          </cell>
          <cell r="O120">
            <v>0.21868384118458306</v>
          </cell>
          <cell r="P120">
            <v>0.17079753115492488</v>
          </cell>
          <cell r="Q120">
            <v>0.21783335340581661</v>
          </cell>
          <cell r="R120">
            <v>0.22713998021123794</v>
          </cell>
          <cell r="S120">
            <v>0.18056140240723714</v>
          </cell>
        </row>
        <row r="121">
          <cell r="J121" t="str">
            <v>Guinea-Bissau</v>
          </cell>
          <cell r="K121">
            <v>4.7363809753729734E-6</v>
          </cell>
          <cell r="L121">
            <v>2.2124034622354502E-2</v>
          </cell>
          <cell r="M121">
            <v>1.8787879933009222E-2</v>
          </cell>
          <cell r="O121">
            <v>2.1868384973184399E-2</v>
          </cell>
          <cell r="P121">
            <v>1.7079753783054874E-2</v>
          </cell>
          <cell r="Q121">
            <v>2.1783336191983624E-2</v>
          </cell>
          <cell r="R121">
            <v>2.2713998908900718E-2</v>
          </cell>
          <cell r="S121">
            <v>1.8056140946448206E-2</v>
          </cell>
        </row>
        <row r="122">
          <cell r="L122">
            <v>4671.0842597733199</v>
          </cell>
          <cell r="M122">
            <v>3966.7163665038033</v>
          </cell>
          <cell r="N122">
            <v>1.7176191623820156E-2</v>
          </cell>
          <cell r="O122">
            <v>4617.1085237631969</v>
          </cell>
          <cell r="P122">
            <v>3606.0768489405359</v>
          </cell>
          <cell r="Q122">
            <v>4599.1520330072817</v>
          </cell>
          <cell r="R122">
            <v>4795.6444017073754</v>
          </cell>
          <cell r="S122">
            <v>3812.2230961427986</v>
          </cell>
        </row>
        <row r="124">
          <cell r="M124">
            <v>230942.7173019374</v>
          </cell>
          <cell r="O124">
            <v>268808.62911194668</v>
          </cell>
          <cell r="P124">
            <v>209946.23999999999</v>
          </cell>
          <cell r="Q124">
            <v>267763.20000000001</v>
          </cell>
          <cell r="R124">
            <v>279203.01</v>
          </cell>
          <cell r="S124">
            <v>221948.1</v>
          </cell>
        </row>
      </sheetData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wilson" refreshedDate="41695.667927199072" createdVersion="4" refreshedVersion="4" minRefreshableVersion="3" recordCount="41">
  <cacheSource type="worksheet">
    <worksheetSource ref="A1:E42" sheet="hidden titles_data"/>
  </cacheSource>
  <cacheFields count="5">
    <cacheField name="upc" numFmtId="1">
      <sharedItems containsSemiMixedTypes="0" containsString="0" containsNumber="1" containsInteger="1" minValue="887396937178" maxValue="8907123001056"/>
    </cacheField>
    <cacheField name="vendor_id" numFmtId="0">
      <sharedItems containsSemiMixedTypes="0" containsString="0" containsNumber="1" containsInteger="1" minValue="8869" maxValue="23286" count="20">
        <n v="8869"/>
        <n v="9304"/>
        <n v="16082"/>
        <n v="16600"/>
        <n v="16909"/>
        <n v="16915"/>
        <n v="17048"/>
        <n v="17067"/>
        <n v="17124"/>
        <n v="17132"/>
        <n v="17651"/>
        <n v="17960"/>
        <n v="18730"/>
        <n v="19219"/>
        <n v="19353"/>
        <n v="20908"/>
        <n v="21851"/>
        <n v="22301"/>
        <n v="23104"/>
        <n v="23286"/>
      </sharedItems>
    </cacheField>
    <cacheField name="company" numFmtId="0">
      <sharedItems/>
    </cacheField>
    <cacheField name="owner" numFmtId="0">
      <sharedItems count="7">
        <s v="emd"/>
        <s v="odd"/>
        <s v="Jacob New"/>
        <s v="Scott"/>
        <s v="kdigital"/>
        <s v="IODA-REVER"/>
        <s v="IODA-DEF"/>
      </sharedItems>
    </cacheField>
    <cacheField name="Sales" numFmtId="0">
      <sharedItems containsString="0" containsBlank="1" containsNumber="1" minValue="27.657153999999998" maxValue="6357.7997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">
  <r>
    <n v="888003500761"/>
    <x v="0"/>
    <s v="Cleopatra Records"/>
    <x v="0"/>
    <n v="159.12244000000001"/>
  </r>
  <r>
    <n v="888003419490"/>
    <x v="1"/>
    <s v="TVI RECORDS"/>
    <x v="1"/>
    <m/>
  </r>
  <r>
    <n v="887396937178"/>
    <x v="2"/>
    <s v="Allbeat"/>
    <x v="2"/>
    <n v="6357.799728"/>
  </r>
  <r>
    <n v="888608382151"/>
    <x v="3"/>
    <s v="John Harris"/>
    <x v="3"/>
    <m/>
  </r>
  <r>
    <n v="888608306980"/>
    <x v="4"/>
    <s v="ThinkClouds"/>
    <x v="4"/>
    <m/>
  </r>
  <r>
    <n v="5060122344883"/>
    <x v="5"/>
    <s v="Saland Investments"/>
    <x v="5"/>
    <m/>
  </r>
  <r>
    <n v="888003918115"/>
    <x v="6"/>
    <s v="The Hit Music Company"/>
    <x v="5"/>
    <n v="27.657153999999998"/>
  </r>
  <r>
    <n v="888608273558"/>
    <x v="7"/>
    <s v="Autarc Media GmbH"/>
    <x v="2"/>
    <m/>
  </r>
  <r>
    <n v="888608277921"/>
    <x v="8"/>
    <s v="Ibiza Entertainment"/>
    <x v="2"/>
    <m/>
  </r>
  <r>
    <n v="888608282529"/>
    <x v="9"/>
    <s v="Fonotrón"/>
    <x v="4"/>
    <m/>
  </r>
  <r>
    <n v="888608283076"/>
    <x v="9"/>
    <s v="Fonotrón"/>
    <x v="4"/>
    <m/>
  </r>
  <r>
    <n v="888608341363"/>
    <x v="9"/>
    <s v="Fonotrón"/>
    <x v="4"/>
    <m/>
  </r>
  <r>
    <n v="888608389815"/>
    <x v="9"/>
    <s v="Fonotrón"/>
    <x v="4"/>
    <m/>
  </r>
  <r>
    <n v="888003955561"/>
    <x v="10"/>
    <s v="Supreme Media Ltd."/>
    <x v="3"/>
    <m/>
  </r>
  <r>
    <n v="8718781127909"/>
    <x v="11"/>
    <s v="Smith &amp; Co. Sound B.V."/>
    <x v="5"/>
    <m/>
  </r>
  <r>
    <n v="8718781127916"/>
    <x v="11"/>
    <s v="Smith &amp; Co. Sound B.V."/>
    <x v="5"/>
    <m/>
  </r>
  <r>
    <n v="8718781127930"/>
    <x v="11"/>
    <s v="Smith &amp; Co. Sound B.V."/>
    <x v="5"/>
    <m/>
  </r>
  <r>
    <n v="5055122150220"/>
    <x v="12"/>
    <s v="Proper Music Distribution Ltd."/>
    <x v="6"/>
    <m/>
  </r>
  <r>
    <n v="5055122150367"/>
    <x v="12"/>
    <s v="Proper Music Distribution Ltd."/>
    <x v="6"/>
    <m/>
  </r>
  <r>
    <n v="5055122150497"/>
    <x v="12"/>
    <s v="Proper Music Distribution Ltd."/>
    <x v="6"/>
    <m/>
  </r>
  <r>
    <n v="5055731807607"/>
    <x v="13"/>
    <s v="Shellshock"/>
    <x v="6"/>
    <m/>
  </r>
  <r>
    <n v="888608278461"/>
    <x v="14"/>
    <s v="KEM Enterprises, Inc."/>
    <x v="6"/>
    <m/>
  </r>
  <r>
    <n v="888608012744"/>
    <x v="15"/>
    <s v="Nova Sales and Distribution Ltd."/>
    <x v="5"/>
    <m/>
  </r>
  <r>
    <n v="5060209403571"/>
    <x v="15"/>
    <s v="Nova Sales and Distribution Ltd."/>
    <x v="5"/>
    <m/>
  </r>
  <r>
    <n v="5052122082025"/>
    <x v="16"/>
    <s v="Perennial Music"/>
    <x v="6"/>
    <m/>
  </r>
  <r>
    <n v="8907123001056"/>
    <x v="17"/>
    <s v="SME India Pvt. Ltd"/>
    <x v="6"/>
    <m/>
  </r>
  <r>
    <n v="888003834026"/>
    <x v="18"/>
    <s v="Montuno Records, Inc."/>
    <x v="1"/>
    <m/>
  </r>
  <r>
    <n v="888003843325"/>
    <x v="18"/>
    <s v="Montuno Records, Inc."/>
    <x v="1"/>
    <m/>
  </r>
  <r>
    <n v="888003844407"/>
    <x v="18"/>
    <s v="Montuno Records, Inc."/>
    <x v="1"/>
    <m/>
  </r>
  <r>
    <n v="888003845886"/>
    <x v="18"/>
    <s v="Montuno Records, Inc."/>
    <x v="1"/>
    <m/>
  </r>
  <r>
    <n v="888003845893"/>
    <x v="18"/>
    <s v="Montuno Records, Inc."/>
    <x v="1"/>
    <m/>
  </r>
  <r>
    <n v="888003846289"/>
    <x v="18"/>
    <s v="Montuno Records, Inc."/>
    <x v="1"/>
    <m/>
  </r>
  <r>
    <n v="888003846296"/>
    <x v="18"/>
    <s v="Montuno Records, Inc."/>
    <x v="1"/>
    <m/>
  </r>
  <r>
    <n v="888003846302"/>
    <x v="18"/>
    <s v="Montuno Records, Inc."/>
    <x v="1"/>
    <m/>
  </r>
  <r>
    <n v="888003849983"/>
    <x v="18"/>
    <s v="Montuno Records, Inc."/>
    <x v="1"/>
    <m/>
  </r>
  <r>
    <n v="888003850033"/>
    <x v="18"/>
    <s v="Montuno Records, Inc."/>
    <x v="1"/>
    <m/>
  </r>
  <r>
    <n v="888003850064"/>
    <x v="18"/>
    <s v="Montuno Records, Inc."/>
    <x v="1"/>
    <m/>
  </r>
  <r>
    <n v="888003850071"/>
    <x v="18"/>
    <s v="Montuno Records, Inc."/>
    <x v="1"/>
    <m/>
  </r>
  <r>
    <n v="888608090605"/>
    <x v="18"/>
    <s v="Montuno Records, Inc."/>
    <x v="1"/>
    <m/>
  </r>
  <r>
    <n v="888003888814"/>
    <x v="19"/>
    <s v="Greber Prod"/>
    <x v="5"/>
    <m/>
  </r>
  <r>
    <n v="888003889514"/>
    <x v="19"/>
    <s v="Greber Prod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N7:P18" firstHeaderRow="0" firstDataRow="1" firstDataCol="1" rowPageCount="1" colPageCount="1"/>
  <pivotFields count="5">
    <pivotField dataField="1" numFmtId="1" showAll="0"/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axis="axisPage" multipleItemSelectionAllowed="1" showAll="0">
      <items count="8">
        <item x="0"/>
        <item h="1" x="6"/>
        <item h="1" x="5"/>
        <item x="2"/>
        <item x="4"/>
        <item x="1"/>
        <item x="3"/>
        <item t="default"/>
      </items>
    </pivotField>
    <pivotField dataField="1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7"/>
    </i>
    <i>
      <x v="8"/>
    </i>
    <i>
      <x v="9"/>
    </i>
    <i>
      <x v="10"/>
    </i>
    <i>
      <x v="18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Count of upc" fld="0" subtotal="count" baseField="1" baseItem="0"/>
    <dataField name="Sum of Sales" fld="4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143"/>
  <sheetViews>
    <sheetView tabSelected="1" zoomScaleNormal="100" workbookViewId="0">
      <selection sqref="A1:M1"/>
    </sheetView>
  </sheetViews>
  <sheetFormatPr defaultColWidth="8.85546875" defaultRowHeight="12.75" x14ac:dyDescent="0.2"/>
  <cols>
    <col min="1" max="1" width="28.42578125" customWidth="1"/>
    <col min="2" max="3" width="14" bestFit="1" customWidth="1"/>
    <col min="4" max="4" width="12.7109375" bestFit="1" customWidth="1"/>
    <col min="5" max="5" width="12.28515625" customWidth="1"/>
    <col min="6" max="6" width="12.140625" customWidth="1"/>
    <col min="7" max="7" width="11.28515625" customWidth="1"/>
    <col min="8" max="8" width="14" bestFit="1" customWidth="1"/>
    <col min="9" max="10" width="14.28515625" bestFit="1" customWidth="1"/>
    <col min="11" max="11" width="14.140625" customWidth="1"/>
    <col min="12" max="12" width="12.85546875" customWidth="1"/>
    <col min="13" max="13" width="14.28515625" customWidth="1"/>
    <col min="14" max="14" width="11.42578125" customWidth="1"/>
    <col min="15" max="15" width="27.85546875" bestFit="1" customWidth="1"/>
    <col min="16" max="16" width="14.42578125" bestFit="1" customWidth="1"/>
    <col min="17" max="17" width="12.42578125" bestFit="1" customWidth="1"/>
    <col min="18" max="18" width="11.42578125" bestFit="1" customWidth="1"/>
    <col min="19" max="19" width="11.28515625" bestFit="1" customWidth="1"/>
    <col min="20" max="20" width="11.28515625" style="290" customWidth="1"/>
    <col min="21" max="21" width="12.42578125" bestFit="1" customWidth="1"/>
    <col min="22" max="22" width="11.28515625" bestFit="1" customWidth="1"/>
    <col min="23" max="23" width="10.28515625" bestFit="1" customWidth="1"/>
    <col min="24" max="24" width="7.42578125" customWidth="1"/>
  </cols>
  <sheetData>
    <row r="1" spans="1:23" ht="15.75" thickBot="1" x14ac:dyDescent="0.3">
      <c r="A1" s="613" t="s">
        <v>1003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O1" s="619" t="s">
        <v>1001</v>
      </c>
      <c r="P1" s="620"/>
      <c r="Q1" s="620"/>
      <c r="R1" s="620"/>
      <c r="S1" s="620"/>
      <c r="T1" s="620"/>
      <c r="U1" s="621"/>
    </row>
    <row r="2" spans="1:23" ht="36.75" customHeight="1" thickBot="1" x14ac:dyDescent="0.25">
      <c r="A2" s="308" t="s">
        <v>8</v>
      </c>
      <c r="B2" s="320" t="s">
        <v>828</v>
      </c>
      <c r="C2" s="532" t="s">
        <v>987</v>
      </c>
      <c r="D2" s="317" t="s">
        <v>1</v>
      </c>
      <c r="E2" s="151" t="s">
        <v>2</v>
      </c>
      <c r="F2" s="151" t="s">
        <v>3</v>
      </c>
      <c r="G2" s="151" t="s">
        <v>4</v>
      </c>
      <c r="H2" s="151" t="s">
        <v>5</v>
      </c>
      <c r="I2" s="151" t="s">
        <v>6</v>
      </c>
      <c r="J2" s="71" t="s">
        <v>7</v>
      </c>
      <c r="K2" s="100" t="s">
        <v>82</v>
      </c>
      <c r="L2" s="151" t="s">
        <v>80</v>
      </c>
      <c r="M2" s="152" t="s">
        <v>81</v>
      </c>
      <c r="O2" s="322" t="s">
        <v>8</v>
      </c>
      <c r="P2" s="427" t="s">
        <v>1</v>
      </c>
      <c r="Q2" s="428" t="s">
        <v>2</v>
      </c>
      <c r="R2" s="428" t="s">
        <v>3</v>
      </c>
      <c r="S2" s="428" t="s">
        <v>4</v>
      </c>
      <c r="T2" s="456" t="s">
        <v>5</v>
      </c>
      <c r="U2" s="429" t="s">
        <v>21</v>
      </c>
    </row>
    <row r="3" spans="1:23" x14ac:dyDescent="0.2">
      <c r="A3" s="329" t="s">
        <v>9</v>
      </c>
      <c r="B3" s="472">
        <v>4502808.2013415052</v>
      </c>
      <c r="C3" s="472">
        <v>5033470.5310280165</v>
      </c>
      <c r="D3" s="330">
        <f>'IODA Weekly iTunes'!B4+'Orch Weekly Mgmt'!B4+'IRIS iTunes'!B4</f>
        <v>944231.80238640285</v>
      </c>
      <c r="E3" s="330">
        <f>'IODA Weekly iTunes'!C4+'Orch Weekly Mgmt'!C4+'IRIS iTunes'!C4</f>
        <v>1070362.679698403</v>
      </c>
      <c r="F3" s="330">
        <f>'IODA Weekly iTunes'!D4+'Orch Weekly Mgmt'!D4+'IRIS iTunes'!D4</f>
        <v>970163.06459180266</v>
      </c>
      <c r="G3" s="330">
        <f>'IODA Weekly iTunes'!E4+'Orch Weekly Mgmt'!E4+'IRIS iTunes'!E4</f>
        <v>0</v>
      </c>
      <c r="H3" s="330">
        <f>'IODA Weekly iTunes'!F4+'Orch Weekly Mgmt'!F4+'IRIS iTunes'!F4</f>
        <v>0</v>
      </c>
      <c r="I3" s="413">
        <f>SUM($D3:$H3)</f>
        <v>2984757.5466766087</v>
      </c>
      <c r="J3" s="418">
        <f>IFERROR((((D3+E3+F3+G3+H3))/COUNTIF(D3:E3:F3:G3:H3, "&gt;0")*4),0)</f>
        <v>3979676.7289021448</v>
      </c>
      <c r="K3" s="415">
        <f>('Orch Weekly Mgmt'!I131+'IODA Weekly iTunes'!I129+'IRIS iTunes'!I129)</f>
        <v>4266993.5243435949</v>
      </c>
      <c r="L3" s="145">
        <f>$J3-$K3</f>
        <v>-287316.79544145009</v>
      </c>
      <c r="M3" s="146">
        <f>L3/K3</f>
        <v>-6.7334715602983944E-2</v>
      </c>
      <c r="O3" s="424" t="s">
        <v>9</v>
      </c>
      <c r="P3" s="432">
        <v>1185916.951946931</v>
      </c>
      <c r="Q3" s="433">
        <v>1212974.1353857459</v>
      </c>
      <c r="R3" s="433">
        <v>1187227.6841159707</v>
      </c>
      <c r="S3" s="433">
        <v>1147270.8812370342</v>
      </c>
      <c r="T3" s="457"/>
      <c r="U3" s="434">
        <f>SUM(P3:T3)</f>
        <v>4733389.6526856814</v>
      </c>
      <c r="W3" s="470"/>
    </row>
    <row r="4" spans="1:23" x14ac:dyDescent="0.2">
      <c r="A4" s="316" t="s">
        <v>24</v>
      </c>
      <c r="B4" s="540">
        <v>2122076.8376655132</v>
      </c>
      <c r="C4" s="535">
        <v>2232472.4840447004</v>
      </c>
      <c r="D4" s="455">
        <f>SUM('Orch + IODA iTunes Details'!B8:B9,'Orch + IODA iTunes Details'!B14,'Orch + IODA iTunes Details'!B18,'Orch + IODA iTunes Details'!B22,'Orch + IODA iTunes Details'!B27,'IRIS iTunes'!B8:B9,'IRIS iTunes'!B14,'IRIS iTunes'!B18,'IRIS iTunes'!B22,'IRIS iTunes'!B27,'Orch + IODA iTunes Details'!B36,'IRIS iTunes'!B36)</f>
        <v>422517.42244680016</v>
      </c>
      <c r="E4" s="159">
        <f>SUM('Orch + IODA iTunes Details'!C8:C9,'Orch + IODA iTunes Details'!C14,'Orch + IODA iTunes Details'!C18,'Orch + IODA iTunes Details'!C22,'Orch + IODA iTunes Details'!C27,'IRIS iTunes'!C8:C9,'IRIS iTunes'!C14,'IRIS iTunes'!C18,'IRIS iTunes'!C22,'IRIS iTunes'!C27,'Orch + IODA iTunes Details'!C36,'IRIS iTunes'!C36)</f>
        <v>421086.58544200007</v>
      </c>
      <c r="F4" s="159">
        <f>SUM('Orch + IODA iTunes Details'!D8:D9,'Orch + IODA iTunes Details'!D14,'Orch + IODA iTunes Details'!D18,'Orch + IODA iTunes Details'!D22,'Orch + IODA iTunes Details'!D27,'IRIS iTunes'!D8:D9,'IRIS iTunes'!D14,'IRIS iTunes'!D18,'IRIS iTunes'!D22,'IRIS iTunes'!D27,'Orch + IODA iTunes Details'!D36,'IRIS iTunes'!D36)</f>
        <v>401076.61815880006</v>
      </c>
      <c r="G4" s="159">
        <f>SUM('Orch + IODA iTunes Details'!E8:E9,'Orch + IODA iTunes Details'!E14,'Orch + IODA iTunes Details'!E18,'Orch + IODA iTunes Details'!E22,'Orch + IODA iTunes Details'!E27,'IRIS iTunes'!E8:E9,'IRIS iTunes'!E14,'IRIS iTunes'!E18,'IRIS iTunes'!E22,'IRIS iTunes'!E27,'Orch + IODA iTunes Details'!E36,'IRIS iTunes'!E36)</f>
        <v>0</v>
      </c>
      <c r="H4" s="159">
        <f>SUM('Orch + IODA iTunes Details'!F8:F9,'Orch + IODA iTunes Details'!F14,'Orch + IODA iTunes Details'!F18,'Orch + IODA iTunes Details'!F22,'Orch + IODA iTunes Details'!F27,'IRIS iTunes'!F8:F9,'IRIS iTunes'!F14,'IRIS iTunes'!F18,'IRIS iTunes'!F22,'IRIS iTunes'!F27,'Orch + IODA iTunes Details'!F36,'IRIS iTunes'!F36)</f>
        <v>0</v>
      </c>
      <c r="I4" s="414">
        <f>SUM($D4:$H4)</f>
        <v>1244680.6260476003</v>
      </c>
      <c r="J4" s="418">
        <f>IFERROR((((D4+E4+F4+G4+H4))/COUNTIF(D4:E4:F4:G4:H4, "&gt;0")*4),0)</f>
        <v>1659574.1680634671</v>
      </c>
      <c r="K4" s="416">
        <f>('Orch Weekly Mgmt'!I132+'IODA Weekly iTunes'!I130+'IRIS iTunes'!I130)</f>
        <v>1824696.0887674377</v>
      </c>
      <c r="L4" s="43">
        <f t="shared" ref="L4:L9" si="0">$J4-$K4</f>
        <v>-165121.92070397059</v>
      </c>
      <c r="M4" s="114">
        <f>L4/K4</f>
        <v>-9.0492834242610037E-2</v>
      </c>
      <c r="O4" s="423" t="s">
        <v>24</v>
      </c>
      <c r="P4" s="435">
        <v>536193.31778058701</v>
      </c>
      <c r="Q4" s="431">
        <v>502089.11871083186</v>
      </c>
      <c r="R4" s="431">
        <v>479806.9055972888</v>
      </c>
      <c r="S4" s="431">
        <v>485511.85451538366</v>
      </c>
      <c r="T4" s="458"/>
      <c r="U4" s="436">
        <f t="shared" ref="U4:U5" si="1">SUM(P4:T4)</f>
        <v>2003601.1966040914</v>
      </c>
      <c r="W4" s="470"/>
    </row>
    <row r="5" spans="1:23" ht="13.5" thickBot="1" x14ac:dyDescent="0.25">
      <c r="A5" s="302" t="s">
        <v>26</v>
      </c>
      <c r="B5" s="541">
        <v>1519252.808390718</v>
      </c>
      <c r="C5" s="536">
        <v>1531296.7597140996</v>
      </c>
      <c r="D5" s="461">
        <f>SUM('Orch + IODA iTunes Details'!B30:B31,'Orch + IODA iTunes Details'!B34:B35,'Orch + IODA iTunes Details'!B49,'Orch + IODA iTunes Details'!B67,'Orch + IODA iTunes Details'!B81,'IRIS iTunes'!B30:B31,'IRIS iTunes'!B34:B35,'IRIS iTunes'!B49,'IRIS iTunes'!B67,'IRIS iTunes'!B81)</f>
        <v>276491.99710560002</v>
      </c>
      <c r="E5" s="461">
        <f>SUM('Orch + IODA iTunes Details'!C30:C31,'Orch + IODA iTunes Details'!C34:C35,'Orch + IODA iTunes Details'!C49,'Orch + IODA iTunes Details'!C67,'Orch + IODA iTunes Details'!C81,'IRIS iTunes'!C30:C31,'IRIS iTunes'!C34:C35,'IRIS iTunes'!C49,'IRIS iTunes'!C67,'IRIS iTunes'!C81)</f>
        <v>277941.08307919989</v>
      </c>
      <c r="F5" s="461">
        <f>SUM('Orch + IODA iTunes Details'!D30:D31,'Orch + IODA iTunes Details'!D34:D35,'Orch + IODA iTunes Details'!D49,'Orch + IODA iTunes Details'!D67,'Orch + IODA iTunes Details'!D81,'IRIS iTunes'!D30:D31,'IRIS iTunes'!D34:D35,'IRIS iTunes'!D49,'IRIS iTunes'!D67,'IRIS iTunes'!D81)</f>
        <v>271429.2359773998</v>
      </c>
      <c r="G5" s="461">
        <f>SUM('Orch + IODA iTunes Details'!E30:E31,'Orch + IODA iTunes Details'!E34:E35,'Orch + IODA iTunes Details'!E49,'Orch + IODA iTunes Details'!E67,'Orch + IODA iTunes Details'!E81,'IRIS iTunes'!E30:E31,'IRIS iTunes'!E34:E35,'IRIS iTunes'!E49,'IRIS iTunes'!E67,'IRIS iTunes'!E81)</f>
        <v>0</v>
      </c>
      <c r="H5" s="461">
        <f>SUM('Orch + IODA iTunes Details'!F30:F31,'Orch + IODA iTunes Details'!F34:F35,'Orch + IODA iTunes Details'!F49,'Orch + IODA iTunes Details'!F67,'Orch + IODA iTunes Details'!F81,'IRIS iTunes'!F30:F31,'IRIS iTunes'!F34:F35,'IRIS iTunes'!F49,'IRIS iTunes'!F67,'IRIS iTunes'!F81)</f>
        <v>0</v>
      </c>
      <c r="I5" s="462">
        <f>SUM($D5:$H5)</f>
        <v>825862.31616219971</v>
      </c>
      <c r="J5" s="418">
        <f>IFERROR((((D5+E5+F5+G5+H5))/COUNTIF(D5:E5:F5:G5:H5, "&gt;0")*4),0)</f>
        <v>1101149.7548829329</v>
      </c>
      <c r="K5" s="463">
        <f>('Orch Weekly Mgmt'!I133+'IODA Weekly iTunes'!I131+'IRIS iTunes'!I131)</f>
        <v>1306580.3868889674</v>
      </c>
      <c r="L5" s="464">
        <f t="shared" si="0"/>
        <v>-205430.63200603449</v>
      </c>
      <c r="M5" s="115">
        <f>L5/K5</f>
        <v>-0.15722770222747259</v>
      </c>
      <c r="O5" s="423" t="s">
        <v>26</v>
      </c>
      <c r="P5" s="435">
        <v>340413.20118320436</v>
      </c>
      <c r="Q5" s="431">
        <v>319821.13009668776</v>
      </c>
      <c r="R5" s="431">
        <v>362253.40341518156</v>
      </c>
      <c r="S5" s="431">
        <v>380513.17988238018</v>
      </c>
      <c r="T5" s="458"/>
      <c r="U5" s="436">
        <f t="shared" si="1"/>
        <v>1403000.9145774539</v>
      </c>
      <c r="W5" s="470"/>
    </row>
    <row r="6" spans="1:23" ht="12.75" customHeight="1" thickBot="1" x14ac:dyDescent="0.25">
      <c r="A6" s="465" t="s">
        <v>821</v>
      </c>
      <c r="B6" s="454">
        <f>SUM(B3:B5)</f>
        <v>8144137.8473977363</v>
      </c>
      <c r="C6" s="534">
        <f>SUM(C3:C5)</f>
        <v>8797239.774786815</v>
      </c>
      <c r="D6" s="466">
        <f>SUM(D$3:D$5)</f>
        <v>1643241.2219388031</v>
      </c>
      <c r="E6" s="467">
        <f>SUM(E$3:E$5)</f>
        <v>1769390.3482196028</v>
      </c>
      <c r="F6" s="467">
        <f>SUM(F$3:F$5)</f>
        <v>1642668.9187280026</v>
      </c>
      <c r="G6" s="467">
        <f t="shared" ref="G6" si="2">SUM(G$3:G$5)</f>
        <v>0</v>
      </c>
      <c r="H6" s="467">
        <f>SUM(H$3:H$5)</f>
        <v>0</v>
      </c>
      <c r="I6" s="467">
        <f>SUM(I$3:I$5)</f>
        <v>5055300.4888864085</v>
      </c>
      <c r="J6" s="467">
        <f t="shared" ref="J6:L6" si="3">SUM(J$3:J$5)</f>
        <v>6740400.6518485444</v>
      </c>
      <c r="K6" s="467">
        <f t="shared" si="3"/>
        <v>7398270</v>
      </c>
      <c r="L6" s="467">
        <f t="shared" si="3"/>
        <v>-657869.34815145517</v>
      </c>
      <c r="M6" s="468">
        <f>L6/K6</f>
        <v>-8.8922051797441184E-2</v>
      </c>
      <c r="N6" s="57"/>
      <c r="O6" s="444" t="s">
        <v>821</v>
      </c>
      <c r="P6" s="448">
        <f>SUM(P$3:P$5)</f>
        <v>2062523.4709107222</v>
      </c>
      <c r="Q6" s="449">
        <f t="shared" ref="Q6:S6" si="4">SUM(Q$3:Q$5)</f>
        <v>2034884.3841932656</v>
      </c>
      <c r="R6" s="449">
        <f t="shared" si="4"/>
        <v>2029287.9931284413</v>
      </c>
      <c r="S6" s="449">
        <f t="shared" si="4"/>
        <v>2013295.9156347981</v>
      </c>
      <c r="T6" s="449"/>
      <c r="U6" s="450">
        <f>SUM(U$3:U$5)</f>
        <v>8139991.7638672274</v>
      </c>
      <c r="W6" s="470"/>
    </row>
    <row r="7" spans="1:23" s="290" customFormat="1" ht="13.5" thickBot="1" x14ac:dyDescent="0.25">
      <c r="A7" s="331" t="s">
        <v>763</v>
      </c>
      <c r="B7" s="473">
        <v>10874.084262779579</v>
      </c>
      <c r="C7" s="473">
        <v>14726.016814999999</v>
      </c>
      <c r="D7" s="330">
        <v>2561.6364349999999</v>
      </c>
      <c r="E7" s="482">
        <v>2626.9250419999998</v>
      </c>
      <c r="F7" s="482">
        <v>2615.7951079999998</v>
      </c>
      <c r="G7" s="482"/>
      <c r="H7" s="482"/>
      <c r="I7" s="157">
        <f>SUM($D7:$H7)</f>
        <v>7804.3565849999995</v>
      </c>
      <c r="J7" s="418">
        <f>IFERROR((((D7+E7+F7+G7+H7))/COUNTIF(D7:E7:F7:G7:H7, "&gt;0")*4),0)</f>
        <v>10405.808779999999</v>
      </c>
      <c r="K7" s="404">
        <f>'Orch Weekly Mgmt'!Y6</f>
        <v>8195.5658228550255</v>
      </c>
      <c r="L7" s="420">
        <f t="shared" si="0"/>
        <v>2210.2429571449738</v>
      </c>
      <c r="M7" s="421">
        <f>L7/K7</f>
        <v>0.26968765853618742</v>
      </c>
      <c r="O7" s="425" t="s">
        <v>98</v>
      </c>
      <c r="P7" s="437">
        <v>30199.382152467926</v>
      </c>
      <c r="Q7" s="438">
        <v>29719.479466110522</v>
      </c>
      <c r="R7" s="438">
        <v>26433.396118253491</v>
      </c>
      <c r="S7" s="438">
        <v>16509.972531169653</v>
      </c>
      <c r="T7" s="459"/>
      <c r="U7" s="400">
        <f>SUM(P7:T7)</f>
        <v>102862.23026800159</v>
      </c>
      <c r="V7" s="426"/>
      <c r="W7" s="470"/>
    </row>
    <row r="8" spans="1:23" s="290" customFormat="1" ht="13.5" thickBot="1" x14ac:dyDescent="0.25">
      <c r="A8" s="302" t="s">
        <v>761</v>
      </c>
      <c r="B8" s="474">
        <v>25403.06668489633</v>
      </c>
      <c r="C8" s="474">
        <v>27651.023899</v>
      </c>
      <c r="D8" s="159">
        <v>3835.2360675</v>
      </c>
      <c r="E8" s="45">
        <v>5260.6714179999999</v>
      </c>
      <c r="F8" s="45">
        <v>4939.3800865000012</v>
      </c>
      <c r="G8" s="45"/>
      <c r="H8" s="45"/>
      <c r="I8" s="148">
        <f>SUM($D8:$H8)</f>
        <v>14035.287572000001</v>
      </c>
      <c r="J8" s="418">
        <f>IFERROR((((D8+E8+F8+G8+H8))/COUNTIF(D8:E8:F8:G8:H8, "&gt;0")*4),0)</f>
        <v>18713.716762666667</v>
      </c>
      <c r="K8" s="404">
        <f>'Orch Weekly Mgmt'!Y7</f>
        <v>19145.750583435922</v>
      </c>
      <c r="L8" s="43">
        <f t="shared" si="0"/>
        <v>-432.03382076925482</v>
      </c>
      <c r="M8" s="114">
        <f t="shared" ref="M8:M9" si="5">L8/K8</f>
        <v>-2.2565520160020881E-2</v>
      </c>
      <c r="U8" s="430"/>
    </row>
    <row r="9" spans="1:23" s="290" customFormat="1" ht="13.5" thickBot="1" x14ac:dyDescent="0.25">
      <c r="A9" s="337" t="s">
        <v>762</v>
      </c>
      <c r="B9" s="542">
        <v>381672.82551683002</v>
      </c>
      <c r="C9" s="475">
        <v>353460.86362399999</v>
      </c>
      <c r="D9" s="159">
        <v>43879.684998500001</v>
      </c>
      <c r="E9" s="33">
        <v>41474.111882999998</v>
      </c>
      <c r="F9" s="33">
        <v>70048.068104499995</v>
      </c>
      <c r="G9" s="33"/>
      <c r="H9" s="33"/>
      <c r="I9" s="35">
        <f>SUM($D9:$H9)</f>
        <v>155401.864986</v>
      </c>
      <c r="J9" s="418">
        <f>IFERROR((((D9+E9+F9+G9+H9))/COUNTIF(D9:E9:F9:G9:H9, "&gt;0")*4),0)</f>
        <v>207202.48664799999</v>
      </c>
      <c r="K9" s="404">
        <f>'Orch Weekly Mgmt'!Y8</f>
        <v>287658.68359370902</v>
      </c>
      <c r="L9" s="43">
        <f t="shared" si="0"/>
        <v>-80456.196945709031</v>
      </c>
      <c r="M9" s="114">
        <f t="shared" si="5"/>
        <v>-0.27969326682780027</v>
      </c>
      <c r="O9" s="447" t="s">
        <v>15</v>
      </c>
      <c r="P9" s="160">
        <f>SUM(P6:P7)</f>
        <v>2092722.8530631901</v>
      </c>
      <c r="Q9" s="160">
        <f t="shared" ref="Q9:T9" si="6">SUM(Q6:Q7)</f>
        <v>2064603.863659376</v>
      </c>
      <c r="R9" s="160">
        <f t="shared" si="6"/>
        <v>2055721.3892466947</v>
      </c>
      <c r="S9" s="160">
        <f t="shared" si="6"/>
        <v>2029805.8881659678</v>
      </c>
      <c r="T9" s="160">
        <f t="shared" si="6"/>
        <v>0</v>
      </c>
      <c r="U9" s="439">
        <f>SUM(U6:U7)</f>
        <v>8242853.9941352289</v>
      </c>
    </row>
    <row r="10" spans="1:23" ht="13.5" thickBot="1" x14ac:dyDescent="0.25">
      <c r="A10" s="445" t="s">
        <v>771</v>
      </c>
      <c r="B10" s="454">
        <f>SUM(B7:B9)</f>
        <v>417949.97646450595</v>
      </c>
      <c r="C10" s="454">
        <f>SUM(C7:C9)</f>
        <v>395837.90433799999</v>
      </c>
      <c r="D10" s="440">
        <f>SUM(D7:D9)</f>
        <v>50276.557501000003</v>
      </c>
      <c r="E10" s="441">
        <f>SUM(E7:E9)</f>
        <v>49361.708342999998</v>
      </c>
      <c r="F10" s="441">
        <f t="shared" ref="F10:H10" si="7">SUM(F7:F9)</f>
        <v>77603.243298999994</v>
      </c>
      <c r="G10" s="441">
        <f t="shared" si="7"/>
        <v>0</v>
      </c>
      <c r="H10" s="441">
        <f t="shared" si="7"/>
        <v>0</v>
      </c>
      <c r="I10" s="451">
        <f>SUM($I7:$I9)</f>
        <v>177241.509143</v>
      </c>
      <c r="J10" s="452">
        <f>SUM(J7:J9)</f>
        <v>236322.01219066666</v>
      </c>
      <c r="K10" s="440">
        <f>SUM(K7:K9)</f>
        <v>315000</v>
      </c>
      <c r="L10" s="442">
        <f>$J10-$K10</f>
        <v>-78677.987809333339</v>
      </c>
      <c r="M10" s="443">
        <f>L10/K10</f>
        <v>-0.2497713898708995</v>
      </c>
      <c r="N10" s="109"/>
      <c r="Q10" s="290"/>
      <c r="R10" s="290"/>
      <c r="S10" s="290"/>
    </row>
    <row r="11" spans="1:23" s="290" customFormat="1" ht="13.5" thickBot="1" x14ac:dyDescent="0.25">
      <c r="A11" s="446" t="s">
        <v>15</v>
      </c>
      <c r="B11" s="327">
        <f>SUM(B6,B10)</f>
        <v>8562087.8238622416</v>
      </c>
      <c r="C11" s="327">
        <f>SUM(C6,C10)</f>
        <v>9193077.6791248154</v>
      </c>
      <c r="D11" s="327">
        <f t="shared" ref="D11:L11" si="8">SUM(D6,D10)</f>
        <v>1693517.7794398032</v>
      </c>
      <c r="E11" s="327">
        <f t="shared" si="8"/>
        <v>1818752.0565626028</v>
      </c>
      <c r="F11" s="327">
        <f t="shared" si="8"/>
        <v>1720272.1620270025</v>
      </c>
      <c r="G11" s="327">
        <f t="shared" si="8"/>
        <v>0</v>
      </c>
      <c r="H11" s="327">
        <f t="shared" si="8"/>
        <v>0</v>
      </c>
      <c r="I11" s="327">
        <f t="shared" si="8"/>
        <v>5232541.998029409</v>
      </c>
      <c r="J11" s="327">
        <f t="shared" si="8"/>
        <v>6976722.6640392113</v>
      </c>
      <c r="K11" s="327">
        <f>SUM(K6,K10)</f>
        <v>7713270</v>
      </c>
      <c r="L11" s="327">
        <f t="shared" si="8"/>
        <v>-736547.33596078854</v>
      </c>
      <c r="M11" s="328">
        <f>L11/K11</f>
        <v>-9.5490931337913559E-2</v>
      </c>
      <c r="P11" s="499"/>
      <c r="Q11" s="227"/>
      <c r="R11" s="227"/>
      <c r="S11" s="227"/>
      <c r="T11" s="227"/>
    </row>
    <row r="12" spans="1:23" s="290" customFormat="1" x14ac:dyDescent="0.2">
      <c r="A12" s="371"/>
      <c r="B12" s="336"/>
      <c r="C12" s="336"/>
      <c r="D12" s="336"/>
      <c r="E12" s="336"/>
      <c r="F12" s="336"/>
      <c r="G12" s="336"/>
      <c r="H12" s="336"/>
      <c r="I12" s="336"/>
      <c r="J12" s="336"/>
      <c r="K12" s="336"/>
      <c r="L12" s="336"/>
      <c r="M12" s="335"/>
      <c r="P12" s="227"/>
    </row>
    <row r="13" spans="1:23" s="290" customFormat="1" ht="13.5" thickBot="1" x14ac:dyDescent="0.25">
      <c r="A13" s="371"/>
      <c r="B13" s="336"/>
      <c r="C13" s="336"/>
      <c r="D13" s="336"/>
      <c r="F13" s="336"/>
      <c r="G13" s="336"/>
      <c r="H13" s="412"/>
      <c r="I13" s="412"/>
      <c r="J13" s="417"/>
      <c r="K13" s="336"/>
      <c r="L13" s="336"/>
      <c r="M13" s="335"/>
      <c r="P13" s="109"/>
      <c r="Q13" s="484"/>
    </row>
    <row r="14" spans="1:23" s="290" customFormat="1" ht="13.5" thickBot="1" x14ac:dyDescent="0.25">
      <c r="A14" s="359" t="s">
        <v>799</v>
      </c>
      <c r="B14" s="356" t="s">
        <v>745</v>
      </c>
      <c r="C14" s="356" t="s">
        <v>118</v>
      </c>
      <c r="D14" s="356" t="s">
        <v>119</v>
      </c>
      <c r="E14" s="356" t="s">
        <v>125</v>
      </c>
      <c r="F14" s="479" t="s">
        <v>828</v>
      </c>
      <c r="G14" s="479" t="s">
        <v>987</v>
      </c>
      <c r="H14" s="336"/>
      <c r="I14" s="336"/>
      <c r="J14" s="336"/>
      <c r="K14" s="336"/>
      <c r="L14" s="335"/>
    </row>
    <row r="15" spans="1:23" s="290" customFormat="1" x14ac:dyDescent="0.2">
      <c r="A15" s="331" t="s">
        <v>763</v>
      </c>
      <c r="B15" s="365">
        <v>59.356382222175597</v>
      </c>
      <c r="C15" s="366">
        <v>48.853702639043298</v>
      </c>
      <c r="D15" s="367">
        <v>53.535803479254199</v>
      </c>
      <c r="E15" s="476">
        <v>54.947275667190503</v>
      </c>
      <c r="F15" s="520">
        <v>70.244760999999997</v>
      </c>
      <c r="G15" s="483">
        <v>69.279242999999994</v>
      </c>
      <c r="H15" s="336"/>
      <c r="I15" s="336"/>
      <c r="J15" s="336"/>
      <c r="K15" s="336"/>
      <c r="L15" s="335"/>
      <c r="O15" s="109"/>
    </row>
    <row r="16" spans="1:23" s="290" customFormat="1" x14ac:dyDescent="0.2">
      <c r="A16" s="302" t="s">
        <v>761</v>
      </c>
      <c r="B16" s="360">
        <v>37.498346811532997</v>
      </c>
      <c r="C16" s="358">
        <v>41.676274600028997</v>
      </c>
      <c r="D16" s="361">
        <v>46.667350143194199</v>
      </c>
      <c r="E16" s="477">
        <v>40.288757706880602</v>
      </c>
      <c r="F16" s="521">
        <v>44.002946000000001</v>
      </c>
      <c r="G16" s="481">
        <v>37.58775</v>
      </c>
      <c r="H16" s="336"/>
      <c r="I16" s="336"/>
      <c r="J16" s="336"/>
      <c r="K16" s="336"/>
      <c r="L16" s="335"/>
      <c r="O16" s="163"/>
    </row>
    <row r="17" spans="1:15" s="290" customFormat="1" ht="13.5" thickBot="1" x14ac:dyDescent="0.25">
      <c r="A17" s="357" t="s">
        <v>762</v>
      </c>
      <c r="B17" s="362">
        <v>957.72903754711103</v>
      </c>
      <c r="C17" s="363">
        <v>1226.5829122054599</v>
      </c>
      <c r="D17" s="364">
        <v>2515.8592210495499</v>
      </c>
      <c r="E17" s="478">
        <v>3201.85513329267</v>
      </c>
      <c r="F17" s="522">
        <v>2978.5026659999999</v>
      </c>
      <c r="G17" s="480">
        <v>1900.1434400000001</v>
      </c>
      <c r="H17" s="336"/>
      <c r="I17" s="336"/>
      <c r="J17" s="336"/>
      <c r="K17" s="336"/>
      <c r="L17" s="335"/>
    </row>
    <row r="18" spans="1:15" s="290" customFormat="1" x14ac:dyDescent="0.2">
      <c r="A18" s="371"/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5"/>
    </row>
    <row r="19" spans="1:15" s="290" customFormat="1" ht="13.5" thickBot="1" x14ac:dyDescent="0.25">
      <c r="A19" s="165"/>
      <c r="B19" s="336"/>
      <c r="C19" s="336"/>
      <c r="D19" s="332"/>
      <c r="E19" s="332"/>
      <c r="F19" s="332"/>
      <c r="G19" s="332"/>
      <c r="H19" s="332"/>
      <c r="I19" s="332"/>
      <c r="J19" s="333"/>
      <c r="K19" s="333"/>
      <c r="L19" s="334"/>
      <c r="M19" s="335"/>
    </row>
    <row r="20" spans="1:15" ht="15.75" thickBot="1" x14ac:dyDescent="0.3">
      <c r="A20" s="568" t="s">
        <v>1004</v>
      </c>
      <c r="B20" s="569"/>
      <c r="C20" s="569"/>
      <c r="D20" s="569"/>
      <c r="E20" s="569"/>
      <c r="F20" s="569"/>
      <c r="G20" s="569"/>
      <c r="H20" s="569"/>
      <c r="I20" s="569"/>
      <c r="J20" s="569"/>
      <c r="K20" s="569"/>
      <c r="L20" s="569"/>
      <c r="M20" s="570"/>
    </row>
    <row r="21" spans="1:15" ht="36" customHeight="1" thickBot="1" x14ac:dyDescent="0.25">
      <c r="A21" s="326" t="s">
        <v>316</v>
      </c>
      <c r="B21" s="320" t="s">
        <v>828</v>
      </c>
      <c r="C21" s="532" t="s">
        <v>987</v>
      </c>
      <c r="D21" s="147" t="s">
        <v>1</v>
      </c>
      <c r="E21" s="69" t="s">
        <v>2</v>
      </c>
      <c r="F21" s="69" t="s">
        <v>3</v>
      </c>
      <c r="G21" s="69" t="s">
        <v>4</v>
      </c>
      <c r="H21" s="69" t="s">
        <v>5</v>
      </c>
      <c r="I21" s="71" t="s">
        <v>6</v>
      </c>
      <c r="J21" s="518" t="s">
        <v>7</v>
      </c>
      <c r="K21" s="516" t="s">
        <v>82</v>
      </c>
      <c r="L21" s="69" t="s">
        <v>80</v>
      </c>
      <c r="M21" s="70" t="s">
        <v>81</v>
      </c>
    </row>
    <row r="22" spans="1:15" x14ac:dyDescent="0.2">
      <c r="A22" s="76" t="s">
        <v>117</v>
      </c>
      <c r="B22" s="529">
        <v>795675.53731834795</v>
      </c>
      <c r="C22" s="494">
        <v>769989.20999999985</v>
      </c>
      <c r="D22" s="493">
        <f>Amazon!B15</f>
        <v>170438.71999999997</v>
      </c>
      <c r="E22" s="197">
        <f>Amazon!F15</f>
        <v>188309.49</v>
      </c>
      <c r="F22" s="197">
        <f>Amazon!J15</f>
        <v>179176.13</v>
      </c>
      <c r="G22" s="144">
        <f>Amazon!N15</f>
        <v>0</v>
      </c>
      <c r="H22" s="144">
        <f>Amazon!R15</f>
        <v>0</v>
      </c>
      <c r="I22" s="157">
        <f>SUM($D22:$H22)</f>
        <v>537924.34</v>
      </c>
      <c r="J22" s="517">
        <f>IFERROR((((D22+E22+F22+G22+H22))/COUNTIF(D22:H22, "&gt;0")*4),0)</f>
        <v>717232.45333333325</v>
      </c>
      <c r="K22" s="197">
        <v>795546.72104396706</v>
      </c>
      <c r="L22" s="145">
        <f>J22-K22</f>
        <v>-78314.267710633809</v>
      </c>
      <c r="M22" s="146">
        <f t="shared" ref="M22:M27" si="9">L22/K22</f>
        <v>-9.8440815151453129E-2</v>
      </c>
    </row>
    <row r="23" spans="1:15" x14ac:dyDescent="0.2">
      <c r="A23" s="161" t="s">
        <v>913</v>
      </c>
      <c r="B23" s="530">
        <v>521869.85437297751</v>
      </c>
      <c r="C23" s="490">
        <v>485270.29996400012</v>
      </c>
      <c r="D23" s="492">
        <f>Amazon!B16</f>
        <v>93761.906809999957</v>
      </c>
      <c r="E23" s="98">
        <f>Amazon!F16</f>
        <v>99768.543016000011</v>
      </c>
      <c r="F23" s="98">
        <f>Amazon!J16</f>
        <v>103409.26607400004</v>
      </c>
      <c r="G23" s="36">
        <f>Amazon!N16</f>
        <v>0</v>
      </c>
      <c r="H23" s="36">
        <f>Amazon!R16</f>
        <v>0</v>
      </c>
      <c r="I23" s="35">
        <f t="shared" ref="I23:I27" si="10">SUM($D23:$H23)</f>
        <v>296939.71590000001</v>
      </c>
      <c r="J23" s="33">
        <f t="shared" ref="J23:J27" si="11">IFERROR((((D23+E23+F23+G23+H23))/COUNTIF(D23:H23, "&gt;0")*4),0)</f>
        <v>395919.62119999999</v>
      </c>
      <c r="K23" s="98">
        <v>441963.98021913168</v>
      </c>
      <c r="L23" s="43">
        <f t="shared" ref="L23:L24" si="12">J23-K23</f>
        <v>-46044.359019131691</v>
      </c>
      <c r="M23" s="114">
        <f t="shared" si="9"/>
        <v>-0.10418124797478355</v>
      </c>
    </row>
    <row r="24" spans="1:15" x14ac:dyDescent="0.2">
      <c r="A24" s="153" t="s">
        <v>1005</v>
      </c>
      <c r="B24" s="531">
        <v>488207.08</v>
      </c>
      <c r="C24" s="490">
        <v>394030.27859999985</v>
      </c>
      <c r="D24" s="492">
        <f>Deezer!B21</f>
        <v>78581.46920000005</v>
      </c>
      <c r="E24" s="492">
        <f>Deezer!F21</f>
        <v>75960.486800000042</v>
      </c>
      <c r="F24" s="492">
        <f>Deezer!J21</f>
        <v>75370.423000000039</v>
      </c>
      <c r="G24" s="36">
        <f>Deezer!N21</f>
        <v>0</v>
      </c>
      <c r="H24" s="36">
        <f>Deezer!R21</f>
        <v>0</v>
      </c>
      <c r="I24" s="35">
        <f t="shared" si="10"/>
        <v>229912.37900000013</v>
      </c>
      <c r="J24" s="33">
        <f t="shared" si="11"/>
        <v>306549.83866666682</v>
      </c>
      <c r="K24" s="33">
        <v>269085.06972778798</v>
      </c>
      <c r="L24" s="43">
        <f t="shared" si="12"/>
        <v>37464.768938878842</v>
      </c>
      <c r="M24" s="114">
        <f t="shared" si="9"/>
        <v>0.13923020320963544</v>
      </c>
    </row>
    <row r="25" spans="1:15" x14ac:dyDescent="0.2">
      <c r="A25" s="153" t="s">
        <v>885</v>
      </c>
      <c r="B25" s="531">
        <v>1039724.170759702</v>
      </c>
      <c r="C25" s="490">
        <v>1193945.3524500001</v>
      </c>
      <c r="D25" s="318">
        <f>Spotify!B32</f>
        <v>284759.35648000007</v>
      </c>
      <c r="E25" s="318">
        <f>Spotify!F32</f>
        <v>295759.04558000009</v>
      </c>
      <c r="F25" s="318">
        <f>Spotify!J32</f>
        <v>297178.35236000002</v>
      </c>
      <c r="G25" s="36">
        <f>Spotify!N71</f>
        <v>0</v>
      </c>
      <c r="H25" s="36">
        <f>Spotify!R75</f>
        <v>0</v>
      </c>
      <c r="I25" s="35">
        <f t="shared" si="10"/>
        <v>877696.75442000024</v>
      </c>
      <c r="J25" s="33">
        <f t="shared" si="11"/>
        <v>1170262.3392266671</v>
      </c>
      <c r="K25" s="98">
        <v>910253.17672880914</v>
      </c>
      <c r="L25" s="43">
        <f t="shared" ref="L25:L27" si="13">J25-K25</f>
        <v>260009.16249785793</v>
      </c>
      <c r="M25" s="114">
        <f t="shared" si="9"/>
        <v>0.28564488336339222</v>
      </c>
      <c r="O25" s="163"/>
    </row>
    <row r="26" spans="1:15" x14ac:dyDescent="0.2">
      <c r="A26" s="153" t="s">
        <v>914</v>
      </c>
      <c r="B26" s="531">
        <v>2734787.0337875383</v>
      </c>
      <c r="C26" s="490">
        <v>2356014.62341</v>
      </c>
      <c r="D26" s="492">
        <f>Spotify!B31</f>
        <v>553062.25850000011</v>
      </c>
      <c r="E26" s="492">
        <f>Spotify!F31</f>
        <v>548345.74763999996</v>
      </c>
      <c r="F26" s="492">
        <f>Spotify!J31</f>
        <v>542690.95846999995</v>
      </c>
      <c r="G26" s="36">
        <f>Spotify!N70</f>
        <v>0</v>
      </c>
      <c r="H26" s="36">
        <f>Spotify!R76</f>
        <v>0</v>
      </c>
      <c r="I26" s="35">
        <f t="shared" si="10"/>
        <v>1644098.9646100001</v>
      </c>
      <c r="J26" s="33">
        <f t="shared" si="11"/>
        <v>2192131.9528133334</v>
      </c>
      <c r="K26" s="98">
        <v>2286649.4682008629</v>
      </c>
      <c r="L26" s="43">
        <f t="shared" si="13"/>
        <v>-94517.515387529507</v>
      </c>
      <c r="M26" s="114">
        <f t="shared" si="9"/>
        <v>-4.1334501287552367E-2</v>
      </c>
      <c r="O26" s="163"/>
    </row>
    <row r="27" spans="1:15" ht="12" customHeight="1" thickBot="1" x14ac:dyDescent="0.25">
      <c r="A27" s="154" t="s">
        <v>320</v>
      </c>
      <c r="B27" s="533">
        <v>589509.80516860203</v>
      </c>
      <c r="C27" s="491">
        <v>551201.20799999998</v>
      </c>
      <c r="D27" s="319">
        <f>Cricket!B3</f>
        <v>123412.95360000001</v>
      </c>
      <c r="E27" s="158">
        <f>Cricket!F3</f>
        <v>129633.662</v>
      </c>
      <c r="F27" s="158">
        <f>Cricket!J3</f>
        <v>134408.66329999999</v>
      </c>
      <c r="G27" s="158">
        <f>Cricket!N3</f>
        <v>0</v>
      </c>
      <c r="H27" s="158">
        <f>Cricket!R3</f>
        <v>0</v>
      </c>
      <c r="I27" s="174">
        <f t="shared" si="10"/>
        <v>387455.27890000003</v>
      </c>
      <c r="J27" s="519">
        <f t="shared" si="11"/>
        <v>516607.0385333334</v>
      </c>
      <c r="K27" s="372">
        <v>515629.45885962452</v>
      </c>
      <c r="L27" s="373">
        <f t="shared" si="13"/>
        <v>977.57967370888218</v>
      </c>
      <c r="M27" s="554">
        <f t="shared" si="9"/>
        <v>1.8958956997354556E-3</v>
      </c>
    </row>
    <row r="28" spans="1:15" x14ac:dyDescent="0.2">
      <c r="A28" s="471" t="s">
        <v>915</v>
      </c>
      <c r="B28" s="72"/>
      <c r="C28" s="72"/>
      <c r="D28" s="72"/>
      <c r="E28" s="72"/>
      <c r="F28" s="72" t="s">
        <v>881</v>
      </c>
      <c r="G28" s="471"/>
      <c r="H28" s="207"/>
      <c r="I28" s="207"/>
    </row>
    <row r="29" spans="1:15" s="290" customFormat="1" x14ac:dyDescent="0.2">
      <c r="A29" s="72" t="s">
        <v>1006</v>
      </c>
      <c r="B29" s="72"/>
      <c r="C29" s="72"/>
      <c r="D29" s="72"/>
      <c r="E29" s="72"/>
      <c r="F29"/>
      <c r="G29" s="3"/>
      <c r="H29"/>
      <c r="I29" s="3"/>
      <c r="J29"/>
      <c r="K29"/>
      <c r="L29"/>
      <c r="M29"/>
    </row>
    <row r="30" spans="1:15" s="290" customFormat="1" x14ac:dyDescent="0.2">
      <c r="B30" s="72"/>
      <c r="C30" s="72"/>
      <c r="D30" s="72"/>
      <c r="E30" s="72"/>
      <c r="G30" s="3"/>
      <c r="I30" s="3"/>
    </row>
    <row r="31" spans="1:15" s="290" customFormat="1" x14ac:dyDescent="0.2">
      <c r="A31" s="321"/>
      <c r="B31" s="311"/>
      <c r="C31" s="311"/>
      <c r="D31" s="311"/>
      <c r="E31" s="339"/>
      <c r="F31" s="311"/>
      <c r="G31" s="311"/>
      <c r="H31" s="311"/>
      <c r="I31" s="311"/>
      <c r="J31" s="311"/>
      <c r="K31" s="311"/>
      <c r="L31" s="311"/>
      <c r="M31" s="311"/>
    </row>
    <row r="32" spans="1:15" s="290" customFormat="1" x14ac:dyDescent="0.2">
      <c r="A32" s="321"/>
      <c r="B32" s="72"/>
      <c r="C32" s="72"/>
      <c r="D32" s="72"/>
      <c r="E32" s="72"/>
      <c r="G32" s="3"/>
      <c r="I32" s="3"/>
    </row>
    <row r="33" spans="1:9" x14ac:dyDescent="0.2">
      <c r="A33" s="72"/>
      <c r="B33" s="72"/>
      <c r="C33" s="72"/>
      <c r="D33" s="72"/>
      <c r="E33" s="72"/>
      <c r="F33" s="72"/>
      <c r="G33" s="3"/>
      <c r="I33" s="3"/>
    </row>
    <row r="34" spans="1:9" ht="13.5" thickBot="1" x14ac:dyDescent="0.25">
      <c r="B34" s="72"/>
      <c r="C34" s="72"/>
      <c r="D34" s="72"/>
      <c r="E34" s="72"/>
      <c r="G34" s="3"/>
      <c r="H34" s="3"/>
    </row>
    <row r="35" spans="1:9" ht="13.5" thickBot="1" x14ac:dyDescent="0.25">
      <c r="A35" s="571" t="s">
        <v>317</v>
      </c>
      <c r="B35" s="572"/>
      <c r="C35" s="572"/>
      <c r="D35" s="572"/>
      <c r="E35" s="572"/>
      <c r="F35" s="572"/>
      <c r="G35" s="572"/>
      <c r="H35" s="573"/>
      <c r="I35" s="155"/>
    </row>
    <row r="36" spans="1:9" ht="26.25" thickBot="1" x14ac:dyDescent="0.25">
      <c r="A36" s="75"/>
      <c r="B36" s="77" t="s">
        <v>745</v>
      </c>
      <c r="C36" s="307" t="s">
        <v>118</v>
      </c>
      <c r="D36" s="315" t="s">
        <v>778</v>
      </c>
      <c r="E36" s="315" t="s">
        <v>809</v>
      </c>
      <c r="F36" s="315" t="s">
        <v>828</v>
      </c>
      <c r="G36" s="511" t="s">
        <v>943</v>
      </c>
      <c r="H36" s="511" t="s">
        <v>1039</v>
      </c>
    </row>
    <row r="37" spans="1:9" x14ac:dyDescent="0.2">
      <c r="A37" s="325" t="s">
        <v>9</v>
      </c>
      <c r="B37" s="73">
        <v>91364</v>
      </c>
      <c r="C37" s="73">
        <v>61646</v>
      </c>
      <c r="D37" s="383">
        <v>68494</v>
      </c>
      <c r="E37" s="396">
        <v>93117</v>
      </c>
      <c r="F37" s="396">
        <v>49439</v>
      </c>
      <c r="G37" s="512">
        <v>92884</v>
      </c>
      <c r="H37" s="512">
        <v>71664</v>
      </c>
      <c r="I37" s="164"/>
    </row>
    <row r="38" spans="1:9" x14ac:dyDescent="0.2">
      <c r="A38" s="384" t="s">
        <v>24</v>
      </c>
      <c r="B38" s="385">
        <v>82043</v>
      </c>
      <c r="C38" s="386">
        <v>113813</v>
      </c>
      <c r="D38" s="378">
        <v>129063</v>
      </c>
      <c r="E38" s="397">
        <v>129131</v>
      </c>
      <c r="F38" s="397">
        <v>110347</v>
      </c>
      <c r="G38" s="513">
        <v>113751</v>
      </c>
      <c r="H38" s="513">
        <v>103238</v>
      </c>
    </row>
    <row r="39" spans="1:9" x14ac:dyDescent="0.2">
      <c r="A39" s="384" t="s">
        <v>26</v>
      </c>
      <c r="B39" s="387">
        <v>19734</v>
      </c>
      <c r="C39" s="388">
        <v>64885</v>
      </c>
      <c r="D39" s="379">
        <v>42937</v>
      </c>
      <c r="E39" s="398">
        <v>21213</v>
      </c>
      <c r="F39" s="398">
        <v>14867</v>
      </c>
      <c r="G39" s="514">
        <v>21722</v>
      </c>
      <c r="H39" s="514">
        <v>20045</v>
      </c>
      <c r="I39" s="299"/>
    </row>
    <row r="40" spans="1:9" ht="13.5" thickBot="1" x14ac:dyDescent="0.25">
      <c r="A40" s="389" t="s">
        <v>738</v>
      </c>
      <c r="B40" s="390">
        <v>3078</v>
      </c>
      <c r="C40" s="390">
        <v>3397</v>
      </c>
      <c r="D40" s="381">
        <v>2883</v>
      </c>
      <c r="E40" s="399">
        <v>1426</v>
      </c>
      <c r="F40" s="399">
        <v>570</v>
      </c>
      <c r="G40" s="515">
        <v>2235</v>
      </c>
      <c r="H40" s="543">
        <v>928</v>
      </c>
      <c r="I40" s="303"/>
    </row>
    <row r="41" spans="1:9" x14ac:dyDescent="0.2">
      <c r="A41" s="324" t="s">
        <v>763</v>
      </c>
      <c r="B41" s="323">
        <v>99</v>
      </c>
      <c r="C41" s="323">
        <v>131</v>
      </c>
      <c r="D41" s="380">
        <v>220</v>
      </c>
      <c r="E41" s="391">
        <v>305</v>
      </c>
      <c r="F41" s="391">
        <v>118</v>
      </c>
      <c r="G41" s="523">
        <v>129</v>
      </c>
      <c r="H41" s="526">
        <v>192</v>
      </c>
      <c r="I41" s="164"/>
    </row>
    <row r="42" spans="1:9" x14ac:dyDescent="0.2">
      <c r="A42" s="384" t="s">
        <v>761</v>
      </c>
      <c r="B42" s="377"/>
      <c r="C42" s="377">
        <v>35</v>
      </c>
      <c r="D42" s="377">
        <v>7</v>
      </c>
      <c r="E42" s="392"/>
      <c r="F42" s="392"/>
      <c r="G42" s="524"/>
      <c r="H42" s="527"/>
      <c r="I42" s="303"/>
    </row>
    <row r="43" spans="1:9" ht="13.5" thickBot="1" x14ac:dyDescent="0.25">
      <c r="A43" s="393" t="s">
        <v>762</v>
      </c>
      <c r="B43" s="394">
        <v>45</v>
      </c>
      <c r="C43" s="394">
        <v>51</v>
      </c>
      <c r="D43" s="382">
        <v>113</v>
      </c>
      <c r="E43" s="395">
        <v>97</v>
      </c>
      <c r="F43" s="395">
        <v>16</v>
      </c>
      <c r="G43" s="525">
        <v>50</v>
      </c>
      <c r="H43" s="528">
        <v>27</v>
      </c>
    </row>
    <row r="44" spans="1:9" x14ac:dyDescent="0.2">
      <c r="A44" s="155"/>
      <c r="B44" s="156"/>
      <c r="C44" s="156"/>
      <c r="D44" s="156"/>
      <c r="E44" s="156"/>
      <c r="F44" s="156"/>
      <c r="G44" s="156"/>
      <c r="H44" s="156"/>
    </row>
    <row r="45" spans="1:9" x14ac:dyDescent="0.2">
      <c r="A45" s="165"/>
      <c r="F45" s="164"/>
      <c r="G45" s="164"/>
      <c r="H45" s="164"/>
    </row>
    <row r="46" spans="1:9" s="290" customFormat="1" x14ac:dyDescent="0.2">
      <c r="A46" s="165"/>
      <c r="F46" s="164"/>
      <c r="G46" s="164"/>
      <c r="H46" s="164"/>
    </row>
    <row r="47" spans="1:9" s="290" customFormat="1" x14ac:dyDescent="0.2">
      <c r="A47" s="165"/>
      <c r="F47" s="164"/>
      <c r="G47" s="164"/>
      <c r="H47" s="164"/>
    </row>
    <row r="48" spans="1:9" s="290" customFormat="1" x14ac:dyDescent="0.2">
      <c r="A48" s="165"/>
      <c r="F48" s="164"/>
      <c r="G48" s="164"/>
      <c r="H48" s="164"/>
    </row>
    <row r="49" spans="1:18" ht="13.5" thickBot="1" x14ac:dyDescent="0.25"/>
    <row r="50" spans="1:18" ht="15.75" thickBot="1" x14ac:dyDescent="0.3">
      <c r="A50" s="568" t="s">
        <v>1059</v>
      </c>
      <c r="B50" s="569"/>
      <c r="C50" s="569"/>
      <c r="D50" s="569"/>
      <c r="E50" s="569"/>
      <c r="F50" s="569"/>
      <c r="G50" s="569"/>
      <c r="H50" s="569"/>
      <c r="I50" s="569"/>
      <c r="J50" s="569"/>
      <c r="K50" s="569"/>
      <c r="L50" s="569"/>
      <c r="M50" s="569"/>
      <c r="N50" s="569"/>
      <c r="O50" s="569"/>
      <c r="P50" s="569"/>
      <c r="Q50" s="569"/>
      <c r="R50" s="570"/>
    </row>
    <row r="51" spans="1:18" ht="15.75" customHeight="1" thickBot="1" x14ac:dyDescent="0.25">
      <c r="A51" s="575" t="s">
        <v>71</v>
      </c>
      <c r="B51" s="593" t="s">
        <v>318</v>
      </c>
      <c r="C51" s="594"/>
      <c r="D51" s="594"/>
      <c r="E51" s="594"/>
      <c r="F51" s="594"/>
      <c r="G51" s="594"/>
      <c r="H51" s="594"/>
      <c r="I51" s="595"/>
      <c r="J51" s="162"/>
      <c r="K51" s="577" t="s">
        <v>319</v>
      </c>
      <c r="L51" s="578"/>
      <c r="M51" s="578"/>
      <c r="N51" s="578"/>
      <c r="O51" s="578"/>
      <c r="P51" s="578"/>
      <c r="Q51" s="578"/>
      <c r="R51" s="579"/>
    </row>
    <row r="52" spans="1:18" ht="13.5" thickBot="1" x14ac:dyDescent="0.25">
      <c r="A52" s="576"/>
      <c r="B52" s="301" t="s">
        <v>321</v>
      </c>
      <c r="C52" s="591" t="s">
        <v>67</v>
      </c>
      <c r="D52" s="596"/>
      <c r="E52" s="574" t="s">
        <v>68</v>
      </c>
      <c r="F52" s="557"/>
      <c r="G52" s="574" t="s">
        <v>69</v>
      </c>
      <c r="H52" s="557"/>
      <c r="I52" s="301" t="s">
        <v>795</v>
      </c>
      <c r="J52" s="162"/>
      <c r="K52" s="305" t="s">
        <v>321</v>
      </c>
      <c r="L52" s="591" t="s">
        <v>67</v>
      </c>
      <c r="M52" s="592"/>
      <c r="N52" s="555" t="s">
        <v>68</v>
      </c>
      <c r="O52" s="556"/>
      <c r="P52" s="555" t="s">
        <v>77</v>
      </c>
      <c r="Q52" s="557"/>
      <c r="R52" s="306" t="s">
        <v>796</v>
      </c>
    </row>
    <row r="53" spans="1:18" x14ac:dyDescent="0.2">
      <c r="A53" s="198">
        <v>1</v>
      </c>
      <c r="B53" s="300" t="s">
        <v>322</v>
      </c>
      <c r="C53" s="589" t="s">
        <v>953</v>
      </c>
      <c r="D53" s="590" t="s">
        <v>953</v>
      </c>
      <c r="E53" s="558" t="s">
        <v>956</v>
      </c>
      <c r="F53" s="562" t="s">
        <v>956</v>
      </c>
      <c r="G53" s="558" t="s">
        <v>1017</v>
      </c>
      <c r="H53" s="559" t="s">
        <v>1017</v>
      </c>
      <c r="I53" s="304">
        <v>23770</v>
      </c>
      <c r="J53" s="229"/>
      <c r="K53" s="300" t="s">
        <v>323</v>
      </c>
      <c r="L53" s="618" t="s">
        <v>960</v>
      </c>
      <c r="M53" s="562" t="s">
        <v>960</v>
      </c>
      <c r="N53" s="558" t="s">
        <v>961</v>
      </c>
      <c r="O53" s="562" t="s">
        <v>961</v>
      </c>
      <c r="P53" s="558" t="s">
        <v>989</v>
      </c>
      <c r="Q53" s="559" t="s">
        <v>989</v>
      </c>
      <c r="R53" s="304">
        <v>3943</v>
      </c>
    </row>
    <row r="54" spans="1:18" x14ac:dyDescent="0.2">
      <c r="A54" s="199">
        <v>2</v>
      </c>
      <c r="B54" s="374" t="s">
        <v>322</v>
      </c>
      <c r="C54" s="583" t="s">
        <v>830</v>
      </c>
      <c r="D54" s="584" t="s">
        <v>830</v>
      </c>
      <c r="E54" s="560" t="s">
        <v>954</v>
      </c>
      <c r="F54" s="563" t="s">
        <v>954</v>
      </c>
      <c r="G54" s="560" t="s">
        <v>955</v>
      </c>
      <c r="H54" s="561" t="s">
        <v>955</v>
      </c>
      <c r="I54" s="422">
        <v>3420</v>
      </c>
      <c r="J54" s="229"/>
      <c r="K54" s="374" t="s">
        <v>323</v>
      </c>
      <c r="L54" s="564" t="s">
        <v>1040</v>
      </c>
      <c r="M54" s="563" t="s">
        <v>1040</v>
      </c>
      <c r="N54" s="560" t="s">
        <v>1041</v>
      </c>
      <c r="O54" s="563" t="s">
        <v>1041</v>
      </c>
      <c r="P54" s="560" t="s">
        <v>1042</v>
      </c>
      <c r="Q54" s="561" t="s">
        <v>1042</v>
      </c>
      <c r="R54" s="422">
        <v>753</v>
      </c>
    </row>
    <row r="55" spans="1:18" x14ac:dyDescent="0.2">
      <c r="A55" s="200">
        <v>3</v>
      </c>
      <c r="B55" s="374" t="s">
        <v>323</v>
      </c>
      <c r="C55" s="583" t="s">
        <v>834</v>
      </c>
      <c r="D55" s="584" t="s">
        <v>834</v>
      </c>
      <c r="E55" s="560" t="s">
        <v>1094</v>
      </c>
      <c r="F55" s="563" t="s">
        <v>1094</v>
      </c>
      <c r="G55" s="560" t="s">
        <v>1095</v>
      </c>
      <c r="H55" s="561" t="s">
        <v>1095</v>
      </c>
      <c r="I55" s="422">
        <v>2649</v>
      </c>
      <c r="J55" s="229"/>
      <c r="K55" s="374" t="s">
        <v>322</v>
      </c>
      <c r="L55" s="564" t="s">
        <v>944</v>
      </c>
      <c r="M55" s="563" t="s">
        <v>944</v>
      </c>
      <c r="N55" s="560" t="s">
        <v>945</v>
      </c>
      <c r="O55" s="563" t="s">
        <v>945</v>
      </c>
      <c r="P55" s="560" t="s">
        <v>988</v>
      </c>
      <c r="Q55" s="561" t="s">
        <v>988</v>
      </c>
      <c r="R55" s="422">
        <v>681</v>
      </c>
    </row>
    <row r="56" spans="1:18" x14ac:dyDescent="0.2">
      <c r="A56" s="199">
        <v>4</v>
      </c>
      <c r="B56" s="374" t="s">
        <v>323</v>
      </c>
      <c r="C56" s="583" t="s">
        <v>960</v>
      </c>
      <c r="D56" s="584" t="s">
        <v>960</v>
      </c>
      <c r="E56" s="560" t="s">
        <v>961</v>
      </c>
      <c r="F56" s="563" t="s">
        <v>961</v>
      </c>
      <c r="G56" s="560" t="s">
        <v>974</v>
      </c>
      <c r="H56" s="561" t="s">
        <v>974</v>
      </c>
      <c r="I56" s="422">
        <v>2399</v>
      </c>
      <c r="J56" s="229"/>
      <c r="K56" s="374" t="s">
        <v>323</v>
      </c>
      <c r="L56" s="564" t="s">
        <v>327</v>
      </c>
      <c r="M56" s="563" t="s">
        <v>327</v>
      </c>
      <c r="N56" s="560" t="s">
        <v>1043</v>
      </c>
      <c r="O56" s="563" t="s">
        <v>1043</v>
      </c>
      <c r="P56" s="560" t="s">
        <v>1043</v>
      </c>
      <c r="Q56" s="561" t="s">
        <v>1043</v>
      </c>
      <c r="R56" s="422">
        <v>546</v>
      </c>
    </row>
    <row r="57" spans="1:18" x14ac:dyDescent="0.2">
      <c r="A57" s="200">
        <v>5</v>
      </c>
      <c r="B57" s="374" t="s">
        <v>322</v>
      </c>
      <c r="C57" s="583" t="s">
        <v>1096</v>
      </c>
      <c r="D57" s="584" t="s">
        <v>1096</v>
      </c>
      <c r="E57" s="560" t="s">
        <v>1097</v>
      </c>
      <c r="F57" s="563" t="s">
        <v>1097</v>
      </c>
      <c r="G57" s="560" t="s">
        <v>1098</v>
      </c>
      <c r="H57" s="561" t="s">
        <v>1098</v>
      </c>
      <c r="I57" s="422">
        <v>2378</v>
      </c>
      <c r="J57" s="229"/>
      <c r="K57" s="374" t="s">
        <v>323</v>
      </c>
      <c r="L57" s="564" t="s">
        <v>328</v>
      </c>
      <c r="M57" s="563" t="s">
        <v>328</v>
      </c>
      <c r="N57" s="560" t="s">
        <v>1044</v>
      </c>
      <c r="O57" s="563" t="s">
        <v>1044</v>
      </c>
      <c r="P57" s="560" t="s">
        <v>1045</v>
      </c>
      <c r="Q57" s="561" t="s">
        <v>1045</v>
      </c>
      <c r="R57" s="422">
        <v>528</v>
      </c>
    </row>
    <row r="58" spans="1:18" x14ac:dyDescent="0.2">
      <c r="A58" s="199">
        <v>6</v>
      </c>
      <c r="B58" s="374" t="s">
        <v>322</v>
      </c>
      <c r="C58" s="583" t="s">
        <v>971</v>
      </c>
      <c r="D58" s="584" t="s">
        <v>971</v>
      </c>
      <c r="E58" s="560" t="s">
        <v>972</v>
      </c>
      <c r="F58" s="563" t="s">
        <v>972</v>
      </c>
      <c r="G58" s="560" t="s">
        <v>973</v>
      </c>
      <c r="H58" s="561" t="s">
        <v>973</v>
      </c>
      <c r="I58" s="422">
        <v>1880</v>
      </c>
      <c r="J58" s="229"/>
      <c r="K58" s="374" t="s">
        <v>322</v>
      </c>
      <c r="L58" s="564" t="s">
        <v>70</v>
      </c>
      <c r="M58" s="563" t="s">
        <v>70</v>
      </c>
      <c r="N58" s="560" t="s">
        <v>869</v>
      </c>
      <c r="O58" s="563" t="s">
        <v>869</v>
      </c>
      <c r="P58" s="560" t="s">
        <v>870</v>
      </c>
      <c r="Q58" s="561" t="s">
        <v>870</v>
      </c>
      <c r="R58" s="422">
        <v>364</v>
      </c>
    </row>
    <row r="59" spans="1:18" x14ac:dyDescent="0.2">
      <c r="A59" s="200">
        <v>7</v>
      </c>
      <c r="B59" s="374" t="s">
        <v>323</v>
      </c>
      <c r="C59" s="583" t="s">
        <v>960</v>
      </c>
      <c r="D59" s="584" t="s">
        <v>960</v>
      </c>
      <c r="E59" s="560" t="s">
        <v>961</v>
      </c>
      <c r="F59" s="563" t="s">
        <v>961</v>
      </c>
      <c r="G59" s="560" t="s">
        <v>962</v>
      </c>
      <c r="H59" s="561" t="s">
        <v>962</v>
      </c>
      <c r="I59" s="422">
        <v>1870</v>
      </c>
      <c r="J59" s="229"/>
      <c r="K59" s="374" t="s">
        <v>322</v>
      </c>
      <c r="L59" s="564" t="s">
        <v>1046</v>
      </c>
      <c r="M59" s="563" t="s">
        <v>1046</v>
      </c>
      <c r="N59" s="560" t="s">
        <v>1047</v>
      </c>
      <c r="O59" s="563" t="s">
        <v>1047</v>
      </c>
      <c r="P59" s="560" t="s">
        <v>1048</v>
      </c>
      <c r="Q59" s="561" t="s">
        <v>1048</v>
      </c>
      <c r="R59" s="422">
        <v>294</v>
      </c>
    </row>
    <row r="60" spans="1:18" x14ac:dyDescent="0.2">
      <c r="A60" s="199">
        <v>8</v>
      </c>
      <c r="B60" s="374" t="s">
        <v>323</v>
      </c>
      <c r="C60" s="583" t="s">
        <v>957</v>
      </c>
      <c r="D60" s="584" t="s">
        <v>957</v>
      </c>
      <c r="E60" s="560" t="s">
        <v>958</v>
      </c>
      <c r="F60" s="563" t="s">
        <v>958</v>
      </c>
      <c r="G60" s="560" t="s">
        <v>959</v>
      </c>
      <c r="H60" s="561" t="s">
        <v>959</v>
      </c>
      <c r="I60" s="422">
        <v>1599</v>
      </c>
      <c r="J60" s="229"/>
      <c r="K60" s="374" t="s">
        <v>322</v>
      </c>
      <c r="L60" s="564" t="s">
        <v>882</v>
      </c>
      <c r="M60" s="563" t="s">
        <v>882</v>
      </c>
      <c r="N60" s="560" t="s">
        <v>883</v>
      </c>
      <c r="O60" s="563" t="s">
        <v>883</v>
      </c>
      <c r="P60" s="560" t="s">
        <v>884</v>
      </c>
      <c r="Q60" s="561" t="s">
        <v>884</v>
      </c>
      <c r="R60" s="422">
        <v>278</v>
      </c>
    </row>
    <row r="61" spans="1:18" x14ac:dyDescent="0.2">
      <c r="A61" s="200">
        <v>9</v>
      </c>
      <c r="B61" s="374" t="s">
        <v>323</v>
      </c>
      <c r="C61" s="583" t="s">
        <v>960</v>
      </c>
      <c r="D61" s="584" t="s">
        <v>960</v>
      </c>
      <c r="E61" s="560" t="s">
        <v>961</v>
      </c>
      <c r="F61" s="563" t="s">
        <v>961</v>
      </c>
      <c r="G61" s="560" t="s">
        <v>1018</v>
      </c>
      <c r="H61" s="561" t="s">
        <v>1018</v>
      </c>
      <c r="I61" s="422">
        <v>1571</v>
      </c>
      <c r="J61" s="229"/>
      <c r="K61" s="374" t="s">
        <v>323</v>
      </c>
      <c r="L61" s="564" t="s">
        <v>834</v>
      </c>
      <c r="M61" s="563" t="s">
        <v>834</v>
      </c>
      <c r="N61" s="560" t="s">
        <v>835</v>
      </c>
      <c r="O61" s="563" t="s">
        <v>835</v>
      </c>
      <c r="P61" s="560" t="s">
        <v>836</v>
      </c>
      <c r="Q61" s="561" t="s">
        <v>836</v>
      </c>
      <c r="R61" s="422">
        <v>266</v>
      </c>
    </row>
    <row r="62" spans="1:18" x14ac:dyDescent="0.2">
      <c r="A62" s="199">
        <v>10</v>
      </c>
      <c r="B62" s="374" t="s">
        <v>322</v>
      </c>
      <c r="C62" s="583" t="s">
        <v>967</v>
      </c>
      <c r="D62" s="584" t="s">
        <v>967</v>
      </c>
      <c r="E62" s="560" t="s">
        <v>968</v>
      </c>
      <c r="F62" s="563" t="s">
        <v>968</v>
      </c>
      <c r="G62" s="560" t="s">
        <v>832</v>
      </c>
      <c r="H62" s="561" t="s">
        <v>832</v>
      </c>
      <c r="I62" s="422">
        <v>1376</v>
      </c>
      <c r="J62" s="229"/>
      <c r="K62" s="374" t="s">
        <v>323</v>
      </c>
      <c r="L62" s="564" t="s">
        <v>834</v>
      </c>
      <c r="M62" s="563" t="s">
        <v>834</v>
      </c>
      <c r="N62" s="560" t="s">
        <v>935</v>
      </c>
      <c r="O62" s="563" t="s">
        <v>935</v>
      </c>
      <c r="P62" s="560" t="s">
        <v>936</v>
      </c>
      <c r="Q62" s="561" t="s">
        <v>936</v>
      </c>
      <c r="R62" s="422">
        <v>245</v>
      </c>
    </row>
    <row r="63" spans="1:18" x14ac:dyDescent="0.2">
      <c r="A63" s="200">
        <v>11</v>
      </c>
      <c r="B63" s="374" t="s">
        <v>323</v>
      </c>
      <c r="C63" s="583" t="s">
        <v>702</v>
      </c>
      <c r="D63" s="584" t="s">
        <v>702</v>
      </c>
      <c r="E63" s="560" t="s">
        <v>965</v>
      </c>
      <c r="F63" s="563" t="s">
        <v>965</v>
      </c>
      <c r="G63" s="560" t="s">
        <v>966</v>
      </c>
      <c r="H63" s="561" t="s">
        <v>966</v>
      </c>
      <c r="I63" s="422">
        <v>1351</v>
      </c>
      <c r="J63" s="229"/>
      <c r="K63" s="374" t="s">
        <v>323</v>
      </c>
      <c r="L63" s="564" t="s">
        <v>387</v>
      </c>
      <c r="M63" s="563" t="s">
        <v>387</v>
      </c>
      <c r="N63" s="560" t="s">
        <v>1049</v>
      </c>
      <c r="O63" s="563" t="s">
        <v>1049</v>
      </c>
      <c r="P63" s="560" t="s">
        <v>1050</v>
      </c>
      <c r="Q63" s="561" t="s">
        <v>1050</v>
      </c>
      <c r="R63" s="422">
        <v>235</v>
      </c>
    </row>
    <row r="64" spans="1:18" x14ac:dyDescent="0.2">
      <c r="A64" s="199">
        <v>12</v>
      </c>
      <c r="B64" s="374" t="s">
        <v>322</v>
      </c>
      <c r="C64" s="583" t="s">
        <v>70</v>
      </c>
      <c r="D64" s="584" t="s">
        <v>70</v>
      </c>
      <c r="E64" s="560" t="s">
        <v>969</v>
      </c>
      <c r="F64" s="563" t="s">
        <v>969</v>
      </c>
      <c r="G64" s="560" t="s">
        <v>970</v>
      </c>
      <c r="H64" s="561" t="s">
        <v>970</v>
      </c>
      <c r="I64" s="422">
        <v>1326</v>
      </c>
      <c r="J64" s="229"/>
      <c r="K64" s="374" t="s">
        <v>323</v>
      </c>
      <c r="L64" s="564" t="s">
        <v>326</v>
      </c>
      <c r="M64" s="563" t="s">
        <v>326</v>
      </c>
      <c r="N64" s="560" t="s">
        <v>831</v>
      </c>
      <c r="O64" s="563" t="s">
        <v>831</v>
      </c>
      <c r="P64" s="560" t="s">
        <v>833</v>
      </c>
      <c r="Q64" s="561" t="s">
        <v>833</v>
      </c>
      <c r="R64" s="422">
        <v>235</v>
      </c>
    </row>
    <row r="65" spans="1:18" x14ac:dyDescent="0.2">
      <c r="A65" s="200">
        <v>13</v>
      </c>
      <c r="B65" s="374" t="s">
        <v>323</v>
      </c>
      <c r="C65" s="583" t="s">
        <v>963</v>
      </c>
      <c r="D65" s="584" t="s">
        <v>963</v>
      </c>
      <c r="E65" s="560" t="s">
        <v>963</v>
      </c>
      <c r="F65" s="563" t="s">
        <v>963</v>
      </c>
      <c r="G65" s="560" t="s">
        <v>964</v>
      </c>
      <c r="H65" s="561" t="s">
        <v>964</v>
      </c>
      <c r="I65" s="422">
        <v>1301</v>
      </c>
      <c r="J65" s="229"/>
      <c r="K65" s="374" t="s">
        <v>322</v>
      </c>
      <c r="L65" s="564" t="s">
        <v>991</v>
      </c>
      <c r="M65" s="563" t="s">
        <v>991</v>
      </c>
      <c r="N65" s="560" t="s">
        <v>1051</v>
      </c>
      <c r="O65" s="563" t="s">
        <v>1051</v>
      </c>
      <c r="P65" s="560" t="s">
        <v>1052</v>
      </c>
      <c r="Q65" s="561" t="s">
        <v>1052</v>
      </c>
      <c r="R65" s="422">
        <v>221</v>
      </c>
    </row>
    <row r="66" spans="1:18" x14ac:dyDescent="0.2">
      <c r="A66" s="199">
        <v>14</v>
      </c>
      <c r="B66" s="374" t="s">
        <v>323</v>
      </c>
      <c r="C66" s="583" t="s">
        <v>960</v>
      </c>
      <c r="D66" s="584" t="s">
        <v>960</v>
      </c>
      <c r="E66" s="560" t="s">
        <v>961</v>
      </c>
      <c r="F66" s="563" t="s">
        <v>961</v>
      </c>
      <c r="G66" s="560" t="s">
        <v>1019</v>
      </c>
      <c r="H66" s="561" t="s">
        <v>1019</v>
      </c>
      <c r="I66" s="422">
        <v>1172</v>
      </c>
      <c r="J66" s="229"/>
      <c r="K66" s="374" t="s">
        <v>322</v>
      </c>
      <c r="L66" s="564" t="s">
        <v>991</v>
      </c>
      <c r="M66" s="563" t="s">
        <v>991</v>
      </c>
      <c r="N66" s="560" t="s">
        <v>1010</v>
      </c>
      <c r="O66" s="563" t="s">
        <v>1010</v>
      </c>
      <c r="P66" s="560" t="s">
        <v>1011</v>
      </c>
      <c r="Q66" s="561" t="s">
        <v>1011</v>
      </c>
      <c r="R66" s="422">
        <v>214</v>
      </c>
    </row>
    <row r="67" spans="1:18" x14ac:dyDescent="0.2">
      <c r="A67" s="200">
        <v>15</v>
      </c>
      <c r="B67" s="374" t="s">
        <v>323</v>
      </c>
      <c r="C67" s="583" t="s">
        <v>325</v>
      </c>
      <c r="D67" s="584" t="s">
        <v>325</v>
      </c>
      <c r="E67" s="560" t="s">
        <v>992</v>
      </c>
      <c r="F67" s="563" t="s">
        <v>992</v>
      </c>
      <c r="G67" s="560" t="s">
        <v>1099</v>
      </c>
      <c r="H67" s="561" t="s">
        <v>1099</v>
      </c>
      <c r="I67" s="422">
        <v>1167</v>
      </c>
      <c r="J67" s="229"/>
      <c r="K67" s="374" t="s">
        <v>323</v>
      </c>
      <c r="L67" s="564" t="s">
        <v>960</v>
      </c>
      <c r="M67" s="563" t="s">
        <v>960</v>
      </c>
      <c r="N67" s="560" t="s">
        <v>961</v>
      </c>
      <c r="O67" s="563" t="s">
        <v>961</v>
      </c>
      <c r="P67" s="560" t="s">
        <v>990</v>
      </c>
      <c r="Q67" s="561" t="s">
        <v>990</v>
      </c>
      <c r="R67" s="422">
        <v>214</v>
      </c>
    </row>
    <row r="68" spans="1:18" x14ac:dyDescent="0.2">
      <c r="A68" s="199">
        <v>16</v>
      </c>
      <c r="B68" s="374" t="s">
        <v>322</v>
      </c>
      <c r="C68" s="583" t="s">
        <v>953</v>
      </c>
      <c r="D68" s="584" t="s">
        <v>953</v>
      </c>
      <c r="E68" s="560" t="s">
        <v>1100</v>
      </c>
      <c r="F68" s="563" t="s">
        <v>1100</v>
      </c>
      <c r="G68" s="560" t="s">
        <v>1101</v>
      </c>
      <c r="H68" s="561" t="s">
        <v>1101</v>
      </c>
      <c r="I68" s="422">
        <v>1106</v>
      </c>
      <c r="J68" s="229"/>
      <c r="K68" s="374" t="s">
        <v>323</v>
      </c>
      <c r="L68" s="564" t="s">
        <v>326</v>
      </c>
      <c r="M68" s="563" t="s">
        <v>326</v>
      </c>
      <c r="N68" s="560" t="s">
        <v>831</v>
      </c>
      <c r="O68" s="563" t="s">
        <v>831</v>
      </c>
      <c r="P68" s="560" t="s">
        <v>886</v>
      </c>
      <c r="Q68" s="561" t="s">
        <v>886</v>
      </c>
      <c r="R68" s="422">
        <v>214</v>
      </c>
    </row>
    <row r="69" spans="1:18" x14ac:dyDescent="0.2">
      <c r="A69" s="200">
        <v>17</v>
      </c>
      <c r="B69" s="374" t="s">
        <v>322</v>
      </c>
      <c r="C69" s="583" t="s">
        <v>345</v>
      </c>
      <c r="D69" s="584" t="s">
        <v>345</v>
      </c>
      <c r="E69" s="560" t="s">
        <v>1102</v>
      </c>
      <c r="F69" s="563" t="s">
        <v>1102</v>
      </c>
      <c r="G69" s="560" t="s">
        <v>1103</v>
      </c>
      <c r="H69" s="561" t="s">
        <v>1103</v>
      </c>
      <c r="I69" s="422">
        <v>1093</v>
      </c>
      <c r="J69" s="229"/>
      <c r="K69" s="374" t="s">
        <v>322</v>
      </c>
      <c r="L69" s="564" t="s">
        <v>1053</v>
      </c>
      <c r="M69" s="563" t="s">
        <v>1053</v>
      </c>
      <c r="N69" s="560" t="s">
        <v>831</v>
      </c>
      <c r="O69" s="563" t="s">
        <v>831</v>
      </c>
      <c r="P69" s="560" t="s">
        <v>1054</v>
      </c>
      <c r="Q69" s="561" t="s">
        <v>1054</v>
      </c>
      <c r="R69" s="422">
        <v>208</v>
      </c>
    </row>
    <row r="70" spans="1:18" x14ac:dyDescent="0.2">
      <c r="A70" s="199">
        <v>18</v>
      </c>
      <c r="B70" s="374" t="s">
        <v>322</v>
      </c>
      <c r="C70" s="583" t="s">
        <v>953</v>
      </c>
      <c r="D70" s="584" t="s">
        <v>953</v>
      </c>
      <c r="E70" s="560" t="s">
        <v>1104</v>
      </c>
      <c r="F70" s="563" t="s">
        <v>1104</v>
      </c>
      <c r="G70" s="560" t="s">
        <v>1105</v>
      </c>
      <c r="H70" s="561" t="s">
        <v>1105</v>
      </c>
      <c r="I70" s="422">
        <v>1089</v>
      </c>
      <c r="J70" s="229"/>
      <c r="K70" s="374" t="s">
        <v>322</v>
      </c>
      <c r="L70" s="564" t="s">
        <v>70</v>
      </c>
      <c r="M70" s="563" t="s">
        <v>70</v>
      </c>
      <c r="N70" s="560" t="s">
        <v>831</v>
      </c>
      <c r="O70" s="563" t="s">
        <v>831</v>
      </c>
      <c r="P70" s="560" t="s">
        <v>1055</v>
      </c>
      <c r="Q70" s="561" t="s">
        <v>1055</v>
      </c>
      <c r="R70" s="422">
        <v>203</v>
      </c>
    </row>
    <row r="71" spans="1:18" x14ac:dyDescent="0.2">
      <c r="A71" s="200">
        <v>19</v>
      </c>
      <c r="B71" s="374" t="s">
        <v>323</v>
      </c>
      <c r="C71" s="583" t="s">
        <v>960</v>
      </c>
      <c r="D71" s="584" t="s">
        <v>960</v>
      </c>
      <c r="E71" s="560" t="s">
        <v>961</v>
      </c>
      <c r="F71" s="563" t="s">
        <v>961</v>
      </c>
      <c r="G71" s="560" t="s">
        <v>993</v>
      </c>
      <c r="H71" s="561" t="s">
        <v>993</v>
      </c>
      <c r="I71" s="422">
        <v>1044</v>
      </c>
      <c r="J71" s="229"/>
      <c r="K71" s="374" t="s">
        <v>322</v>
      </c>
      <c r="L71" s="564" t="s">
        <v>696</v>
      </c>
      <c r="M71" s="563" t="s">
        <v>696</v>
      </c>
      <c r="N71" s="560" t="s">
        <v>1012</v>
      </c>
      <c r="O71" s="563" t="s">
        <v>1012</v>
      </c>
      <c r="P71" s="560" t="s">
        <v>1013</v>
      </c>
      <c r="Q71" s="561" t="s">
        <v>1013</v>
      </c>
      <c r="R71" s="422">
        <v>201</v>
      </c>
    </row>
    <row r="72" spans="1:18" ht="13.5" thickBot="1" x14ac:dyDescent="0.25">
      <c r="A72" s="201">
        <v>20</v>
      </c>
      <c r="B72" s="375" t="s">
        <v>322</v>
      </c>
      <c r="C72" s="587" t="s">
        <v>733</v>
      </c>
      <c r="D72" s="588" t="s">
        <v>733</v>
      </c>
      <c r="E72" s="565" t="s">
        <v>1106</v>
      </c>
      <c r="F72" s="566" t="s">
        <v>1106</v>
      </c>
      <c r="G72" s="565" t="s">
        <v>1107</v>
      </c>
      <c r="H72" s="567" t="s">
        <v>1107</v>
      </c>
      <c r="I72" s="368">
        <v>1043</v>
      </c>
      <c r="J72" s="230"/>
      <c r="K72" s="375" t="s">
        <v>322</v>
      </c>
      <c r="L72" s="615" t="s">
        <v>1056</v>
      </c>
      <c r="M72" s="566" t="s">
        <v>1056</v>
      </c>
      <c r="N72" s="565" t="s">
        <v>1057</v>
      </c>
      <c r="O72" s="566" t="s">
        <v>1057</v>
      </c>
      <c r="P72" s="565" t="s">
        <v>1058</v>
      </c>
      <c r="Q72" s="567" t="s">
        <v>1058</v>
      </c>
      <c r="R72" s="368">
        <v>199</v>
      </c>
    </row>
    <row r="73" spans="1:18" s="290" customFormat="1" x14ac:dyDescent="0.2">
      <c r="A73" s="312"/>
      <c r="B73" s="67"/>
      <c r="C73" s="313"/>
      <c r="D73" s="313"/>
      <c r="E73" s="67"/>
      <c r="F73" s="67"/>
      <c r="G73" s="67"/>
      <c r="H73" s="67"/>
      <c r="I73" s="67"/>
      <c r="J73" s="229"/>
      <c r="K73" s="67"/>
      <c r="L73" s="67"/>
      <c r="M73" s="67"/>
      <c r="N73" s="67"/>
      <c r="O73" s="67"/>
      <c r="P73" s="67"/>
      <c r="Q73" s="67"/>
      <c r="R73" s="67"/>
    </row>
    <row r="74" spans="1:18" s="290" customFormat="1" ht="13.5" thickBot="1" x14ac:dyDescent="0.25">
      <c r="A74" s="312"/>
      <c r="B74" s="67"/>
      <c r="C74" s="313"/>
      <c r="D74" s="313"/>
      <c r="E74" s="67"/>
      <c r="F74" s="67"/>
      <c r="G74" s="67"/>
      <c r="H74" s="67"/>
      <c r="I74" s="67"/>
      <c r="J74" s="229"/>
      <c r="K74" s="67"/>
      <c r="L74" s="67"/>
      <c r="M74" s="67"/>
      <c r="N74" s="67"/>
      <c r="O74" s="67"/>
      <c r="P74" s="67"/>
      <c r="Q74" s="67"/>
      <c r="R74" s="67"/>
    </row>
    <row r="75" spans="1:18" s="290" customFormat="1" ht="15.75" thickBot="1" x14ac:dyDescent="0.3">
      <c r="A75" s="568" t="s">
        <v>1059</v>
      </c>
      <c r="B75" s="569"/>
      <c r="C75" s="569"/>
      <c r="D75" s="569"/>
      <c r="E75" s="569"/>
      <c r="F75" s="569"/>
      <c r="G75" s="569"/>
      <c r="H75" s="569"/>
      <c r="I75" s="569"/>
      <c r="J75" s="569"/>
      <c r="K75" s="569"/>
      <c r="L75" s="569"/>
      <c r="M75" s="569"/>
      <c r="N75" s="569"/>
      <c r="O75" s="569"/>
      <c r="P75" s="569"/>
      <c r="Q75" s="569"/>
      <c r="R75" s="570"/>
    </row>
    <row r="76" spans="1:18" s="290" customFormat="1" ht="15.75" customHeight="1" thickBot="1" x14ac:dyDescent="0.25">
      <c r="A76" s="575" t="s">
        <v>71</v>
      </c>
      <c r="B76" s="593" t="s">
        <v>759</v>
      </c>
      <c r="C76" s="594"/>
      <c r="D76" s="594"/>
      <c r="E76" s="594"/>
      <c r="F76" s="594"/>
      <c r="G76" s="594"/>
      <c r="H76" s="594"/>
      <c r="I76" s="595"/>
      <c r="J76" s="162"/>
      <c r="K76" s="577" t="s">
        <v>758</v>
      </c>
      <c r="L76" s="578"/>
      <c r="M76" s="578"/>
      <c r="N76" s="578"/>
      <c r="O76" s="578"/>
      <c r="P76" s="578"/>
      <c r="Q76" s="578"/>
      <c r="R76" s="579"/>
    </row>
    <row r="77" spans="1:18" s="290" customFormat="1" ht="13.5" thickBot="1" x14ac:dyDescent="0.25">
      <c r="A77" s="576"/>
      <c r="B77" s="301" t="s">
        <v>321</v>
      </c>
      <c r="C77" s="591" t="s">
        <v>67</v>
      </c>
      <c r="D77" s="596"/>
      <c r="E77" s="574" t="s">
        <v>68</v>
      </c>
      <c r="F77" s="557"/>
      <c r="G77" s="574" t="s">
        <v>78</v>
      </c>
      <c r="H77" s="557"/>
      <c r="I77" s="301" t="s">
        <v>794</v>
      </c>
      <c r="J77" s="162"/>
      <c r="K77" s="305" t="s">
        <v>321</v>
      </c>
      <c r="L77" s="591" t="s">
        <v>67</v>
      </c>
      <c r="M77" s="592"/>
      <c r="N77" s="555" t="s">
        <v>68</v>
      </c>
      <c r="O77" s="556"/>
      <c r="P77" s="555" t="s">
        <v>764</v>
      </c>
      <c r="Q77" s="557"/>
      <c r="R77" s="306" t="s">
        <v>794</v>
      </c>
    </row>
    <row r="78" spans="1:18" s="290" customFormat="1" x14ac:dyDescent="0.2">
      <c r="A78" s="198">
        <v>1</v>
      </c>
      <c r="B78" s="300" t="s">
        <v>322</v>
      </c>
      <c r="C78" s="589" t="s">
        <v>887</v>
      </c>
      <c r="D78" s="590" t="s">
        <v>887</v>
      </c>
      <c r="E78" s="558" t="s">
        <v>888</v>
      </c>
      <c r="F78" s="562" t="s">
        <v>888</v>
      </c>
      <c r="G78" s="558" t="s">
        <v>889</v>
      </c>
      <c r="H78" s="559" t="s">
        <v>889</v>
      </c>
      <c r="I78" s="304">
        <v>112</v>
      </c>
      <c r="J78" s="229"/>
      <c r="K78" s="300" t="s">
        <v>322</v>
      </c>
      <c r="L78" s="589" t="s">
        <v>1073</v>
      </c>
      <c r="M78" s="590" t="s">
        <v>1073</v>
      </c>
      <c r="N78" s="558" t="s">
        <v>1074</v>
      </c>
      <c r="O78" s="562" t="s">
        <v>1074</v>
      </c>
      <c r="P78" s="558" t="s">
        <v>1075</v>
      </c>
      <c r="Q78" s="562" t="s">
        <v>1075</v>
      </c>
      <c r="R78" s="304">
        <v>1973</v>
      </c>
    </row>
    <row r="79" spans="1:18" s="290" customFormat="1" x14ac:dyDescent="0.2">
      <c r="A79" s="199">
        <v>2</v>
      </c>
      <c r="B79" s="374" t="s">
        <v>322</v>
      </c>
      <c r="C79" s="583" t="s">
        <v>696</v>
      </c>
      <c r="D79" s="584" t="s">
        <v>696</v>
      </c>
      <c r="E79" s="560" t="s">
        <v>890</v>
      </c>
      <c r="F79" s="563" t="s">
        <v>890</v>
      </c>
      <c r="G79" s="560" t="s">
        <v>891</v>
      </c>
      <c r="H79" s="561" t="s">
        <v>891</v>
      </c>
      <c r="I79" s="422">
        <v>89</v>
      </c>
      <c r="J79" s="229"/>
      <c r="K79" s="374" t="s">
        <v>322</v>
      </c>
      <c r="L79" s="583" t="s">
        <v>1076</v>
      </c>
      <c r="M79" s="584" t="s">
        <v>1076</v>
      </c>
      <c r="N79" s="560" t="s">
        <v>1077</v>
      </c>
      <c r="O79" s="563" t="s">
        <v>1077</v>
      </c>
      <c r="P79" s="560" t="s">
        <v>1078</v>
      </c>
      <c r="Q79" s="563" t="s">
        <v>1078</v>
      </c>
      <c r="R79" s="422">
        <v>783</v>
      </c>
    </row>
    <row r="80" spans="1:18" s="290" customFormat="1" x14ac:dyDescent="0.2">
      <c r="A80" s="200">
        <v>3</v>
      </c>
      <c r="B80" s="374" t="s">
        <v>323</v>
      </c>
      <c r="C80" s="583" t="s">
        <v>896</v>
      </c>
      <c r="D80" s="584" t="s">
        <v>896</v>
      </c>
      <c r="E80" s="560" t="s">
        <v>897</v>
      </c>
      <c r="F80" s="563" t="s">
        <v>897</v>
      </c>
      <c r="G80" s="560" t="s">
        <v>898</v>
      </c>
      <c r="H80" s="561" t="s">
        <v>898</v>
      </c>
      <c r="I80" s="422">
        <v>51</v>
      </c>
      <c r="J80" s="229"/>
      <c r="K80" s="374" t="s">
        <v>322</v>
      </c>
      <c r="L80" s="583" t="s">
        <v>845</v>
      </c>
      <c r="M80" s="584" t="s">
        <v>845</v>
      </c>
      <c r="N80" s="560" t="s">
        <v>846</v>
      </c>
      <c r="O80" s="563" t="s">
        <v>846</v>
      </c>
      <c r="P80" s="560" t="s">
        <v>847</v>
      </c>
      <c r="Q80" s="563" t="s">
        <v>847</v>
      </c>
      <c r="R80" s="422">
        <v>280</v>
      </c>
    </row>
    <row r="81" spans="1:18" s="290" customFormat="1" x14ac:dyDescent="0.2">
      <c r="A81" s="199">
        <v>4</v>
      </c>
      <c r="B81" s="374" t="s">
        <v>322</v>
      </c>
      <c r="C81" s="583" t="s">
        <v>837</v>
      </c>
      <c r="D81" s="584" t="s">
        <v>837</v>
      </c>
      <c r="E81" s="560" t="s">
        <v>838</v>
      </c>
      <c r="F81" s="563" t="s">
        <v>838</v>
      </c>
      <c r="G81" s="560" t="s">
        <v>895</v>
      </c>
      <c r="H81" s="561" t="s">
        <v>895</v>
      </c>
      <c r="I81" s="422">
        <v>45</v>
      </c>
      <c r="J81" s="229"/>
      <c r="K81" s="374" t="s">
        <v>322</v>
      </c>
      <c r="L81" s="583" t="s">
        <v>839</v>
      </c>
      <c r="M81" s="584" t="s">
        <v>839</v>
      </c>
      <c r="N81" s="560" t="s">
        <v>840</v>
      </c>
      <c r="O81" s="563" t="s">
        <v>840</v>
      </c>
      <c r="P81" s="560" t="s">
        <v>841</v>
      </c>
      <c r="Q81" s="563" t="s">
        <v>841</v>
      </c>
      <c r="R81" s="422">
        <v>208</v>
      </c>
    </row>
    <row r="82" spans="1:18" s="290" customFormat="1" x14ac:dyDescent="0.2">
      <c r="A82" s="200">
        <v>5</v>
      </c>
      <c r="B82" s="374" t="s">
        <v>323</v>
      </c>
      <c r="C82" s="583" t="s">
        <v>892</v>
      </c>
      <c r="D82" s="584" t="s">
        <v>892</v>
      </c>
      <c r="E82" s="560" t="s">
        <v>893</v>
      </c>
      <c r="F82" s="563" t="s">
        <v>893</v>
      </c>
      <c r="G82" s="560" t="s">
        <v>894</v>
      </c>
      <c r="H82" s="561" t="s">
        <v>894</v>
      </c>
      <c r="I82" s="422">
        <v>42</v>
      </c>
      <c r="J82" s="229"/>
      <c r="K82" s="374" t="s">
        <v>322</v>
      </c>
      <c r="L82" s="583" t="s">
        <v>848</v>
      </c>
      <c r="M82" s="584" t="s">
        <v>848</v>
      </c>
      <c r="N82" s="560" t="s">
        <v>848</v>
      </c>
      <c r="O82" s="563" t="s">
        <v>848</v>
      </c>
      <c r="P82" s="560" t="s">
        <v>849</v>
      </c>
      <c r="Q82" s="563" t="s">
        <v>849</v>
      </c>
      <c r="R82" s="422">
        <v>181</v>
      </c>
    </row>
    <row r="83" spans="1:18" s="290" customFormat="1" x14ac:dyDescent="0.2">
      <c r="A83" s="199">
        <v>6</v>
      </c>
      <c r="B83" s="374" t="s">
        <v>322</v>
      </c>
      <c r="C83" s="583" t="s">
        <v>899</v>
      </c>
      <c r="D83" s="584" t="s">
        <v>899</v>
      </c>
      <c r="E83" s="560" t="s">
        <v>900</v>
      </c>
      <c r="F83" s="563" t="s">
        <v>900</v>
      </c>
      <c r="G83" s="560" t="s">
        <v>901</v>
      </c>
      <c r="H83" s="561" t="s">
        <v>901</v>
      </c>
      <c r="I83" s="422">
        <v>40</v>
      </c>
      <c r="J83" s="229"/>
      <c r="K83" s="374" t="s">
        <v>322</v>
      </c>
      <c r="L83" s="583" t="s">
        <v>1079</v>
      </c>
      <c r="M83" s="584" t="s">
        <v>1079</v>
      </c>
      <c r="N83" s="560" t="s">
        <v>1080</v>
      </c>
      <c r="O83" s="563" t="s">
        <v>1080</v>
      </c>
      <c r="P83" s="560" t="s">
        <v>1081</v>
      </c>
      <c r="Q83" s="563" t="s">
        <v>1081</v>
      </c>
      <c r="R83" s="422">
        <v>177</v>
      </c>
    </row>
    <row r="84" spans="1:18" s="290" customFormat="1" x14ac:dyDescent="0.2">
      <c r="A84" s="200">
        <v>7</v>
      </c>
      <c r="B84" s="374" t="s">
        <v>322</v>
      </c>
      <c r="C84" s="583" t="s">
        <v>733</v>
      </c>
      <c r="D84" s="584" t="s">
        <v>733</v>
      </c>
      <c r="E84" s="560" t="s">
        <v>1014</v>
      </c>
      <c r="F84" s="563" t="s">
        <v>1014</v>
      </c>
      <c r="G84" s="560" t="s">
        <v>1015</v>
      </c>
      <c r="H84" s="561" t="s">
        <v>1015</v>
      </c>
      <c r="I84" s="422">
        <v>34</v>
      </c>
      <c r="J84" s="229"/>
      <c r="K84" s="374" t="s">
        <v>322</v>
      </c>
      <c r="L84" s="583" t="s">
        <v>842</v>
      </c>
      <c r="M84" s="584" t="s">
        <v>842</v>
      </c>
      <c r="N84" s="560" t="s">
        <v>843</v>
      </c>
      <c r="O84" s="563" t="s">
        <v>843</v>
      </c>
      <c r="P84" s="560" t="s">
        <v>844</v>
      </c>
      <c r="Q84" s="563" t="s">
        <v>844</v>
      </c>
      <c r="R84" s="422">
        <v>155</v>
      </c>
    </row>
    <row r="85" spans="1:18" s="290" customFormat="1" x14ac:dyDescent="0.2">
      <c r="A85" s="199">
        <v>8</v>
      </c>
      <c r="B85" s="374" t="s">
        <v>322</v>
      </c>
      <c r="C85" s="583" t="s">
        <v>1060</v>
      </c>
      <c r="D85" s="584" t="s">
        <v>1060</v>
      </c>
      <c r="E85" s="560" t="s">
        <v>1061</v>
      </c>
      <c r="F85" s="563" t="s">
        <v>1061</v>
      </c>
      <c r="G85" s="560" t="s">
        <v>1062</v>
      </c>
      <c r="H85" s="561" t="s">
        <v>1062</v>
      </c>
      <c r="I85" s="422">
        <v>29</v>
      </c>
      <c r="J85" s="229"/>
      <c r="K85" s="374" t="s">
        <v>322</v>
      </c>
      <c r="L85" s="583" t="s">
        <v>850</v>
      </c>
      <c r="M85" s="584" t="s">
        <v>850</v>
      </c>
      <c r="N85" s="560" t="s">
        <v>851</v>
      </c>
      <c r="O85" s="563" t="s">
        <v>851</v>
      </c>
      <c r="P85" s="560" t="s">
        <v>852</v>
      </c>
      <c r="Q85" s="563" t="s">
        <v>852</v>
      </c>
      <c r="R85" s="422">
        <v>124</v>
      </c>
    </row>
    <row r="86" spans="1:18" s="290" customFormat="1" x14ac:dyDescent="0.2">
      <c r="A86" s="200">
        <v>9</v>
      </c>
      <c r="B86" s="374" t="s">
        <v>322</v>
      </c>
      <c r="C86" s="583" t="s">
        <v>347</v>
      </c>
      <c r="D86" s="584" t="s">
        <v>347</v>
      </c>
      <c r="E86" s="560" t="s">
        <v>902</v>
      </c>
      <c r="F86" s="563" t="s">
        <v>902</v>
      </c>
      <c r="G86" s="560" t="s">
        <v>903</v>
      </c>
      <c r="H86" s="561" t="s">
        <v>903</v>
      </c>
      <c r="I86" s="422">
        <v>27</v>
      </c>
      <c r="J86" s="229"/>
      <c r="K86" s="374" t="s">
        <v>322</v>
      </c>
      <c r="L86" s="583" t="s">
        <v>856</v>
      </c>
      <c r="M86" s="584" t="s">
        <v>856</v>
      </c>
      <c r="N86" s="560" t="s">
        <v>857</v>
      </c>
      <c r="O86" s="563" t="s">
        <v>857</v>
      </c>
      <c r="P86" s="560" t="s">
        <v>858</v>
      </c>
      <c r="Q86" s="563" t="s">
        <v>858</v>
      </c>
      <c r="R86" s="422">
        <v>116</v>
      </c>
    </row>
    <row r="87" spans="1:18" s="290" customFormat="1" x14ac:dyDescent="0.2">
      <c r="A87" s="199">
        <v>10</v>
      </c>
      <c r="B87" s="374" t="s">
        <v>322</v>
      </c>
      <c r="C87" s="583" t="s">
        <v>904</v>
      </c>
      <c r="D87" s="584" t="s">
        <v>904</v>
      </c>
      <c r="E87" s="560" t="s">
        <v>905</v>
      </c>
      <c r="F87" s="563" t="s">
        <v>905</v>
      </c>
      <c r="G87" s="560" t="s">
        <v>907</v>
      </c>
      <c r="H87" s="561" t="s">
        <v>907</v>
      </c>
      <c r="I87" s="422">
        <v>26</v>
      </c>
      <c r="J87" s="229"/>
      <c r="K87" s="374" t="s">
        <v>322</v>
      </c>
      <c r="L87" s="583" t="s">
        <v>946</v>
      </c>
      <c r="M87" s="584" t="s">
        <v>946</v>
      </c>
      <c r="N87" s="560" t="s">
        <v>947</v>
      </c>
      <c r="O87" s="563" t="s">
        <v>947</v>
      </c>
      <c r="P87" s="560" t="s">
        <v>948</v>
      </c>
      <c r="Q87" s="563" t="s">
        <v>948</v>
      </c>
      <c r="R87" s="422">
        <v>115</v>
      </c>
    </row>
    <row r="88" spans="1:18" s="290" customFormat="1" x14ac:dyDescent="0.2">
      <c r="A88" s="200">
        <v>11</v>
      </c>
      <c r="B88" s="374" t="s">
        <v>322</v>
      </c>
      <c r="C88" s="583" t="s">
        <v>733</v>
      </c>
      <c r="D88" s="584" t="s">
        <v>733</v>
      </c>
      <c r="E88" s="560" t="s">
        <v>1014</v>
      </c>
      <c r="F88" s="563" t="s">
        <v>1014</v>
      </c>
      <c r="G88" s="560" t="s">
        <v>1063</v>
      </c>
      <c r="H88" s="561" t="s">
        <v>1063</v>
      </c>
      <c r="I88" s="422">
        <v>22</v>
      </c>
      <c r="J88" s="229"/>
      <c r="K88" s="374" t="s">
        <v>322</v>
      </c>
      <c r="L88" s="583" t="s">
        <v>859</v>
      </c>
      <c r="M88" s="584" t="s">
        <v>859</v>
      </c>
      <c r="N88" s="560" t="s">
        <v>859</v>
      </c>
      <c r="O88" s="563" t="s">
        <v>859</v>
      </c>
      <c r="P88" s="560" t="s">
        <v>860</v>
      </c>
      <c r="Q88" s="563" t="s">
        <v>860</v>
      </c>
      <c r="R88" s="422">
        <v>96</v>
      </c>
    </row>
    <row r="89" spans="1:18" s="290" customFormat="1" x14ac:dyDescent="0.2">
      <c r="A89" s="199">
        <v>12</v>
      </c>
      <c r="B89" s="374" t="s">
        <v>322</v>
      </c>
      <c r="C89" s="583" t="s">
        <v>830</v>
      </c>
      <c r="D89" s="584" t="s">
        <v>830</v>
      </c>
      <c r="E89" s="560" t="s">
        <v>954</v>
      </c>
      <c r="F89" s="563" t="s">
        <v>954</v>
      </c>
      <c r="G89" s="560" t="s">
        <v>955</v>
      </c>
      <c r="H89" s="561" t="s">
        <v>955</v>
      </c>
      <c r="I89" s="422">
        <v>18</v>
      </c>
      <c r="J89" s="229"/>
      <c r="K89" s="374" t="s">
        <v>322</v>
      </c>
      <c r="L89" s="583" t="s">
        <v>850</v>
      </c>
      <c r="M89" s="584" t="s">
        <v>850</v>
      </c>
      <c r="N89" s="560" t="s">
        <v>864</v>
      </c>
      <c r="O89" s="563" t="s">
        <v>864</v>
      </c>
      <c r="P89" s="560" t="s">
        <v>864</v>
      </c>
      <c r="Q89" s="563" t="s">
        <v>864</v>
      </c>
      <c r="R89" s="422">
        <v>90</v>
      </c>
    </row>
    <row r="90" spans="1:18" s="290" customFormat="1" x14ac:dyDescent="0.2">
      <c r="A90" s="200">
        <v>13</v>
      </c>
      <c r="B90" s="374" t="s">
        <v>322</v>
      </c>
      <c r="C90" s="583" t="s">
        <v>904</v>
      </c>
      <c r="D90" s="584" t="s">
        <v>904</v>
      </c>
      <c r="E90" s="560" t="s">
        <v>905</v>
      </c>
      <c r="F90" s="563" t="s">
        <v>905</v>
      </c>
      <c r="G90" s="560" t="s">
        <v>906</v>
      </c>
      <c r="H90" s="561" t="s">
        <v>906</v>
      </c>
      <c r="I90" s="422">
        <v>17</v>
      </c>
      <c r="J90" s="229"/>
      <c r="K90" s="374" t="s">
        <v>322</v>
      </c>
      <c r="L90" s="583" t="s">
        <v>853</v>
      </c>
      <c r="M90" s="584" t="s">
        <v>853</v>
      </c>
      <c r="N90" s="560" t="s">
        <v>854</v>
      </c>
      <c r="O90" s="563" t="s">
        <v>854</v>
      </c>
      <c r="P90" s="560" t="s">
        <v>855</v>
      </c>
      <c r="Q90" s="563" t="s">
        <v>855</v>
      </c>
      <c r="R90" s="422">
        <v>74</v>
      </c>
    </row>
    <row r="91" spans="1:18" s="290" customFormat="1" x14ac:dyDescent="0.2">
      <c r="A91" s="199">
        <v>14</v>
      </c>
      <c r="B91" s="374" t="s">
        <v>322</v>
      </c>
      <c r="C91" s="583" t="s">
        <v>733</v>
      </c>
      <c r="D91" s="584" t="s">
        <v>733</v>
      </c>
      <c r="E91" s="560" t="s">
        <v>1064</v>
      </c>
      <c r="F91" s="563" t="s">
        <v>1064</v>
      </c>
      <c r="G91" s="560" t="s">
        <v>1065</v>
      </c>
      <c r="H91" s="561" t="s">
        <v>1065</v>
      </c>
      <c r="I91" s="422">
        <v>17</v>
      </c>
      <c r="J91" s="229"/>
      <c r="K91" s="374" t="s">
        <v>322</v>
      </c>
      <c r="L91" s="583" t="s">
        <v>842</v>
      </c>
      <c r="M91" s="584" t="s">
        <v>842</v>
      </c>
      <c r="N91" s="560" t="s">
        <v>1082</v>
      </c>
      <c r="O91" s="563" t="s">
        <v>1082</v>
      </c>
      <c r="P91" s="560" t="s">
        <v>1083</v>
      </c>
      <c r="Q91" s="563" t="s">
        <v>1083</v>
      </c>
      <c r="R91" s="422">
        <v>56</v>
      </c>
    </row>
    <row r="92" spans="1:18" s="290" customFormat="1" x14ac:dyDescent="0.2">
      <c r="A92" s="200">
        <v>15</v>
      </c>
      <c r="B92" s="374" t="s">
        <v>322</v>
      </c>
      <c r="C92" s="583" t="s">
        <v>899</v>
      </c>
      <c r="D92" s="584" t="s">
        <v>899</v>
      </c>
      <c r="E92" s="560" t="s">
        <v>1066</v>
      </c>
      <c r="F92" s="563" t="s">
        <v>1066</v>
      </c>
      <c r="G92" s="560" t="s">
        <v>1067</v>
      </c>
      <c r="H92" s="561" t="s">
        <v>1067</v>
      </c>
      <c r="I92" s="422">
        <v>16</v>
      </c>
      <c r="J92" s="229"/>
      <c r="K92" s="374" t="s">
        <v>322</v>
      </c>
      <c r="L92" s="583" t="s">
        <v>867</v>
      </c>
      <c r="M92" s="584" t="s">
        <v>867</v>
      </c>
      <c r="N92" s="560" t="s">
        <v>868</v>
      </c>
      <c r="O92" s="563" t="s">
        <v>868</v>
      </c>
      <c r="P92" s="560" t="s">
        <v>868</v>
      </c>
      <c r="Q92" s="563" t="s">
        <v>868</v>
      </c>
      <c r="R92" s="422">
        <v>47</v>
      </c>
    </row>
    <row r="93" spans="1:18" s="290" customFormat="1" x14ac:dyDescent="0.2">
      <c r="A93" s="199">
        <v>16</v>
      </c>
      <c r="B93" s="374" t="s">
        <v>323</v>
      </c>
      <c r="C93" s="583" t="s">
        <v>892</v>
      </c>
      <c r="D93" s="584" t="s">
        <v>892</v>
      </c>
      <c r="E93" s="560" t="s">
        <v>908</v>
      </c>
      <c r="F93" s="563" t="s">
        <v>908</v>
      </c>
      <c r="G93" s="560" t="s">
        <v>909</v>
      </c>
      <c r="H93" s="561" t="s">
        <v>909</v>
      </c>
      <c r="I93" s="422">
        <v>15</v>
      </c>
      <c r="J93" s="229"/>
      <c r="K93" s="374" t="s">
        <v>322</v>
      </c>
      <c r="L93" s="583" t="s">
        <v>865</v>
      </c>
      <c r="M93" s="584" t="s">
        <v>865</v>
      </c>
      <c r="N93" s="560" t="s">
        <v>865</v>
      </c>
      <c r="O93" s="563" t="s">
        <v>865</v>
      </c>
      <c r="P93" s="560" t="s">
        <v>866</v>
      </c>
      <c r="Q93" s="563" t="s">
        <v>866</v>
      </c>
      <c r="R93" s="422">
        <v>41</v>
      </c>
    </row>
    <row r="94" spans="1:18" s="290" customFormat="1" x14ac:dyDescent="0.2">
      <c r="A94" s="200">
        <v>17</v>
      </c>
      <c r="B94" s="374" t="s">
        <v>322</v>
      </c>
      <c r="C94" s="583" t="s">
        <v>899</v>
      </c>
      <c r="D94" s="584" t="s">
        <v>899</v>
      </c>
      <c r="E94" s="560" t="s">
        <v>1068</v>
      </c>
      <c r="F94" s="563" t="s">
        <v>1068</v>
      </c>
      <c r="G94" s="560" t="s">
        <v>1069</v>
      </c>
      <c r="H94" s="561" t="s">
        <v>1069</v>
      </c>
      <c r="I94" s="422">
        <v>15</v>
      </c>
      <c r="J94" s="229"/>
      <c r="K94" s="374" t="s">
        <v>322</v>
      </c>
      <c r="L94" s="583" t="s">
        <v>839</v>
      </c>
      <c r="M94" s="584" t="s">
        <v>839</v>
      </c>
      <c r="N94" s="560" t="s">
        <v>998</v>
      </c>
      <c r="O94" s="563" t="s">
        <v>998</v>
      </c>
      <c r="P94" s="560" t="s">
        <v>998</v>
      </c>
      <c r="Q94" s="563" t="s">
        <v>998</v>
      </c>
      <c r="R94" s="422">
        <v>41</v>
      </c>
    </row>
    <row r="95" spans="1:18" s="290" customFormat="1" x14ac:dyDescent="0.2">
      <c r="A95" s="199">
        <v>18</v>
      </c>
      <c r="B95" s="374" t="s">
        <v>323</v>
      </c>
      <c r="C95" s="583" t="s">
        <v>994</v>
      </c>
      <c r="D95" s="584" t="s">
        <v>994</v>
      </c>
      <c r="E95" s="560" t="s">
        <v>995</v>
      </c>
      <c r="F95" s="563" t="s">
        <v>995</v>
      </c>
      <c r="G95" s="560" t="s">
        <v>1016</v>
      </c>
      <c r="H95" s="561" t="s">
        <v>1016</v>
      </c>
      <c r="I95" s="422">
        <v>15</v>
      </c>
      <c r="J95" s="229"/>
      <c r="K95" s="374" t="s">
        <v>322</v>
      </c>
      <c r="L95" s="583" t="s">
        <v>996</v>
      </c>
      <c r="M95" s="584" t="s">
        <v>996</v>
      </c>
      <c r="N95" s="560" t="s">
        <v>996</v>
      </c>
      <c r="O95" s="563" t="s">
        <v>996</v>
      </c>
      <c r="P95" s="560" t="s">
        <v>997</v>
      </c>
      <c r="Q95" s="563" t="s">
        <v>997</v>
      </c>
      <c r="R95" s="422">
        <v>40</v>
      </c>
    </row>
    <row r="96" spans="1:18" s="290" customFormat="1" x14ac:dyDescent="0.2">
      <c r="A96" s="200">
        <v>19</v>
      </c>
      <c r="B96" s="374" t="s">
        <v>322</v>
      </c>
      <c r="C96" s="583" t="s">
        <v>830</v>
      </c>
      <c r="D96" s="584" t="s">
        <v>830</v>
      </c>
      <c r="E96" s="560" t="s">
        <v>1070</v>
      </c>
      <c r="F96" s="563" t="s">
        <v>1070</v>
      </c>
      <c r="G96" s="560" t="s">
        <v>1071</v>
      </c>
      <c r="H96" s="561" t="s">
        <v>1071</v>
      </c>
      <c r="I96" s="422">
        <v>15</v>
      </c>
      <c r="J96" s="229"/>
      <c r="K96" s="374" t="s">
        <v>322</v>
      </c>
      <c r="L96" s="583" t="s">
        <v>861</v>
      </c>
      <c r="M96" s="584" t="s">
        <v>861</v>
      </c>
      <c r="N96" s="560" t="s">
        <v>862</v>
      </c>
      <c r="O96" s="563" t="s">
        <v>862</v>
      </c>
      <c r="P96" s="560" t="s">
        <v>863</v>
      </c>
      <c r="Q96" s="563" t="s">
        <v>863</v>
      </c>
      <c r="R96" s="422">
        <v>38</v>
      </c>
    </row>
    <row r="97" spans="1:18" s="290" customFormat="1" ht="13.5" thickBot="1" x14ac:dyDescent="0.25">
      <c r="A97" s="201">
        <v>20</v>
      </c>
      <c r="B97" s="375" t="s">
        <v>322</v>
      </c>
      <c r="C97" s="587" t="s">
        <v>899</v>
      </c>
      <c r="D97" s="588" t="s">
        <v>899</v>
      </c>
      <c r="E97" s="565" t="s">
        <v>1068</v>
      </c>
      <c r="F97" s="566" t="s">
        <v>1068</v>
      </c>
      <c r="G97" s="565" t="s">
        <v>1072</v>
      </c>
      <c r="H97" s="567" t="s">
        <v>1072</v>
      </c>
      <c r="I97" s="368">
        <v>15</v>
      </c>
      <c r="J97" s="230"/>
      <c r="K97" s="375" t="s">
        <v>322</v>
      </c>
      <c r="L97" s="587" t="s">
        <v>1084</v>
      </c>
      <c r="M97" s="588" t="s">
        <v>1084</v>
      </c>
      <c r="N97" s="565" t="s">
        <v>1084</v>
      </c>
      <c r="O97" s="566" t="s">
        <v>1084</v>
      </c>
      <c r="P97" s="565" t="s">
        <v>1085</v>
      </c>
      <c r="Q97" s="566" t="s">
        <v>1085</v>
      </c>
      <c r="R97" s="368">
        <v>34</v>
      </c>
    </row>
    <row r="98" spans="1:18" s="290" customFormat="1" ht="12.75" customHeight="1" x14ac:dyDescent="0.2">
      <c r="A98" s="312"/>
      <c r="B98" s="67"/>
      <c r="C98" s="313"/>
      <c r="D98" s="313"/>
      <c r="E98" s="67"/>
      <c r="F98" s="67"/>
      <c r="G98" s="67"/>
      <c r="H98" s="67"/>
      <c r="I98" s="67"/>
      <c r="J98" s="2"/>
      <c r="K98" s="67"/>
      <c r="L98" s="67"/>
      <c r="M98" s="67"/>
      <c r="N98" s="67"/>
      <c r="O98" s="67"/>
      <c r="P98" s="67"/>
      <c r="Q98" s="67"/>
      <c r="R98" s="67"/>
    </row>
    <row r="99" spans="1:18" s="290" customFormat="1" ht="13.5" thickBot="1" x14ac:dyDescent="0.25">
      <c r="A99" s="312"/>
      <c r="B99" s="67"/>
      <c r="C99" s="313"/>
      <c r="D99" s="313"/>
      <c r="E99" s="67"/>
      <c r="F99" s="67"/>
      <c r="G99" s="67"/>
      <c r="H99" s="67"/>
      <c r="I99" s="67"/>
      <c r="J99" s="2"/>
      <c r="K99" s="67"/>
      <c r="L99" s="67"/>
      <c r="M99" s="67"/>
      <c r="N99" s="67"/>
      <c r="O99" s="67"/>
      <c r="P99" s="67"/>
      <c r="Q99" s="67"/>
      <c r="R99" s="67"/>
    </row>
    <row r="100" spans="1:18" s="290" customFormat="1" ht="15.75" thickBot="1" x14ac:dyDescent="0.3">
      <c r="A100" s="568" t="s">
        <v>1059</v>
      </c>
      <c r="B100" s="569"/>
      <c r="C100" s="569"/>
      <c r="D100" s="569"/>
      <c r="E100" s="569"/>
      <c r="F100" s="569"/>
      <c r="G100" s="569"/>
      <c r="H100" s="569"/>
      <c r="I100" s="570"/>
      <c r="J100" s="314"/>
    </row>
    <row r="101" spans="1:18" s="290" customFormat="1" ht="12.75" customHeight="1" thickBot="1" x14ac:dyDescent="0.25">
      <c r="A101" s="616" t="s">
        <v>71</v>
      </c>
      <c r="B101" s="593" t="s">
        <v>760</v>
      </c>
      <c r="C101" s="594"/>
      <c r="D101" s="594"/>
      <c r="E101" s="594"/>
      <c r="F101" s="594"/>
      <c r="G101" s="594"/>
      <c r="H101" s="594"/>
      <c r="I101" s="595"/>
    </row>
    <row r="102" spans="1:18" s="290" customFormat="1" ht="12.75" customHeight="1" thickBot="1" x14ac:dyDescent="0.25">
      <c r="A102" s="617"/>
      <c r="B102" s="301" t="s">
        <v>321</v>
      </c>
      <c r="C102" s="591" t="s">
        <v>67</v>
      </c>
      <c r="D102" s="596"/>
      <c r="E102" s="574" t="s">
        <v>68</v>
      </c>
      <c r="F102" s="557"/>
      <c r="G102" s="574" t="s">
        <v>765</v>
      </c>
      <c r="H102" s="557"/>
      <c r="I102" s="301" t="s">
        <v>794</v>
      </c>
    </row>
    <row r="103" spans="1:18" s="290" customFormat="1" ht="12.75" customHeight="1" x14ac:dyDescent="0.2">
      <c r="A103" s="198">
        <v>1</v>
      </c>
      <c r="B103" s="300" t="s">
        <v>322</v>
      </c>
      <c r="C103" s="589" t="s">
        <v>975</v>
      </c>
      <c r="D103" s="590" t="s">
        <v>975</v>
      </c>
      <c r="E103" s="597" t="s">
        <v>978</v>
      </c>
      <c r="F103" s="598" t="s">
        <v>978</v>
      </c>
      <c r="G103" s="558" t="s">
        <v>979</v>
      </c>
      <c r="H103" s="559" t="s">
        <v>979</v>
      </c>
      <c r="I103" s="304">
        <v>30</v>
      </c>
    </row>
    <row r="104" spans="1:18" s="290" customFormat="1" ht="12.75" customHeight="1" x14ac:dyDescent="0.2">
      <c r="A104" s="199">
        <v>2</v>
      </c>
      <c r="B104" s="374" t="s">
        <v>322</v>
      </c>
      <c r="C104" s="583" t="s">
        <v>975</v>
      </c>
      <c r="D104" s="584" t="s">
        <v>975</v>
      </c>
      <c r="E104" s="599" t="s">
        <v>978</v>
      </c>
      <c r="F104" s="600" t="s">
        <v>978</v>
      </c>
      <c r="G104" s="560" t="s">
        <v>980</v>
      </c>
      <c r="H104" s="561" t="s">
        <v>980</v>
      </c>
      <c r="I104" s="422">
        <v>27</v>
      </c>
    </row>
    <row r="105" spans="1:18" s="290" customFormat="1" ht="12.75" customHeight="1" x14ac:dyDescent="0.2">
      <c r="A105" s="200">
        <v>3</v>
      </c>
      <c r="B105" s="374" t="s">
        <v>322</v>
      </c>
      <c r="C105" s="583" t="s">
        <v>975</v>
      </c>
      <c r="D105" s="584" t="s">
        <v>975</v>
      </c>
      <c r="E105" s="599" t="s">
        <v>976</v>
      </c>
      <c r="F105" s="600" t="s">
        <v>976</v>
      </c>
      <c r="G105" s="560" t="s">
        <v>977</v>
      </c>
      <c r="H105" s="561" t="s">
        <v>977</v>
      </c>
      <c r="I105" s="422">
        <v>26</v>
      </c>
    </row>
    <row r="106" spans="1:18" s="290" customFormat="1" ht="12.75" customHeight="1" x14ac:dyDescent="0.2">
      <c r="A106" s="199">
        <v>4</v>
      </c>
      <c r="B106" s="374" t="s">
        <v>322</v>
      </c>
      <c r="C106" s="583" t="s">
        <v>975</v>
      </c>
      <c r="D106" s="584" t="s">
        <v>975</v>
      </c>
      <c r="E106" s="599" t="s">
        <v>978</v>
      </c>
      <c r="F106" s="600" t="s">
        <v>978</v>
      </c>
      <c r="G106" s="560" t="s">
        <v>981</v>
      </c>
      <c r="H106" s="561" t="s">
        <v>981</v>
      </c>
      <c r="I106" s="422">
        <v>21</v>
      </c>
    </row>
    <row r="107" spans="1:18" s="290" customFormat="1" ht="12.75" customHeight="1" x14ac:dyDescent="0.2">
      <c r="A107" s="200">
        <v>5</v>
      </c>
      <c r="B107" s="374" t="s">
        <v>322</v>
      </c>
      <c r="C107" s="583" t="s">
        <v>975</v>
      </c>
      <c r="D107" s="584" t="s">
        <v>975</v>
      </c>
      <c r="E107" s="599" t="s">
        <v>978</v>
      </c>
      <c r="F107" s="600" t="s">
        <v>978</v>
      </c>
      <c r="G107" s="560" t="s">
        <v>999</v>
      </c>
      <c r="H107" s="561" t="s">
        <v>999</v>
      </c>
      <c r="I107" s="422">
        <v>17</v>
      </c>
    </row>
    <row r="108" spans="1:18" s="290" customFormat="1" ht="12.75" customHeight="1" x14ac:dyDescent="0.2">
      <c r="A108" s="199">
        <v>6</v>
      </c>
      <c r="B108" s="374" t="s">
        <v>322</v>
      </c>
      <c r="C108" s="583" t="s">
        <v>975</v>
      </c>
      <c r="D108" s="584" t="s">
        <v>975</v>
      </c>
      <c r="E108" s="599" t="s">
        <v>978</v>
      </c>
      <c r="F108" s="600" t="s">
        <v>978</v>
      </c>
      <c r="G108" s="560" t="s">
        <v>983</v>
      </c>
      <c r="H108" s="561" t="s">
        <v>983</v>
      </c>
      <c r="I108" s="422">
        <v>15</v>
      </c>
    </row>
    <row r="109" spans="1:18" s="290" customFormat="1" ht="12.75" customHeight="1" x14ac:dyDescent="0.2">
      <c r="A109" s="200">
        <v>7</v>
      </c>
      <c r="B109" s="374" t="s">
        <v>322</v>
      </c>
      <c r="C109" s="583" t="s">
        <v>975</v>
      </c>
      <c r="D109" s="584" t="s">
        <v>975</v>
      </c>
      <c r="E109" s="599" t="s">
        <v>978</v>
      </c>
      <c r="F109" s="600" t="s">
        <v>978</v>
      </c>
      <c r="G109" s="560" t="s">
        <v>984</v>
      </c>
      <c r="H109" s="561" t="s">
        <v>984</v>
      </c>
      <c r="I109" s="422">
        <v>14</v>
      </c>
    </row>
    <row r="110" spans="1:18" s="290" customFormat="1" ht="12.75" customHeight="1" x14ac:dyDescent="0.2">
      <c r="A110" s="199">
        <v>8</v>
      </c>
      <c r="B110" s="374" t="s">
        <v>322</v>
      </c>
      <c r="C110" s="583" t="s">
        <v>1086</v>
      </c>
      <c r="D110" s="584" t="s">
        <v>1086</v>
      </c>
      <c r="E110" s="599" t="s">
        <v>1087</v>
      </c>
      <c r="F110" s="600" t="s">
        <v>1087</v>
      </c>
      <c r="G110" s="560" t="s">
        <v>1088</v>
      </c>
      <c r="H110" s="561" t="s">
        <v>1088</v>
      </c>
      <c r="I110" s="422">
        <v>13</v>
      </c>
    </row>
    <row r="111" spans="1:18" s="290" customFormat="1" ht="12.75" customHeight="1" x14ac:dyDescent="0.2">
      <c r="A111" s="200">
        <v>9</v>
      </c>
      <c r="B111" s="374" t="s">
        <v>322</v>
      </c>
      <c r="C111" s="583" t="s">
        <v>975</v>
      </c>
      <c r="D111" s="584" t="s">
        <v>975</v>
      </c>
      <c r="E111" s="599" t="s">
        <v>976</v>
      </c>
      <c r="F111" s="600" t="s">
        <v>976</v>
      </c>
      <c r="G111" s="560" t="s">
        <v>982</v>
      </c>
      <c r="H111" s="561" t="s">
        <v>982</v>
      </c>
      <c r="I111" s="422">
        <v>13</v>
      </c>
    </row>
    <row r="112" spans="1:18" s="290" customFormat="1" ht="12.75" customHeight="1" x14ac:dyDescent="0.2">
      <c r="A112" s="199">
        <v>10</v>
      </c>
      <c r="B112" s="374" t="s">
        <v>322</v>
      </c>
      <c r="C112" s="583" t="s">
        <v>975</v>
      </c>
      <c r="D112" s="584" t="s">
        <v>975</v>
      </c>
      <c r="E112" s="599" t="s">
        <v>978</v>
      </c>
      <c r="F112" s="600" t="s">
        <v>978</v>
      </c>
      <c r="G112" s="560" t="s">
        <v>1021</v>
      </c>
      <c r="H112" s="561" t="s">
        <v>1021</v>
      </c>
      <c r="I112" s="422">
        <v>13</v>
      </c>
    </row>
    <row r="113" spans="1:18" s="290" customFormat="1" ht="12.75" customHeight="1" x14ac:dyDescent="0.2">
      <c r="A113" s="200">
        <v>11</v>
      </c>
      <c r="B113" s="374" t="s">
        <v>322</v>
      </c>
      <c r="C113" s="583" t="s">
        <v>975</v>
      </c>
      <c r="D113" s="584" t="s">
        <v>975</v>
      </c>
      <c r="E113" s="599" t="s">
        <v>976</v>
      </c>
      <c r="F113" s="600" t="s">
        <v>976</v>
      </c>
      <c r="G113" s="560" t="s">
        <v>1089</v>
      </c>
      <c r="H113" s="561" t="s">
        <v>1089</v>
      </c>
      <c r="I113" s="422">
        <v>12</v>
      </c>
    </row>
    <row r="114" spans="1:18" s="290" customFormat="1" ht="12.75" customHeight="1" x14ac:dyDescent="0.2">
      <c r="A114" s="199">
        <v>12</v>
      </c>
      <c r="B114" s="374" t="s">
        <v>322</v>
      </c>
      <c r="C114" s="583" t="s">
        <v>975</v>
      </c>
      <c r="D114" s="584" t="s">
        <v>975</v>
      </c>
      <c r="E114" s="599" t="s">
        <v>976</v>
      </c>
      <c r="F114" s="600" t="s">
        <v>976</v>
      </c>
      <c r="G114" s="560" t="s">
        <v>1020</v>
      </c>
      <c r="H114" s="561" t="s">
        <v>1020</v>
      </c>
      <c r="I114" s="422">
        <v>11</v>
      </c>
    </row>
    <row r="115" spans="1:18" s="290" customFormat="1" ht="12.75" customHeight="1" x14ac:dyDescent="0.2">
      <c r="A115" s="200">
        <v>13</v>
      </c>
      <c r="B115" s="374" t="s">
        <v>322</v>
      </c>
      <c r="C115" s="583" t="s">
        <v>975</v>
      </c>
      <c r="D115" s="584" t="s">
        <v>975</v>
      </c>
      <c r="E115" s="599" t="s">
        <v>978</v>
      </c>
      <c r="F115" s="600" t="s">
        <v>978</v>
      </c>
      <c r="G115" s="560" t="s">
        <v>1090</v>
      </c>
      <c r="H115" s="561" t="s">
        <v>1090</v>
      </c>
      <c r="I115" s="422">
        <v>11</v>
      </c>
    </row>
    <row r="116" spans="1:18" s="290" customFormat="1" ht="12.75" customHeight="1" x14ac:dyDescent="0.2">
      <c r="A116" s="199">
        <v>14</v>
      </c>
      <c r="B116" s="374" t="s">
        <v>322</v>
      </c>
      <c r="C116" s="583" t="s">
        <v>975</v>
      </c>
      <c r="D116" s="584" t="s">
        <v>975</v>
      </c>
      <c r="E116" s="599" t="s">
        <v>976</v>
      </c>
      <c r="F116" s="600" t="s">
        <v>976</v>
      </c>
      <c r="G116" s="560" t="s">
        <v>985</v>
      </c>
      <c r="H116" s="561" t="s">
        <v>985</v>
      </c>
      <c r="I116" s="422">
        <v>10</v>
      </c>
    </row>
    <row r="117" spans="1:18" s="290" customFormat="1" ht="12.75" customHeight="1" x14ac:dyDescent="0.2">
      <c r="A117" s="200">
        <v>15</v>
      </c>
      <c r="B117" s="374" t="s">
        <v>322</v>
      </c>
      <c r="C117" s="583" t="s">
        <v>975</v>
      </c>
      <c r="D117" s="584" t="s">
        <v>975</v>
      </c>
      <c r="E117" s="599" t="s">
        <v>978</v>
      </c>
      <c r="F117" s="600" t="s">
        <v>978</v>
      </c>
      <c r="G117" s="560" t="s">
        <v>1000</v>
      </c>
      <c r="H117" s="561" t="s">
        <v>1000</v>
      </c>
      <c r="I117" s="422">
        <v>10</v>
      </c>
    </row>
    <row r="118" spans="1:18" s="290" customFormat="1" ht="12.75" customHeight="1" x14ac:dyDescent="0.2">
      <c r="A118" s="199">
        <v>16</v>
      </c>
      <c r="B118" s="374" t="s">
        <v>322</v>
      </c>
      <c r="C118" s="583" t="s">
        <v>975</v>
      </c>
      <c r="D118" s="584" t="s">
        <v>975</v>
      </c>
      <c r="E118" s="599" t="s">
        <v>978</v>
      </c>
      <c r="F118" s="600" t="s">
        <v>978</v>
      </c>
      <c r="G118" s="560" t="s">
        <v>1091</v>
      </c>
      <c r="H118" s="561" t="s">
        <v>1091</v>
      </c>
      <c r="I118" s="422">
        <v>9</v>
      </c>
    </row>
    <row r="119" spans="1:18" s="290" customFormat="1" ht="12.75" customHeight="1" x14ac:dyDescent="0.2">
      <c r="A119" s="200">
        <v>17</v>
      </c>
      <c r="B119" s="374" t="s">
        <v>322</v>
      </c>
      <c r="C119" s="583" t="s">
        <v>975</v>
      </c>
      <c r="D119" s="584" t="s">
        <v>975</v>
      </c>
      <c r="E119" s="599" t="s">
        <v>978</v>
      </c>
      <c r="F119" s="600" t="s">
        <v>978</v>
      </c>
      <c r="G119" s="560" t="s">
        <v>1023</v>
      </c>
      <c r="H119" s="561" t="s">
        <v>1023</v>
      </c>
      <c r="I119" s="422">
        <v>8</v>
      </c>
    </row>
    <row r="120" spans="1:18" s="290" customFormat="1" ht="12.75" customHeight="1" x14ac:dyDescent="0.2">
      <c r="A120" s="199">
        <v>18</v>
      </c>
      <c r="B120" s="374" t="s">
        <v>322</v>
      </c>
      <c r="C120" s="583" t="s">
        <v>975</v>
      </c>
      <c r="D120" s="584" t="s">
        <v>975</v>
      </c>
      <c r="E120" s="599" t="s">
        <v>978</v>
      </c>
      <c r="F120" s="600" t="s">
        <v>978</v>
      </c>
      <c r="G120" s="560" t="s">
        <v>1092</v>
      </c>
      <c r="H120" s="561" t="s">
        <v>1092</v>
      </c>
      <c r="I120" s="422">
        <v>7</v>
      </c>
    </row>
    <row r="121" spans="1:18" s="290" customFormat="1" ht="12.75" customHeight="1" x14ac:dyDescent="0.2">
      <c r="A121" s="200">
        <v>19</v>
      </c>
      <c r="B121" s="374" t="s">
        <v>322</v>
      </c>
      <c r="C121" s="583" t="s">
        <v>1086</v>
      </c>
      <c r="D121" s="584" t="s">
        <v>1086</v>
      </c>
      <c r="E121" s="599" t="s">
        <v>1087</v>
      </c>
      <c r="F121" s="600" t="s">
        <v>1087</v>
      </c>
      <c r="G121" s="560" t="s">
        <v>1093</v>
      </c>
      <c r="H121" s="561" t="s">
        <v>1093</v>
      </c>
      <c r="I121" s="422">
        <v>7</v>
      </c>
    </row>
    <row r="122" spans="1:18" s="290" customFormat="1" ht="12.75" customHeight="1" thickBot="1" x14ac:dyDescent="0.25">
      <c r="A122" s="201">
        <v>20</v>
      </c>
      <c r="B122" s="375" t="s">
        <v>322</v>
      </c>
      <c r="C122" s="587" t="s">
        <v>975</v>
      </c>
      <c r="D122" s="588" t="s">
        <v>975</v>
      </c>
      <c r="E122" s="610" t="s">
        <v>976</v>
      </c>
      <c r="F122" s="611" t="s">
        <v>976</v>
      </c>
      <c r="G122" s="565" t="s">
        <v>1022</v>
      </c>
      <c r="H122" s="567" t="s">
        <v>1022</v>
      </c>
      <c r="I122" s="368">
        <v>7</v>
      </c>
      <c r="J122" s="314"/>
    </row>
    <row r="123" spans="1:18" s="290" customFormat="1" ht="12.75" customHeight="1" x14ac:dyDescent="0.2">
      <c r="A123" s="312"/>
      <c r="B123" s="67"/>
      <c r="C123" s="313"/>
      <c r="D123" s="313"/>
      <c r="E123" s="67"/>
      <c r="F123" s="67"/>
      <c r="G123" s="67"/>
      <c r="H123" s="67"/>
      <c r="I123" s="67"/>
      <c r="J123" s="2"/>
      <c r="K123" s="67"/>
      <c r="L123" s="67"/>
      <c r="M123" s="67"/>
      <c r="N123" s="67"/>
      <c r="O123" s="67"/>
      <c r="P123" s="67"/>
      <c r="Q123" s="67"/>
      <c r="R123" s="67"/>
    </row>
    <row r="124" spans="1:18" s="290" customFormat="1" ht="12.75" customHeight="1" x14ac:dyDescent="0.2">
      <c r="A124" s="312"/>
      <c r="B124" s="67"/>
      <c r="C124" s="313"/>
      <c r="D124" s="313"/>
      <c r="E124" s="67"/>
      <c r="F124" s="67"/>
      <c r="G124" s="67"/>
      <c r="H124" s="67"/>
      <c r="I124" s="67"/>
      <c r="J124" s="2"/>
      <c r="K124" s="67"/>
      <c r="L124" s="67"/>
      <c r="M124" s="67"/>
      <c r="N124" s="67"/>
      <c r="O124" s="67"/>
      <c r="P124" s="67"/>
      <c r="Q124" s="67"/>
      <c r="R124" s="67"/>
    </row>
    <row r="125" spans="1:18" x14ac:dyDescent="0.2">
      <c r="E125" s="290"/>
      <c r="F125" s="290"/>
      <c r="G125" s="290"/>
      <c r="H125" s="290"/>
      <c r="I125" s="290"/>
      <c r="J125" s="314"/>
      <c r="K125" s="290"/>
      <c r="L125" s="290"/>
      <c r="M125" s="290"/>
      <c r="N125" s="290"/>
      <c r="O125" s="290"/>
      <c r="P125" s="290"/>
      <c r="Q125" s="290"/>
      <c r="R125" s="290"/>
    </row>
    <row r="126" spans="1:18" ht="13.5" thickBot="1" x14ac:dyDescent="0.25">
      <c r="E126" s="290"/>
      <c r="F126" s="290"/>
      <c r="I126" s="290"/>
      <c r="J126" s="290"/>
      <c r="K126" s="290"/>
      <c r="L126" s="290"/>
      <c r="M126" s="290"/>
      <c r="N126" s="290"/>
      <c r="O126" s="290"/>
      <c r="P126" s="290"/>
      <c r="Q126" s="290"/>
      <c r="R126" s="290"/>
    </row>
    <row r="127" spans="1:18" ht="13.5" customHeight="1" thickBot="1" x14ac:dyDescent="0.25">
      <c r="A127" s="585" t="s">
        <v>674</v>
      </c>
      <c r="B127" s="574" t="s">
        <v>21</v>
      </c>
      <c r="C127" s="557"/>
      <c r="D127" s="574" t="s">
        <v>679</v>
      </c>
      <c r="E127" s="557"/>
      <c r="F127" s="290"/>
      <c r="H127" s="580" t="s">
        <v>709</v>
      </c>
      <c r="I127" s="581"/>
      <c r="J127" s="581"/>
      <c r="K127" s="581"/>
      <c r="L127" s="582"/>
      <c r="M127" s="290"/>
      <c r="N127" s="290"/>
      <c r="O127" s="585" t="s">
        <v>710</v>
      </c>
      <c r="P127" s="601" t="s">
        <v>986</v>
      </c>
      <c r="Q127" s="602"/>
      <c r="R127" s="603"/>
    </row>
    <row r="128" spans="1:18" ht="39" thickBot="1" x14ac:dyDescent="0.25">
      <c r="A128" s="586"/>
      <c r="B128" s="309" t="s">
        <v>678</v>
      </c>
      <c r="C128" s="310" t="s">
        <v>876</v>
      </c>
      <c r="D128" s="185" t="s">
        <v>678</v>
      </c>
      <c r="E128" s="310" t="s">
        <v>876</v>
      </c>
      <c r="F128" s="290"/>
      <c r="H128" s="604" t="s">
        <v>1118</v>
      </c>
      <c r="I128" s="605"/>
      <c r="J128" s="205">
        <v>2013</v>
      </c>
      <c r="K128" s="203">
        <v>2014</v>
      </c>
      <c r="L128" s="204" t="s">
        <v>708</v>
      </c>
      <c r="M128" s="290"/>
      <c r="N128" s="290"/>
      <c r="O128" s="612"/>
      <c r="P128" s="208">
        <v>2012</v>
      </c>
      <c r="Q128" s="209">
        <v>2013</v>
      </c>
      <c r="R128" s="210" t="s">
        <v>708</v>
      </c>
    </row>
    <row r="129" spans="1:37" x14ac:dyDescent="0.2">
      <c r="A129" s="187" t="s">
        <v>342</v>
      </c>
      <c r="B129" s="190">
        <f>'iTunes Hidden Labels Summary'!K259</f>
        <v>2781</v>
      </c>
      <c r="C129" s="149">
        <f>'iTunes Hidden Labels Summary'!L259</f>
        <v>294963.1883359999</v>
      </c>
      <c r="D129" s="551">
        <v>955</v>
      </c>
      <c r="E129" s="186">
        <v>41803.167887999989</v>
      </c>
      <c r="F129" s="290"/>
      <c r="H129" s="608" t="s">
        <v>706</v>
      </c>
      <c r="I129" s="609"/>
      <c r="J129" s="220">
        <v>200405000</v>
      </c>
      <c r="K129" s="211">
        <v>176736000</v>
      </c>
      <c r="L129" s="214">
        <f>(K129-J129)/J129</f>
        <v>-0.11810583568274245</v>
      </c>
      <c r="M129" s="290"/>
      <c r="N129" s="290"/>
      <c r="O129" s="213" t="s">
        <v>712</v>
      </c>
      <c r="P129" s="231">
        <v>41486224</v>
      </c>
      <c r="Q129" s="231">
        <v>34486439</v>
      </c>
      <c r="R129" s="269">
        <f>(Q129-P129)/P129</f>
        <v>-0.16872552681584133</v>
      </c>
    </row>
    <row r="130" spans="1:37" ht="13.5" thickBot="1" x14ac:dyDescent="0.25">
      <c r="A130" s="188" t="s">
        <v>323</v>
      </c>
      <c r="B130" s="191">
        <f>'iTunes Hidden Labels Summary'!D191</f>
        <v>852</v>
      </c>
      <c r="C130" s="183">
        <f>'iTunes Hidden Labels Summary'!E191</f>
        <v>135022.255099</v>
      </c>
      <c r="D130" s="552">
        <v>338</v>
      </c>
      <c r="E130" s="177">
        <v>10162.878091000006</v>
      </c>
      <c r="F130" s="290"/>
      <c r="H130" s="606" t="s">
        <v>707</v>
      </c>
      <c r="I130" s="607"/>
      <c r="J130" s="212">
        <v>17739000</v>
      </c>
      <c r="K130" s="289">
        <v>15344000</v>
      </c>
      <c r="L130" s="215">
        <f>(K130-J130)/J130</f>
        <v>-0.13501324764642877</v>
      </c>
      <c r="M130" s="290"/>
      <c r="N130" s="290"/>
      <c r="O130" s="206" t="s">
        <v>711</v>
      </c>
      <c r="P130" s="52">
        <v>3307093</v>
      </c>
      <c r="Q130" s="52">
        <v>3132006</v>
      </c>
      <c r="R130" s="270">
        <f>(Q130-P130)/P130</f>
        <v>-5.2942871579359882E-2</v>
      </c>
    </row>
    <row r="131" spans="1:37" ht="14.25" thickTop="1" thickBot="1" x14ac:dyDescent="0.25">
      <c r="A131" s="189" t="s">
        <v>21</v>
      </c>
      <c r="B131" s="192">
        <f>SUM(B129:B130)</f>
        <v>3633</v>
      </c>
      <c r="C131" s="184">
        <f>SUM(C129:C130)</f>
        <v>429985.44343499991</v>
      </c>
      <c r="D131" s="182">
        <f>SUM(D129:D130)</f>
        <v>1293</v>
      </c>
      <c r="E131" s="176">
        <f>SUM(E129:E130)</f>
        <v>51966.045978999995</v>
      </c>
      <c r="F131" s="290"/>
      <c r="I131" s="290"/>
      <c r="J131" s="290"/>
      <c r="K131" s="290"/>
      <c r="L131" s="290"/>
      <c r="M131" s="290"/>
      <c r="N131" s="290"/>
      <c r="O131" s="207" t="s">
        <v>713</v>
      </c>
      <c r="P131" s="290"/>
      <c r="Q131" s="290"/>
      <c r="R131" s="290"/>
    </row>
    <row r="132" spans="1:37" x14ac:dyDescent="0.2">
      <c r="U132" s="164"/>
      <c r="V132" s="109"/>
      <c r="W132" s="290"/>
      <c r="X132" s="109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</row>
    <row r="133" spans="1:37" x14ac:dyDescent="0.2">
      <c r="B133" s="164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0"/>
      <c r="O133" s="290"/>
      <c r="P133" s="290"/>
      <c r="Q133" s="290"/>
      <c r="R133" s="290"/>
      <c r="S133" s="290"/>
    </row>
    <row r="134" spans="1:37" x14ac:dyDescent="0.2">
      <c r="B134" s="164"/>
      <c r="C134" s="164"/>
      <c r="D134" s="164"/>
      <c r="E134" s="290"/>
      <c r="F134" s="290"/>
      <c r="G134" s="290"/>
      <c r="H134" s="290"/>
      <c r="I134" s="290"/>
      <c r="J134" s="290"/>
      <c r="K134" s="290"/>
      <c r="L134" s="290"/>
      <c r="M134" s="290"/>
      <c r="N134" s="290"/>
      <c r="O134" s="290"/>
      <c r="P134" s="290"/>
      <c r="Q134" s="290"/>
      <c r="R134" s="290"/>
      <c r="S134" s="290"/>
    </row>
    <row r="135" spans="1:37" x14ac:dyDescent="0.2">
      <c r="B135" s="290"/>
      <c r="C135" s="164"/>
      <c r="D135" s="164"/>
      <c r="E135" s="290"/>
      <c r="F135" s="290"/>
      <c r="G135" s="290"/>
      <c r="H135" s="290"/>
      <c r="I135" s="290"/>
      <c r="J135" s="290"/>
      <c r="K135" s="290"/>
      <c r="L135" s="290"/>
      <c r="M135" s="290"/>
      <c r="N135" s="290"/>
      <c r="O135" s="290"/>
      <c r="P135" s="290"/>
      <c r="Q135" s="290"/>
      <c r="R135" s="290"/>
      <c r="S135" s="290"/>
    </row>
    <row r="136" spans="1:37" x14ac:dyDescent="0.2">
      <c r="B136" s="290"/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  <c r="M136" s="290"/>
      <c r="N136" s="290"/>
      <c r="O136" s="290"/>
      <c r="P136" s="290"/>
      <c r="Q136" s="290"/>
      <c r="R136" s="290"/>
      <c r="S136" s="290"/>
    </row>
    <row r="137" spans="1:37" x14ac:dyDescent="0.2"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  <c r="M137" s="290"/>
      <c r="N137" s="290"/>
      <c r="O137" s="290"/>
      <c r="P137" s="290"/>
      <c r="Q137" s="290"/>
      <c r="R137" s="290"/>
      <c r="S137" s="290"/>
    </row>
    <row r="138" spans="1:37" x14ac:dyDescent="0.2">
      <c r="B138" s="290"/>
      <c r="C138" s="290"/>
      <c r="D138" s="290"/>
      <c r="E138" s="290"/>
      <c r="F138" s="290"/>
      <c r="G138" s="290"/>
      <c r="H138" s="290"/>
      <c r="I138" s="290"/>
      <c r="J138" s="290"/>
      <c r="K138" s="290"/>
      <c r="L138" s="290"/>
      <c r="M138" s="290"/>
      <c r="N138" s="290"/>
      <c r="O138" s="290"/>
      <c r="P138" s="290"/>
      <c r="Q138" s="290"/>
      <c r="R138" s="290"/>
      <c r="S138" s="290"/>
    </row>
    <row r="139" spans="1:37" x14ac:dyDescent="0.2"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</row>
    <row r="140" spans="1:37" x14ac:dyDescent="0.2"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0"/>
      <c r="N140" s="290"/>
      <c r="O140" s="290"/>
      <c r="P140" s="290"/>
      <c r="Q140" s="290"/>
      <c r="R140" s="290"/>
      <c r="S140" s="290"/>
    </row>
    <row r="141" spans="1:37" x14ac:dyDescent="0.2">
      <c r="B141" s="290"/>
      <c r="C141" s="290"/>
      <c r="D141" s="290"/>
      <c r="E141" s="290"/>
      <c r="F141" s="290"/>
      <c r="G141" s="290"/>
      <c r="H141" s="290"/>
      <c r="I141" s="290"/>
      <c r="J141" s="290"/>
      <c r="K141" s="290"/>
      <c r="L141" s="290"/>
      <c r="M141" s="290"/>
      <c r="N141" s="290"/>
      <c r="O141" s="290"/>
      <c r="P141" s="290"/>
      <c r="Q141" s="290"/>
      <c r="R141" s="290"/>
      <c r="S141" s="290"/>
    </row>
    <row r="142" spans="1:37" x14ac:dyDescent="0.2">
      <c r="B142" s="290"/>
      <c r="C142" s="290"/>
      <c r="D142" s="290"/>
      <c r="E142" s="290"/>
      <c r="F142" s="290"/>
      <c r="G142" s="290"/>
      <c r="H142" s="290"/>
      <c r="I142" s="290"/>
      <c r="J142" s="290"/>
      <c r="K142" s="290"/>
      <c r="L142" s="290"/>
      <c r="M142" s="290"/>
      <c r="N142" s="290"/>
      <c r="O142" s="290"/>
      <c r="P142" s="290"/>
      <c r="Q142" s="290"/>
      <c r="R142" s="290"/>
      <c r="S142" s="290"/>
    </row>
    <row r="143" spans="1:37" x14ac:dyDescent="0.2">
      <c r="B143" s="290"/>
      <c r="C143" s="290"/>
      <c r="D143" s="290"/>
      <c r="E143" s="290"/>
      <c r="F143" s="290"/>
      <c r="G143" s="290"/>
      <c r="H143" s="290"/>
      <c r="I143" s="290"/>
      <c r="J143" s="290"/>
      <c r="K143" s="290"/>
      <c r="L143" s="290"/>
      <c r="M143" s="290"/>
      <c r="N143" s="290"/>
      <c r="O143" s="290"/>
      <c r="P143" s="290"/>
      <c r="Q143" s="290"/>
      <c r="R143" s="290"/>
      <c r="S143" s="290"/>
    </row>
  </sheetData>
  <mergeCells count="339">
    <mergeCell ref="O1:U1"/>
    <mergeCell ref="L86:M86"/>
    <mergeCell ref="L87:M87"/>
    <mergeCell ref="L88:M88"/>
    <mergeCell ref="L89:M89"/>
    <mergeCell ref="L91:M91"/>
    <mergeCell ref="L92:M92"/>
    <mergeCell ref="L93:M93"/>
    <mergeCell ref="L94:M94"/>
    <mergeCell ref="A75:R75"/>
    <mergeCell ref="A76:A77"/>
    <mergeCell ref="B76:I76"/>
    <mergeCell ref="K76:R76"/>
    <mergeCell ref="C77:D77"/>
    <mergeCell ref="E77:F77"/>
    <mergeCell ref="G77:H77"/>
    <mergeCell ref="L77:M77"/>
    <mergeCell ref="C78:D78"/>
    <mergeCell ref="E78:F78"/>
    <mergeCell ref="G78:H78"/>
    <mergeCell ref="N77:O77"/>
    <mergeCell ref="P77:Q77"/>
    <mergeCell ref="P61:Q61"/>
    <mergeCell ref="P62:Q62"/>
    <mergeCell ref="L95:M95"/>
    <mergeCell ref="P72:Q72"/>
    <mergeCell ref="L78:M78"/>
    <mergeCell ref="L79:M79"/>
    <mergeCell ref="L80:M80"/>
    <mergeCell ref="L81:M81"/>
    <mergeCell ref="L82:M82"/>
    <mergeCell ref="L83:M83"/>
    <mergeCell ref="L84:M84"/>
    <mergeCell ref="L85:M85"/>
    <mergeCell ref="P91:Q91"/>
    <mergeCell ref="P92:Q92"/>
    <mergeCell ref="P93:Q93"/>
    <mergeCell ref="P94:Q94"/>
    <mergeCell ref="P95:Q95"/>
    <mergeCell ref="P87:Q87"/>
    <mergeCell ref="P88:Q88"/>
    <mergeCell ref="P89:Q89"/>
    <mergeCell ref="P90:Q90"/>
    <mergeCell ref="N89:O89"/>
    <mergeCell ref="N91:O91"/>
    <mergeCell ref="N92:O92"/>
    <mergeCell ref="N93:O93"/>
    <mergeCell ref="N94:O94"/>
    <mergeCell ref="P96:Q96"/>
    <mergeCell ref="P97:Q97"/>
    <mergeCell ref="N56:O56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P60:Q60"/>
    <mergeCell ref="P82:Q82"/>
    <mergeCell ref="P83:Q83"/>
    <mergeCell ref="P84:Q84"/>
    <mergeCell ref="P85:Q85"/>
    <mergeCell ref="P86:Q86"/>
    <mergeCell ref="N90:O90"/>
    <mergeCell ref="L90:M90"/>
    <mergeCell ref="N78:O78"/>
    <mergeCell ref="N79:O79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A1:M1"/>
    <mergeCell ref="A20:M20"/>
    <mergeCell ref="L67:M67"/>
    <mergeCell ref="L72:M72"/>
    <mergeCell ref="L71:M71"/>
    <mergeCell ref="L70:M70"/>
    <mergeCell ref="L69:M69"/>
    <mergeCell ref="L68:M68"/>
    <mergeCell ref="C120:D120"/>
    <mergeCell ref="E120:F120"/>
    <mergeCell ref="G120:H120"/>
    <mergeCell ref="A101:A102"/>
    <mergeCell ref="E113:F113"/>
    <mergeCell ref="G113:H113"/>
    <mergeCell ref="C114:D114"/>
    <mergeCell ref="E114:F114"/>
    <mergeCell ref="G114:H114"/>
    <mergeCell ref="C111:D111"/>
    <mergeCell ref="L53:M53"/>
    <mergeCell ref="L54:M54"/>
    <mergeCell ref="L59:M59"/>
    <mergeCell ref="L57:M57"/>
    <mergeCell ref="L56:M56"/>
    <mergeCell ref="L60:M60"/>
    <mergeCell ref="N95:O95"/>
    <mergeCell ref="N96:O96"/>
    <mergeCell ref="N97:O97"/>
    <mergeCell ref="P78:Q78"/>
    <mergeCell ref="P79:Q79"/>
    <mergeCell ref="P80:Q80"/>
    <mergeCell ref="P81:Q81"/>
    <mergeCell ref="C119:D119"/>
    <mergeCell ref="E119:F119"/>
    <mergeCell ref="G119:H119"/>
    <mergeCell ref="B101:I101"/>
    <mergeCell ref="C102:D102"/>
    <mergeCell ref="E102:F102"/>
    <mergeCell ref="G102:H102"/>
    <mergeCell ref="A100:I100"/>
    <mergeCell ref="L96:M96"/>
    <mergeCell ref="L97:M97"/>
    <mergeCell ref="C115:D115"/>
    <mergeCell ref="E115:F115"/>
    <mergeCell ref="G115:H115"/>
    <mergeCell ref="C116:D116"/>
    <mergeCell ref="E116:F116"/>
    <mergeCell ref="G116:H116"/>
    <mergeCell ref="C113:D113"/>
    <mergeCell ref="P127:R127"/>
    <mergeCell ref="H128:I128"/>
    <mergeCell ref="H130:I130"/>
    <mergeCell ref="H129:I129"/>
    <mergeCell ref="C117:D117"/>
    <mergeCell ref="E117:F117"/>
    <mergeCell ref="G117:H117"/>
    <mergeCell ref="C118:D118"/>
    <mergeCell ref="E118:F118"/>
    <mergeCell ref="G118:H118"/>
    <mergeCell ref="C122:D122"/>
    <mergeCell ref="E122:F122"/>
    <mergeCell ref="G122:H122"/>
    <mergeCell ref="C121:D121"/>
    <mergeCell ref="E121:F121"/>
    <mergeCell ref="G121:H121"/>
    <mergeCell ref="O127:O128"/>
    <mergeCell ref="E111:F111"/>
    <mergeCell ref="G111:H111"/>
    <mergeCell ref="C112:D112"/>
    <mergeCell ref="E112:F112"/>
    <mergeCell ref="G112:H112"/>
    <mergeCell ref="C109:D109"/>
    <mergeCell ref="E109:F109"/>
    <mergeCell ref="G109:H109"/>
    <mergeCell ref="C110:D110"/>
    <mergeCell ref="E110:F110"/>
    <mergeCell ref="G110:H110"/>
    <mergeCell ref="C107:D107"/>
    <mergeCell ref="E107:F107"/>
    <mergeCell ref="G107:H107"/>
    <mergeCell ref="C108:D108"/>
    <mergeCell ref="E108:F108"/>
    <mergeCell ref="G108:H108"/>
    <mergeCell ref="C105:D105"/>
    <mergeCell ref="E105:F105"/>
    <mergeCell ref="C106:D106"/>
    <mergeCell ref="E106:F106"/>
    <mergeCell ref="G106:H106"/>
    <mergeCell ref="C103:D103"/>
    <mergeCell ref="E103:F103"/>
    <mergeCell ref="C104:D104"/>
    <mergeCell ref="E104:F104"/>
    <mergeCell ref="C97:D97"/>
    <mergeCell ref="E97:F97"/>
    <mergeCell ref="G97:H97"/>
    <mergeCell ref="C95:D95"/>
    <mergeCell ref="E95:F95"/>
    <mergeCell ref="G95:H95"/>
    <mergeCell ref="C96:D96"/>
    <mergeCell ref="E96:F96"/>
    <mergeCell ref="G96:H96"/>
    <mergeCell ref="C93:D93"/>
    <mergeCell ref="E93:F93"/>
    <mergeCell ref="G93:H93"/>
    <mergeCell ref="C94:D94"/>
    <mergeCell ref="E94:F94"/>
    <mergeCell ref="G94:H94"/>
    <mergeCell ref="C91:D91"/>
    <mergeCell ref="E91:F91"/>
    <mergeCell ref="G91:H91"/>
    <mergeCell ref="C92:D92"/>
    <mergeCell ref="E92:F92"/>
    <mergeCell ref="G92:H92"/>
    <mergeCell ref="C89:D89"/>
    <mergeCell ref="E89:F89"/>
    <mergeCell ref="G89:H89"/>
    <mergeCell ref="C90:D90"/>
    <mergeCell ref="E90:F90"/>
    <mergeCell ref="G90:H90"/>
    <mergeCell ref="C87:D87"/>
    <mergeCell ref="E87:F87"/>
    <mergeCell ref="G87:H87"/>
    <mergeCell ref="C88:D88"/>
    <mergeCell ref="E88:F88"/>
    <mergeCell ref="G88:H88"/>
    <mergeCell ref="C85:D85"/>
    <mergeCell ref="E85:F85"/>
    <mergeCell ref="G85:H85"/>
    <mergeCell ref="C86:D86"/>
    <mergeCell ref="E86:F86"/>
    <mergeCell ref="G86:H86"/>
    <mergeCell ref="C83:D83"/>
    <mergeCell ref="E83:F83"/>
    <mergeCell ref="G83:H83"/>
    <mergeCell ref="C84:D84"/>
    <mergeCell ref="E84:F84"/>
    <mergeCell ref="G84:H84"/>
    <mergeCell ref="C81:D81"/>
    <mergeCell ref="E81:F81"/>
    <mergeCell ref="G81:H81"/>
    <mergeCell ref="C82:D82"/>
    <mergeCell ref="E82:F82"/>
    <mergeCell ref="G82:H82"/>
    <mergeCell ref="C79:D79"/>
    <mergeCell ref="E79:F79"/>
    <mergeCell ref="G79:H79"/>
    <mergeCell ref="C80:D80"/>
    <mergeCell ref="E80:F80"/>
    <mergeCell ref="G80:H80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C61:D61"/>
    <mergeCell ref="E61:F61"/>
    <mergeCell ref="E66:F66"/>
    <mergeCell ref="C71:D71"/>
    <mergeCell ref="E71:F71"/>
    <mergeCell ref="C63:D63"/>
    <mergeCell ref="C69:D69"/>
    <mergeCell ref="E69:F69"/>
    <mergeCell ref="G69:H69"/>
    <mergeCell ref="E64:F64"/>
    <mergeCell ref="G68:H68"/>
    <mergeCell ref="G71:H71"/>
    <mergeCell ref="C70:D70"/>
    <mergeCell ref="E70:F70"/>
    <mergeCell ref="G70:H70"/>
    <mergeCell ref="E67:F67"/>
    <mergeCell ref="E63:F63"/>
    <mergeCell ref="G63:H63"/>
    <mergeCell ref="E65:F65"/>
    <mergeCell ref="C67:D67"/>
    <mergeCell ref="C66:D66"/>
    <mergeCell ref="C65:D65"/>
    <mergeCell ref="C64:D64"/>
    <mergeCell ref="C59:D59"/>
    <mergeCell ref="C54:D54"/>
    <mergeCell ref="G56:H56"/>
    <mergeCell ref="G57:H57"/>
    <mergeCell ref="G59:H59"/>
    <mergeCell ref="C55:D55"/>
    <mergeCell ref="C60:D60"/>
    <mergeCell ref="E59:F59"/>
    <mergeCell ref="E58:F58"/>
    <mergeCell ref="E57:F57"/>
    <mergeCell ref="C53:D53"/>
    <mergeCell ref="C58:D58"/>
    <mergeCell ref="C57:D57"/>
    <mergeCell ref="G53:H53"/>
    <mergeCell ref="G52:H52"/>
    <mergeCell ref="L52:M52"/>
    <mergeCell ref="B51:I51"/>
    <mergeCell ref="C52:D52"/>
    <mergeCell ref="E54:F54"/>
    <mergeCell ref="E53:F53"/>
    <mergeCell ref="E55:F55"/>
    <mergeCell ref="E56:F56"/>
    <mergeCell ref="C56:D56"/>
    <mergeCell ref="A50:R50"/>
    <mergeCell ref="A35:H35"/>
    <mergeCell ref="E52:F52"/>
    <mergeCell ref="A51:A52"/>
    <mergeCell ref="K51:R51"/>
    <mergeCell ref="G104:H104"/>
    <mergeCell ref="G105:H105"/>
    <mergeCell ref="G103:H103"/>
    <mergeCell ref="H127:L127"/>
    <mergeCell ref="B127:C127"/>
    <mergeCell ref="D127:E127"/>
    <mergeCell ref="G60:H60"/>
    <mergeCell ref="L62:M62"/>
    <mergeCell ref="L61:M61"/>
    <mergeCell ref="G61:H61"/>
    <mergeCell ref="L63:M63"/>
    <mergeCell ref="G62:H62"/>
    <mergeCell ref="E62:F62"/>
    <mergeCell ref="G64:H64"/>
    <mergeCell ref="L64:M64"/>
    <mergeCell ref="C62:D62"/>
    <mergeCell ref="A127:A128"/>
    <mergeCell ref="C72:D72"/>
    <mergeCell ref="C68:D68"/>
    <mergeCell ref="E72:F72"/>
    <mergeCell ref="E68:F68"/>
    <mergeCell ref="G65:H65"/>
    <mergeCell ref="G72:H72"/>
    <mergeCell ref="G67:H67"/>
    <mergeCell ref="G66:H66"/>
    <mergeCell ref="N57:O57"/>
    <mergeCell ref="N55:O55"/>
    <mergeCell ref="E60:F60"/>
    <mergeCell ref="L65:M65"/>
    <mergeCell ref="L66:M66"/>
    <mergeCell ref="N52:O52"/>
    <mergeCell ref="P52:Q52"/>
    <mergeCell ref="P53:Q53"/>
    <mergeCell ref="G54:H54"/>
    <mergeCell ref="G55:H55"/>
    <mergeCell ref="G58:H58"/>
    <mergeCell ref="P59:Q59"/>
    <mergeCell ref="P58:Q58"/>
    <mergeCell ref="P57:Q57"/>
    <mergeCell ref="P54:Q54"/>
    <mergeCell ref="N53:O53"/>
    <mergeCell ref="N54:O54"/>
    <mergeCell ref="P56:Q56"/>
    <mergeCell ref="P55:Q55"/>
    <mergeCell ref="L58:M58"/>
    <mergeCell ref="L55:M55"/>
  </mergeCells>
  <pageMargins left="0.25" right="0.25" top="0" bottom="0" header="0.3" footer="0.3"/>
  <pageSetup scale="6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X48"/>
  <sheetViews>
    <sheetView zoomScale="85" zoomScaleNormal="85" zoomScalePageLayoutView="85" workbookViewId="0">
      <selection sqref="A1:E1"/>
    </sheetView>
  </sheetViews>
  <sheetFormatPr defaultColWidth="8.85546875" defaultRowHeight="15" x14ac:dyDescent="0.25"/>
  <cols>
    <col min="1" max="1" width="28.140625" style="10" bestFit="1" customWidth="1"/>
    <col min="2" max="2" width="13.42578125" style="10" bestFit="1" customWidth="1"/>
    <col min="3" max="3" width="11.42578125" style="10" bestFit="1" customWidth="1"/>
    <col min="4" max="4" width="3.140625" style="9" customWidth="1"/>
    <col min="5" max="5" width="21.42578125" style="10" bestFit="1" customWidth="1"/>
    <col min="6" max="6" width="13.42578125" style="10" bestFit="1" customWidth="1"/>
    <col min="7" max="7" width="11.42578125" style="10" bestFit="1" customWidth="1"/>
    <col min="8" max="8" width="3.140625" style="9" customWidth="1"/>
    <col min="9" max="9" width="22" style="10" bestFit="1" customWidth="1"/>
    <col min="10" max="10" width="13.42578125" style="10" bestFit="1" customWidth="1"/>
    <col min="11" max="11" width="11.42578125" style="10" bestFit="1" customWidth="1"/>
    <col min="12" max="12" width="3.140625" style="9" customWidth="1"/>
    <col min="13" max="13" width="20.42578125" style="10" customWidth="1"/>
    <col min="14" max="14" width="13.42578125" style="10" bestFit="1" customWidth="1"/>
    <col min="15" max="15" width="12.42578125" style="10" bestFit="1" customWidth="1"/>
    <col min="16" max="16" width="3.140625" style="9" customWidth="1"/>
    <col min="17" max="17" width="19.140625" style="10" bestFit="1" customWidth="1"/>
    <col min="18" max="18" width="13.42578125" style="10" bestFit="1" customWidth="1"/>
    <col min="19" max="19" width="11.42578125" style="10" bestFit="1" customWidth="1"/>
    <col min="20" max="20" width="3.140625" style="9" customWidth="1"/>
    <col min="23" max="24" width="10.85546875" bestFit="1" customWidth="1"/>
  </cols>
  <sheetData>
    <row r="1" spans="1:24" x14ac:dyDescent="0.25">
      <c r="A1" s="4" t="s">
        <v>16</v>
      </c>
      <c r="B1" s="291" t="s">
        <v>322</v>
      </c>
      <c r="C1" s="291" t="s">
        <v>323</v>
      </c>
      <c r="D1" s="5"/>
      <c r="E1" s="4" t="s">
        <v>17</v>
      </c>
      <c r="F1" s="4"/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4" x14ac:dyDescent="0.25">
      <c r="A2"/>
      <c r="B2" s="50"/>
      <c r="C2" s="50"/>
      <c r="D2" s="5"/>
      <c r="E2"/>
      <c r="F2" s="50"/>
      <c r="G2" s="50"/>
      <c r="H2" s="5"/>
      <c r="I2"/>
      <c r="J2" s="50"/>
      <c r="K2" s="50"/>
      <c r="L2" s="5"/>
      <c r="M2"/>
      <c r="N2" s="50"/>
      <c r="O2" s="50"/>
      <c r="P2" s="5"/>
      <c r="Q2"/>
      <c r="R2" s="50"/>
      <c r="S2" s="50"/>
      <c r="T2" s="5"/>
    </row>
    <row r="3" spans="1:24" x14ac:dyDescent="0.25">
      <c r="A3"/>
      <c r="B3" s="31"/>
      <c r="C3" s="31"/>
      <c r="E3"/>
      <c r="F3" s="31"/>
      <c r="G3" s="31"/>
      <c r="I3"/>
      <c r="J3" s="31"/>
      <c r="K3" s="31"/>
      <c r="M3"/>
      <c r="N3" s="31"/>
      <c r="O3" s="31"/>
      <c r="Q3"/>
      <c r="R3" s="31"/>
      <c r="S3" s="31"/>
    </row>
    <row r="4" spans="1:24" x14ac:dyDescent="0.25">
      <c r="A4"/>
      <c r="B4" s="31"/>
      <c r="C4" s="31"/>
      <c r="E4"/>
      <c r="F4" s="31"/>
      <c r="G4" s="31"/>
      <c r="I4"/>
      <c r="J4" s="31"/>
      <c r="K4" s="31"/>
      <c r="M4"/>
      <c r="N4" s="31"/>
      <c r="O4" s="31"/>
      <c r="Q4"/>
      <c r="R4" s="31"/>
      <c r="S4" s="31"/>
    </row>
    <row r="5" spans="1:24" x14ac:dyDescent="0.25">
      <c r="A5"/>
      <c r="B5" s="31"/>
      <c r="C5" s="31"/>
      <c r="E5"/>
      <c r="F5" s="31"/>
      <c r="G5" s="31"/>
      <c r="I5"/>
      <c r="J5" s="31"/>
      <c r="K5" s="31"/>
      <c r="M5"/>
      <c r="N5" s="31"/>
      <c r="O5" s="31"/>
      <c r="Q5"/>
      <c r="R5" s="31"/>
      <c r="S5" s="31"/>
    </row>
    <row r="6" spans="1:24" x14ac:dyDescent="0.25">
      <c r="A6"/>
      <c r="B6" s="31"/>
      <c r="C6" s="31"/>
      <c r="E6"/>
      <c r="F6" s="31"/>
      <c r="G6" s="31"/>
      <c r="I6"/>
      <c r="J6" s="31"/>
      <c r="K6" s="31"/>
      <c r="M6"/>
      <c r="N6" s="31"/>
      <c r="O6" s="31"/>
      <c r="Q6"/>
      <c r="R6" s="31"/>
      <c r="S6" s="31"/>
      <c r="X6" s="31"/>
    </row>
    <row r="7" spans="1:24" x14ac:dyDescent="0.25">
      <c r="A7"/>
      <c r="C7" s="460"/>
      <c r="E7"/>
      <c r="F7" s="489"/>
      <c r="G7" s="195"/>
      <c r="I7"/>
      <c r="J7" s="78"/>
      <c r="K7" s="290"/>
      <c r="M7"/>
      <c r="N7" s="460"/>
      <c r="O7" s="195"/>
      <c r="Q7"/>
      <c r="R7" s="195"/>
      <c r="S7" s="195"/>
    </row>
    <row r="8" spans="1:24" x14ac:dyDescent="0.25">
      <c r="A8"/>
      <c r="B8" s="31"/>
      <c r="C8" s="31"/>
      <c r="E8"/>
      <c r="F8" s="31"/>
      <c r="G8" s="31"/>
      <c r="I8"/>
      <c r="J8" s="31"/>
      <c r="K8" s="31"/>
      <c r="M8"/>
      <c r="N8" s="31"/>
      <c r="O8" s="31"/>
      <c r="Q8"/>
      <c r="R8" s="31"/>
      <c r="S8" s="31"/>
      <c r="W8" s="31"/>
    </row>
    <row r="9" spans="1:24" x14ac:dyDescent="0.25">
      <c r="A9"/>
      <c r="B9" s="31"/>
      <c r="C9" s="31"/>
      <c r="D9" s="40"/>
      <c r="E9"/>
      <c r="F9" s="31"/>
      <c r="G9" s="31"/>
      <c r="H9" s="40"/>
      <c r="I9"/>
      <c r="J9" s="31"/>
      <c r="K9" s="31"/>
      <c r="L9" s="40"/>
      <c r="M9"/>
      <c r="N9" s="31"/>
      <c r="O9" s="31"/>
      <c r="P9" s="40"/>
      <c r="Q9"/>
      <c r="R9" s="31"/>
      <c r="S9" s="31"/>
      <c r="T9" s="40"/>
    </row>
    <row r="10" spans="1:24" x14ac:dyDescent="0.25">
      <c r="A10"/>
      <c r="B10" s="31"/>
      <c r="C10" s="31"/>
      <c r="E10"/>
      <c r="F10" s="31"/>
      <c r="G10" s="31"/>
      <c r="I10"/>
      <c r="J10" s="31"/>
      <c r="K10" s="31"/>
      <c r="M10"/>
      <c r="N10" s="31"/>
      <c r="O10" s="31"/>
      <c r="Q10"/>
      <c r="R10" s="31"/>
      <c r="S10" s="31"/>
    </row>
    <row r="11" spans="1:24" x14ac:dyDescent="0.25">
      <c r="A11"/>
      <c r="B11" s="31"/>
      <c r="C11" s="31"/>
      <c r="E11"/>
      <c r="F11" s="31"/>
      <c r="G11" s="31"/>
      <c r="I11"/>
      <c r="J11" s="31"/>
      <c r="K11" s="31"/>
      <c r="M11"/>
      <c r="N11" s="31"/>
      <c r="O11" s="31"/>
      <c r="Q11"/>
      <c r="R11" s="31"/>
      <c r="S11" s="31"/>
    </row>
    <row r="12" spans="1:24" x14ac:dyDescent="0.25">
      <c r="A12"/>
      <c r="B12" s="31"/>
      <c r="C12" s="31"/>
      <c r="E12"/>
      <c r="F12" s="31"/>
      <c r="G12" s="31"/>
      <c r="I12"/>
      <c r="J12" s="31"/>
      <c r="K12" s="31"/>
      <c r="M12"/>
      <c r="N12" s="31"/>
      <c r="O12" s="31"/>
      <c r="Q12"/>
      <c r="R12" s="31"/>
      <c r="S12" s="31"/>
      <c r="T12" s="10"/>
    </row>
    <row r="13" spans="1:24" x14ac:dyDescent="0.25">
      <c r="A13"/>
      <c r="B13" s="31"/>
      <c r="C13" s="31"/>
      <c r="E13"/>
      <c r="F13" s="31"/>
      <c r="G13" s="31"/>
      <c r="I13"/>
      <c r="J13" s="31"/>
      <c r="K13" s="31"/>
      <c r="M13"/>
      <c r="N13" s="31"/>
      <c r="O13" s="31"/>
      <c r="Q13"/>
      <c r="R13" s="31"/>
      <c r="S13" s="31"/>
    </row>
    <row r="14" spans="1:24" x14ac:dyDescent="0.25">
      <c r="A14"/>
      <c r="B14" s="31"/>
      <c r="C14" s="31"/>
      <c r="E14"/>
      <c r="F14" s="31"/>
      <c r="G14" s="31"/>
      <c r="I14"/>
      <c r="J14" s="31"/>
      <c r="K14" s="31"/>
      <c r="M14"/>
      <c r="N14" s="31"/>
      <c r="O14" s="31"/>
      <c r="Q14"/>
      <c r="R14" s="31"/>
      <c r="S14" s="31"/>
    </row>
    <row r="15" spans="1:24" x14ac:dyDescent="0.25">
      <c r="A15"/>
      <c r="B15" s="31"/>
      <c r="C15" s="31"/>
      <c r="E15"/>
      <c r="F15" s="31"/>
      <c r="G15" s="31"/>
      <c r="I15"/>
      <c r="J15" s="31"/>
      <c r="K15" s="31"/>
      <c r="M15"/>
      <c r="N15" s="31"/>
      <c r="O15" s="31"/>
      <c r="Q15"/>
      <c r="R15" s="31"/>
      <c r="S15" s="31"/>
    </row>
    <row r="16" spans="1:24" x14ac:dyDescent="0.25">
      <c r="A16"/>
      <c r="B16" s="31"/>
      <c r="C16" s="31"/>
      <c r="E16"/>
      <c r="F16" s="31"/>
      <c r="G16" s="31"/>
      <c r="I16"/>
      <c r="J16" s="31"/>
      <c r="K16" s="31"/>
      <c r="M16"/>
      <c r="N16" s="31"/>
      <c r="O16" s="31"/>
      <c r="Q16"/>
      <c r="R16" s="31"/>
      <c r="S16" s="31"/>
    </row>
    <row r="17" spans="1:20" x14ac:dyDescent="0.25">
      <c r="A17"/>
      <c r="B17" s="31"/>
      <c r="C17" s="31"/>
      <c r="E17"/>
      <c r="F17" s="31"/>
      <c r="G17" s="31"/>
      <c r="I17"/>
      <c r="J17" s="31"/>
      <c r="K17" s="31"/>
      <c r="M17"/>
      <c r="N17" s="31"/>
      <c r="O17" s="31"/>
      <c r="Q17"/>
      <c r="R17" s="31"/>
      <c r="S17" s="31"/>
    </row>
    <row r="18" spans="1:20" x14ac:dyDescent="0.25">
      <c r="A18"/>
      <c r="B18" s="31"/>
      <c r="C18" s="31"/>
      <c r="E18"/>
      <c r="F18" s="31"/>
      <c r="G18" s="31"/>
      <c r="I18"/>
      <c r="J18" s="31"/>
      <c r="K18" s="31"/>
      <c r="M18"/>
      <c r="N18" s="31"/>
      <c r="O18" s="31"/>
      <c r="Q18"/>
      <c r="R18" s="31"/>
      <c r="S18" s="31"/>
    </row>
    <row r="19" spans="1:20" x14ac:dyDescent="0.25">
      <c r="A19"/>
      <c r="B19" s="31"/>
      <c r="C19" s="31"/>
      <c r="E19"/>
      <c r="F19" s="31"/>
      <c r="G19" s="31"/>
      <c r="I19"/>
      <c r="J19" s="31"/>
      <c r="K19" s="31"/>
      <c r="M19"/>
      <c r="N19" s="31"/>
      <c r="O19" s="31"/>
      <c r="Q19"/>
      <c r="R19" s="31"/>
      <c r="S19" s="31"/>
      <c r="T19" s="10"/>
    </row>
    <row r="20" spans="1:20" x14ac:dyDescent="0.25">
      <c r="A20" s="6"/>
      <c r="B20" s="7"/>
      <c r="C20" s="7"/>
      <c r="E20" s="6"/>
      <c r="F20" s="7"/>
      <c r="G20" s="7"/>
      <c r="I20" s="6"/>
      <c r="J20" s="7"/>
      <c r="K20" s="7"/>
      <c r="M20" s="6"/>
      <c r="N20" s="7"/>
      <c r="O20" s="7"/>
      <c r="T20" s="10"/>
    </row>
    <row r="21" spans="1:20" x14ac:dyDescent="0.25">
      <c r="A21" s="14" t="s">
        <v>22</v>
      </c>
      <c r="B21" s="489">
        <v>78581.46920000005</v>
      </c>
      <c r="C21" s="15"/>
      <c r="E21" s="14" t="s">
        <v>22</v>
      </c>
      <c r="F21" s="78">
        <v>75960.486800000042</v>
      </c>
      <c r="G21" s="15"/>
      <c r="I21" s="12" t="s">
        <v>21</v>
      </c>
      <c r="J21" s="553">
        <v>75370.423000000039</v>
      </c>
      <c r="K21" s="15"/>
      <c r="M21" s="12" t="s">
        <v>21</v>
      </c>
      <c r="N21" s="195"/>
      <c r="O21" s="15"/>
      <c r="Q21" s="12" t="s">
        <v>21</v>
      </c>
      <c r="R21" s="202"/>
      <c r="S21" s="15"/>
      <c r="T21" s="10"/>
    </row>
    <row r="23" spans="1:20" x14ac:dyDescent="0.25">
      <c r="A23" s="47"/>
      <c r="B23" s="48"/>
      <c r="C23" s="48"/>
      <c r="E23" s="47"/>
      <c r="F23" s="48"/>
      <c r="G23" s="48"/>
      <c r="I23" s="47"/>
      <c r="J23" s="48"/>
      <c r="K23" s="48"/>
      <c r="M23" s="47"/>
      <c r="N23" s="48"/>
      <c r="O23" s="48"/>
      <c r="Q23" s="47"/>
      <c r="R23" s="48"/>
      <c r="S23" s="48"/>
      <c r="T23" s="49"/>
    </row>
    <row r="24" spans="1:20" x14ac:dyDescent="0.25">
      <c r="Q24" s="21"/>
      <c r="R24" s="22"/>
      <c r="S24" s="22"/>
    </row>
    <row r="26" spans="1:20" x14ac:dyDescent="0.25">
      <c r="A26" s="25" t="s">
        <v>32</v>
      </c>
      <c r="B26" s="9"/>
      <c r="C26" s="9"/>
      <c r="E26" s="9"/>
      <c r="F26" s="9"/>
      <c r="G26" s="9"/>
      <c r="I26" s="9"/>
      <c r="J26" s="9"/>
      <c r="K26" s="9"/>
      <c r="M26" s="9"/>
      <c r="N26" s="9"/>
      <c r="O26" s="9"/>
      <c r="Q26" s="9"/>
      <c r="R26" s="9"/>
      <c r="S26" s="9"/>
      <c r="T26" s="10"/>
    </row>
    <row r="27" spans="1:20" x14ac:dyDescent="0.25">
      <c r="A27" s="9"/>
      <c r="B27" s="9"/>
      <c r="C27" s="9"/>
      <c r="E27" s="9"/>
      <c r="F27" s="9"/>
      <c r="G27" s="9"/>
      <c r="I27" s="9"/>
      <c r="J27" s="9"/>
      <c r="K27" s="9"/>
      <c r="M27" s="9"/>
      <c r="N27" s="9"/>
      <c r="O27" s="9"/>
      <c r="Q27" s="9"/>
      <c r="R27" s="9"/>
      <c r="S27" s="9"/>
      <c r="T27" s="10"/>
    </row>
    <row r="28" spans="1:20" x14ac:dyDescent="0.25">
      <c r="A28" t="s">
        <v>79</v>
      </c>
      <c r="B28" s="7" t="str">
        <f>IF(B2+C2&gt;0, B2+C2, "")</f>
        <v/>
      </c>
      <c r="C28" s="7" t="str">
        <f>IF(C2+D2&gt;0, C2+D2, "")</f>
        <v/>
      </c>
      <c r="E28" t="s">
        <v>79</v>
      </c>
      <c r="F28" s="7" t="str">
        <f>IF(F2+G2&gt;0, F2+G2, "")</f>
        <v/>
      </c>
      <c r="G28" s="7" t="str">
        <f>IF(G2+H2&gt;0, G2+H2, "")</f>
        <v/>
      </c>
      <c r="I28" t="s">
        <v>79</v>
      </c>
      <c r="J28" s="7" t="str">
        <f>IF(J2+K2&gt;0, J2+K2, "")</f>
        <v/>
      </c>
      <c r="K28" s="7" t="str">
        <f>IF(K2+L2&gt;0, K2+L2, "")</f>
        <v/>
      </c>
      <c r="M28" t="s">
        <v>79</v>
      </c>
      <c r="N28" s="7" t="str">
        <f>IF(N2+O2&gt;0, N2+O2, "")</f>
        <v/>
      </c>
      <c r="O28" s="7" t="str">
        <f>IF(O2+P2&gt;0, O2+P2, "")</f>
        <v/>
      </c>
      <c r="Q28" t="s">
        <v>79</v>
      </c>
      <c r="R28" s="7" t="str">
        <f>IF(R2+S2&gt;0, R2+S2, "")</f>
        <v/>
      </c>
      <c r="S28" s="7" t="str">
        <f>IF(S2+T2&gt;0, S2+T2, "")</f>
        <v/>
      </c>
      <c r="T28" s="10"/>
    </row>
    <row r="29" spans="1:20" x14ac:dyDescent="0.25">
      <c r="A29" t="s">
        <v>34</v>
      </c>
      <c r="B29" s="7" t="str">
        <f t="shared" ref="B29:B45" si="0">IF(B3+C3&gt;0, B3+C3, "")</f>
        <v/>
      </c>
      <c r="C29" s="7"/>
      <c r="E29" t="s">
        <v>34</v>
      </c>
      <c r="F29" s="7" t="str">
        <f t="shared" ref="F29:F45" si="1">IF(F3+G3&gt;0, F3+G3, "")</f>
        <v/>
      </c>
      <c r="G29" s="7"/>
      <c r="I29" t="s">
        <v>34</v>
      </c>
      <c r="J29" s="7" t="str">
        <f t="shared" ref="J29:J45" si="2">IF(J3+K3&gt;0, J3+K3, "")</f>
        <v/>
      </c>
      <c r="K29" s="7"/>
      <c r="M29" t="s">
        <v>34</v>
      </c>
      <c r="N29" s="7" t="str">
        <f t="shared" ref="N29:N45" si="3">IF(N3+O3&gt;0, N3+O3, "")</f>
        <v/>
      </c>
      <c r="O29" s="7"/>
      <c r="Q29" t="s">
        <v>34</v>
      </c>
      <c r="R29" s="7" t="str">
        <f t="shared" ref="R29:R45" si="4">IF(R3+S3&gt;0, R3+S3, "")</f>
        <v/>
      </c>
      <c r="S29" s="7"/>
      <c r="T29" s="10"/>
    </row>
    <row r="30" spans="1:20" x14ac:dyDescent="0.25">
      <c r="A30" t="s">
        <v>35</v>
      </c>
      <c r="B30" s="7" t="str">
        <f t="shared" si="0"/>
        <v/>
      </c>
      <c r="C30" s="7"/>
      <c r="E30" t="s">
        <v>35</v>
      </c>
      <c r="F30" s="7" t="str">
        <f t="shared" si="1"/>
        <v/>
      </c>
      <c r="G30" s="7"/>
      <c r="I30" t="s">
        <v>35</v>
      </c>
      <c r="J30" s="7" t="str">
        <f t="shared" si="2"/>
        <v/>
      </c>
      <c r="K30" s="7"/>
      <c r="M30" t="s">
        <v>35</v>
      </c>
      <c r="N30" s="7" t="str">
        <f t="shared" si="3"/>
        <v/>
      </c>
      <c r="O30" s="7"/>
      <c r="Q30" t="s">
        <v>35</v>
      </c>
      <c r="R30" s="7" t="str">
        <f t="shared" si="4"/>
        <v/>
      </c>
      <c r="S30" s="7"/>
      <c r="T30" s="10"/>
    </row>
    <row r="31" spans="1:20" x14ac:dyDescent="0.25">
      <c r="A31" t="s">
        <v>37</v>
      </c>
      <c r="B31" s="7" t="str">
        <f t="shared" si="0"/>
        <v/>
      </c>
      <c r="C31" s="7"/>
      <c r="E31" t="s">
        <v>37</v>
      </c>
      <c r="F31" s="7" t="str">
        <f t="shared" si="1"/>
        <v/>
      </c>
      <c r="G31" s="7"/>
      <c r="I31" t="s">
        <v>37</v>
      </c>
      <c r="J31" s="7" t="str">
        <f t="shared" si="2"/>
        <v/>
      </c>
      <c r="K31" s="7"/>
      <c r="M31" t="s">
        <v>37</v>
      </c>
      <c r="N31" s="7" t="str">
        <f t="shared" si="3"/>
        <v/>
      </c>
      <c r="O31" s="7"/>
      <c r="Q31" t="s">
        <v>37</v>
      </c>
      <c r="R31" s="7" t="str">
        <f t="shared" si="4"/>
        <v/>
      </c>
      <c r="S31" s="7"/>
      <c r="T31" s="10"/>
    </row>
    <row r="32" spans="1:20" x14ac:dyDescent="0.25">
      <c r="A32" t="s">
        <v>38</v>
      </c>
      <c r="B32" s="7" t="str">
        <f t="shared" si="0"/>
        <v/>
      </c>
      <c r="C32" s="7"/>
      <c r="E32" t="s">
        <v>38</v>
      </c>
      <c r="F32" s="7" t="str">
        <f t="shared" si="1"/>
        <v/>
      </c>
      <c r="G32" s="7"/>
      <c r="I32" t="s">
        <v>38</v>
      </c>
      <c r="J32" s="7" t="str">
        <f t="shared" si="2"/>
        <v/>
      </c>
      <c r="K32" s="7"/>
      <c r="M32" t="s">
        <v>38</v>
      </c>
      <c r="N32" s="7" t="str">
        <f t="shared" si="3"/>
        <v/>
      </c>
      <c r="O32" s="7"/>
      <c r="Q32" t="s">
        <v>38</v>
      </c>
      <c r="R32" s="7" t="str">
        <f t="shared" si="4"/>
        <v/>
      </c>
      <c r="S32" s="7"/>
      <c r="T32" s="10"/>
    </row>
    <row r="33" spans="1:20" x14ac:dyDescent="0.25">
      <c r="A33" t="s">
        <v>39</v>
      </c>
      <c r="B33" s="7">
        <f>IF(B21+C7&gt;0, B21+C7, "")</f>
        <v>78581.46920000005</v>
      </c>
      <c r="C33" s="7"/>
      <c r="E33" t="s">
        <v>39</v>
      </c>
      <c r="F33" s="7" t="str">
        <f t="shared" si="1"/>
        <v/>
      </c>
      <c r="G33" s="7"/>
      <c r="I33" t="s">
        <v>39</v>
      </c>
      <c r="J33" s="7" t="str">
        <f t="shared" si="2"/>
        <v/>
      </c>
      <c r="K33" s="7"/>
      <c r="M33" t="s">
        <v>39</v>
      </c>
      <c r="N33" s="7" t="str">
        <f t="shared" si="3"/>
        <v/>
      </c>
      <c r="O33" s="7"/>
      <c r="Q33" t="s">
        <v>39</v>
      </c>
      <c r="R33" s="7" t="str">
        <f t="shared" si="4"/>
        <v/>
      </c>
      <c r="S33" s="7"/>
      <c r="T33" s="10"/>
    </row>
    <row r="34" spans="1:20" x14ac:dyDescent="0.25">
      <c r="A34" t="s">
        <v>40</v>
      </c>
      <c r="B34" s="7" t="str">
        <f t="shared" si="0"/>
        <v/>
      </c>
      <c r="C34" s="7"/>
      <c r="E34" t="s">
        <v>40</v>
      </c>
      <c r="F34" s="7" t="str">
        <f t="shared" si="1"/>
        <v/>
      </c>
      <c r="G34" s="7"/>
      <c r="I34" t="s">
        <v>40</v>
      </c>
      <c r="J34" s="7" t="str">
        <f t="shared" si="2"/>
        <v/>
      </c>
      <c r="K34" s="7"/>
      <c r="M34" t="s">
        <v>40</v>
      </c>
      <c r="N34" s="7" t="str">
        <f t="shared" si="3"/>
        <v/>
      </c>
      <c r="O34" s="7"/>
      <c r="Q34" t="s">
        <v>40</v>
      </c>
      <c r="R34" s="7" t="str">
        <f t="shared" si="4"/>
        <v/>
      </c>
      <c r="S34" s="7"/>
      <c r="T34" s="10"/>
    </row>
    <row r="35" spans="1:20" x14ac:dyDescent="0.25">
      <c r="A35" t="s">
        <v>42</v>
      </c>
      <c r="B35" s="7" t="str">
        <f t="shared" si="0"/>
        <v/>
      </c>
      <c r="C35" s="7"/>
      <c r="E35" t="s">
        <v>42</v>
      </c>
      <c r="F35" s="7" t="str">
        <f t="shared" si="1"/>
        <v/>
      </c>
      <c r="G35" s="7"/>
      <c r="I35" t="s">
        <v>42</v>
      </c>
      <c r="J35" s="7" t="str">
        <f t="shared" si="2"/>
        <v/>
      </c>
      <c r="K35" s="7"/>
      <c r="M35" t="s">
        <v>42</v>
      </c>
      <c r="N35" s="7" t="str">
        <f t="shared" si="3"/>
        <v/>
      </c>
      <c r="O35" s="7"/>
      <c r="Q35" t="s">
        <v>42</v>
      </c>
      <c r="R35" s="7" t="str">
        <f t="shared" si="4"/>
        <v/>
      </c>
      <c r="S35" s="7"/>
      <c r="T35" s="10"/>
    </row>
    <row r="36" spans="1:20" x14ac:dyDescent="0.25">
      <c r="A36" t="s">
        <v>11</v>
      </c>
      <c r="B36" s="7" t="str">
        <f t="shared" si="0"/>
        <v/>
      </c>
      <c r="C36" s="7"/>
      <c r="E36" t="s">
        <v>11</v>
      </c>
      <c r="F36" s="7" t="str">
        <f t="shared" si="1"/>
        <v/>
      </c>
      <c r="G36" s="7"/>
      <c r="I36" t="s">
        <v>11</v>
      </c>
      <c r="J36" s="7" t="str">
        <f t="shared" si="2"/>
        <v/>
      </c>
      <c r="K36" s="7"/>
      <c r="M36" t="s">
        <v>11</v>
      </c>
      <c r="N36" s="7" t="str">
        <f t="shared" si="3"/>
        <v/>
      </c>
      <c r="O36" s="7"/>
      <c r="Q36" t="s">
        <v>11</v>
      </c>
      <c r="R36" s="7" t="str">
        <f t="shared" si="4"/>
        <v/>
      </c>
      <c r="S36" s="7"/>
      <c r="T36" s="10"/>
    </row>
    <row r="37" spans="1:20" x14ac:dyDescent="0.25">
      <c r="A37" t="s">
        <v>43</v>
      </c>
      <c r="B37" s="7" t="str">
        <f t="shared" si="0"/>
        <v/>
      </c>
      <c r="C37" s="7"/>
      <c r="E37" t="s">
        <v>43</v>
      </c>
      <c r="F37" s="7" t="str">
        <f t="shared" si="1"/>
        <v/>
      </c>
      <c r="G37" s="7"/>
      <c r="I37" t="s">
        <v>43</v>
      </c>
      <c r="J37" s="7" t="str">
        <f t="shared" si="2"/>
        <v/>
      </c>
      <c r="K37" s="7"/>
      <c r="M37" t="s">
        <v>43</v>
      </c>
      <c r="N37" s="7" t="str">
        <f t="shared" si="3"/>
        <v/>
      </c>
      <c r="O37" s="7"/>
      <c r="Q37" t="s">
        <v>43</v>
      </c>
      <c r="R37" s="7" t="str">
        <f t="shared" si="4"/>
        <v/>
      </c>
      <c r="S37" s="7"/>
      <c r="T37" s="10"/>
    </row>
    <row r="38" spans="1:20" x14ac:dyDescent="0.25">
      <c r="A38" t="s">
        <v>74</v>
      </c>
      <c r="B38" s="7" t="str">
        <f t="shared" si="0"/>
        <v/>
      </c>
      <c r="C38" s="7"/>
      <c r="E38" t="s">
        <v>74</v>
      </c>
      <c r="F38" s="7" t="str">
        <f t="shared" si="1"/>
        <v/>
      </c>
      <c r="G38" s="7"/>
      <c r="I38" t="s">
        <v>74</v>
      </c>
      <c r="J38" s="7" t="str">
        <f t="shared" si="2"/>
        <v/>
      </c>
      <c r="K38" s="7"/>
      <c r="M38" t="s">
        <v>74</v>
      </c>
      <c r="N38" s="7" t="str">
        <f t="shared" si="3"/>
        <v/>
      </c>
      <c r="O38" s="7"/>
      <c r="Q38" t="s">
        <v>74</v>
      </c>
      <c r="R38" s="7" t="str">
        <f t="shared" si="4"/>
        <v/>
      </c>
      <c r="S38" s="7"/>
      <c r="T38" s="10"/>
    </row>
    <row r="39" spans="1:20" x14ac:dyDescent="0.25">
      <c r="A39" t="s">
        <v>44</v>
      </c>
      <c r="B39" s="7" t="str">
        <f t="shared" si="0"/>
        <v/>
      </c>
      <c r="C39" s="7"/>
      <c r="E39" t="s">
        <v>44</v>
      </c>
      <c r="F39" s="7" t="str">
        <f t="shared" si="1"/>
        <v/>
      </c>
      <c r="G39" s="7"/>
      <c r="I39" t="s">
        <v>44</v>
      </c>
      <c r="J39" s="7" t="str">
        <f t="shared" si="2"/>
        <v/>
      </c>
      <c r="K39" s="7"/>
      <c r="M39" t="s">
        <v>44</v>
      </c>
      <c r="N39" s="7" t="str">
        <f t="shared" si="3"/>
        <v/>
      </c>
      <c r="O39" s="7"/>
      <c r="Q39" t="s">
        <v>44</v>
      </c>
      <c r="R39" s="7" t="str">
        <f t="shared" si="4"/>
        <v/>
      </c>
      <c r="S39" s="7"/>
      <c r="T39" s="10"/>
    </row>
    <row r="40" spans="1:20" x14ac:dyDescent="0.25">
      <c r="A40" t="s">
        <v>46</v>
      </c>
      <c r="B40" s="7" t="str">
        <f t="shared" si="0"/>
        <v/>
      </c>
      <c r="C40" s="7"/>
      <c r="E40" t="s">
        <v>46</v>
      </c>
      <c r="F40" s="7" t="str">
        <f t="shared" si="1"/>
        <v/>
      </c>
      <c r="G40" s="7"/>
      <c r="I40" t="s">
        <v>46</v>
      </c>
      <c r="J40" s="7" t="str">
        <f t="shared" si="2"/>
        <v/>
      </c>
      <c r="K40" s="7"/>
      <c r="M40" t="s">
        <v>46</v>
      </c>
      <c r="N40" s="7" t="str">
        <f t="shared" si="3"/>
        <v/>
      </c>
      <c r="O40" s="7"/>
      <c r="Q40" t="s">
        <v>46</v>
      </c>
      <c r="R40" s="7" t="str">
        <f t="shared" si="4"/>
        <v/>
      </c>
      <c r="S40" s="7"/>
      <c r="T40" s="10"/>
    </row>
    <row r="41" spans="1:20" x14ac:dyDescent="0.25">
      <c r="A41" t="s">
        <v>47</v>
      </c>
      <c r="B41" s="7" t="str">
        <f t="shared" si="0"/>
        <v/>
      </c>
      <c r="C41" s="7"/>
      <c r="E41" t="s">
        <v>47</v>
      </c>
      <c r="F41" s="7" t="str">
        <f t="shared" si="1"/>
        <v/>
      </c>
      <c r="G41" s="7"/>
      <c r="I41" t="s">
        <v>47</v>
      </c>
      <c r="J41" s="7" t="str">
        <f t="shared" si="2"/>
        <v/>
      </c>
      <c r="K41" s="7"/>
      <c r="M41" t="s">
        <v>47</v>
      </c>
      <c r="N41" s="7" t="str">
        <f t="shared" si="3"/>
        <v/>
      </c>
      <c r="O41" s="7"/>
      <c r="Q41" t="s">
        <v>47</v>
      </c>
      <c r="R41" s="7" t="str">
        <f t="shared" si="4"/>
        <v/>
      </c>
      <c r="S41" s="7"/>
      <c r="T41" s="10"/>
    </row>
    <row r="42" spans="1:20" x14ac:dyDescent="0.25">
      <c r="A42" t="s">
        <v>48</v>
      </c>
      <c r="B42" s="7" t="str">
        <f t="shared" si="0"/>
        <v/>
      </c>
      <c r="C42" s="7"/>
      <c r="E42" t="s">
        <v>48</v>
      </c>
      <c r="F42" s="7" t="str">
        <f t="shared" si="1"/>
        <v/>
      </c>
      <c r="G42" s="7"/>
      <c r="I42" t="s">
        <v>48</v>
      </c>
      <c r="J42" s="7" t="str">
        <f t="shared" si="2"/>
        <v/>
      </c>
      <c r="K42" s="7"/>
      <c r="M42" t="s">
        <v>48</v>
      </c>
      <c r="N42" s="7" t="str">
        <f t="shared" si="3"/>
        <v/>
      </c>
      <c r="O42" s="7"/>
      <c r="Q42" t="s">
        <v>48</v>
      </c>
      <c r="R42" s="7" t="str">
        <f t="shared" si="4"/>
        <v/>
      </c>
      <c r="S42" s="7"/>
      <c r="T42" s="10"/>
    </row>
    <row r="43" spans="1:20" x14ac:dyDescent="0.25">
      <c r="A43" t="s">
        <v>49</v>
      </c>
      <c r="B43" s="7" t="str">
        <f t="shared" si="0"/>
        <v/>
      </c>
      <c r="C43" s="7"/>
      <c r="E43" t="s">
        <v>49</v>
      </c>
      <c r="F43" s="7" t="str">
        <f t="shared" si="1"/>
        <v/>
      </c>
      <c r="G43" s="7"/>
      <c r="I43" t="s">
        <v>49</v>
      </c>
      <c r="J43" s="7" t="str">
        <f t="shared" si="2"/>
        <v/>
      </c>
      <c r="K43" s="7"/>
      <c r="M43" t="s">
        <v>49</v>
      </c>
      <c r="N43" s="7" t="str">
        <f t="shared" si="3"/>
        <v/>
      </c>
      <c r="O43" s="7"/>
      <c r="Q43" t="s">
        <v>49</v>
      </c>
      <c r="R43" s="7" t="str">
        <f t="shared" si="4"/>
        <v/>
      </c>
      <c r="S43" s="7"/>
      <c r="T43" s="10"/>
    </row>
    <row r="44" spans="1:20" x14ac:dyDescent="0.25">
      <c r="A44" t="s">
        <v>50</v>
      </c>
      <c r="B44" s="7" t="str">
        <f t="shared" si="0"/>
        <v/>
      </c>
      <c r="C44" s="7"/>
      <c r="E44" t="s">
        <v>50</v>
      </c>
      <c r="F44" s="7" t="str">
        <f t="shared" si="1"/>
        <v/>
      </c>
      <c r="G44" s="7"/>
      <c r="I44" t="s">
        <v>50</v>
      </c>
      <c r="J44" s="7" t="str">
        <f t="shared" si="2"/>
        <v/>
      </c>
      <c r="K44" s="7"/>
      <c r="M44" t="s">
        <v>50</v>
      </c>
      <c r="N44" s="7" t="str">
        <f t="shared" si="3"/>
        <v/>
      </c>
      <c r="O44" s="7"/>
      <c r="Q44" t="s">
        <v>50</v>
      </c>
      <c r="R44" s="7" t="str">
        <f t="shared" si="4"/>
        <v/>
      </c>
      <c r="S44" s="7"/>
      <c r="T44" s="10"/>
    </row>
    <row r="45" spans="1:20" x14ac:dyDescent="0.25">
      <c r="A45" t="s">
        <v>72</v>
      </c>
      <c r="B45" s="7" t="str">
        <f t="shared" si="0"/>
        <v/>
      </c>
      <c r="C45" s="7"/>
      <c r="E45" t="s">
        <v>72</v>
      </c>
      <c r="F45" s="7" t="str">
        <f t="shared" si="1"/>
        <v/>
      </c>
      <c r="G45" s="7"/>
      <c r="I45" t="s">
        <v>72</v>
      </c>
      <c r="J45" s="7" t="str">
        <f t="shared" si="2"/>
        <v/>
      </c>
      <c r="K45" s="7"/>
      <c r="M45" t="s">
        <v>72</v>
      </c>
      <c r="N45" s="7" t="str">
        <f t="shared" si="3"/>
        <v/>
      </c>
      <c r="O45" s="7"/>
      <c r="Q45" t="s">
        <v>72</v>
      </c>
      <c r="R45" s="7" t="str">
        <f t="shared" si="4"/>
        <v/>
      </c>
      <c r="S45" s="7"/>
      <c r="T45" s="10"/>
    </row>
    <row r="46" spans="1:20" x14ac:dyDescent="0.25">
      <c r="A46" s="14" t="s">
        <v>22</v>
      </c>
      <c r="B46" s="173">
        <f>SUM(B21:C21)</f>
        <v>78581.46920000005</v>
      </c>
      <c r="C46" s="15"/>
      <c r="E46" s="14" t="s">
        <v>22</v>
      </c>
      <c r="F46" s="173">
        <f>SUM(F21:G21)</f>
        <v>75960.486800000042</v>
      </c>
      <c r="G46" s="51"/>
      <c r="I46" s="14" t="s">
        <v>22</v>
      </c>
      <c r="J46" s="173">
        <f>SUM(J21:K21)</f>
        <v>75370.423000000039</v>
      </c>
      <c r="K46" s="15"/>
      <c r="M46" s="14" t="s">
        <v>22</v>
      </c>
      <c r="N46" s="173">
        <f>SUM(J21:O21)</f>
        <v>75370.423000000039</v>
      </c>
      <c r="O46" s="15"/>
      <c r="Q46" s="14" t="s">
        <v>22</v>
      </c>
      <c r="R46" s="173">
        <f>SUM(R21:S21)</f>
        <v>0</v>
      </c>
      <c r="S46" s="15"/>
      <c r="T46" s="10"/>
    </row>
    <row r="47" spans="1:20" x14ac:dyDescent="0.25">
      <c r="T47" s="10"/>
    </row>
    <row r="48" spans="1:20" x14ac:dyDescent="0.25">
      <c r="A48" s="21"/>
      <c r="T48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T11"/>
  <sheetViews>
    <sheetView zoomScale="85" zoomScaleNormal="85" zoomScalePageLayoutView="85" workbookViewId="0">
      <selection activeCell="B3" sqref="B2:B3"/>
    </sheetView>
  </sheetViews>
  <sheetFormatPr defaultColWidth="8.85546875" defaultRowHeight="15" x14ac:dyDescent="0.25"/>
  <cols>
    <col min="1" max="1" width="19.140625" style="10" bestFit="1" customWidth="1"/>
    <col min="2" max="2" width="14.42578125" style="10" bestFit="1" customWidth="1"/>
    <col min="3" max="3" width="12.7109375" style="10" bestFit="1" customWidth="1"/>
    <col min="4" max="4" width="3.140625" style="9" customWidth="1"/>
    <col min="5" max="5" width="19.140625" style="10" bestFit="1" customWidth="1"/>
    <col min="6" max="6" width="14.42578125" style="10" bestFit="1" customWidth="1"/>
    <col min="7" max="7" width="12.7109375" style="10" bestFit="1" customWidth="1"/>
    <col min="8" max="8" width="3.140625" style="9" customWidth="1"/>
    <col min="9" max="9" width="19.140625" style="10" bestFit="1" customWidth="1"/>
    <col min="10" max="10" width="14.42578125" style="10" bestFit="1" customWidth="1"/>
    <col min="11" max="11" width="12.7109375" style="10" bestFit="1" customWidth="1"/>
    <col min="12" max="12" width="3.140625" style="9" customWidth="1"/>
    <col min="13" max="13" width="19.140625" style="10" bestFit="1" customWidth="1"/>
    <col min="14" max="14" width="15.42578125" style="10" bestFit="1" customWidth="1"/>
    <col min="15" max="15" width="12.7109375" style="10" bestFit="1" customWidth="1"/>
    <col min="16" max="16" width="3.140625" style="9" customWidth="1"/>
    <col min="17" max="17" width="19.140625" style="10" bestFit="1" customWidth="1"/>
    <col min="18" max="18" width="13.42578125" style="10" bestFit="1" customWidth="1"/>
    <col min="19" max="19" width="12.7109375" style="10" bestFit="1" customWidth="1"/>
    <col min="20" max="20" width="3.140625" style="9" customWidth="1"/>
  </cols>
  <sheetData>
    <row r="1" spans="1:20" x14ac:dyDescent="0.25">
      <c r="A1" s="58" t="s">
        <v>16</v>
      </c>
      <c r="B1" s="4"/>
      <c r="C1" s="4"/>
      <c r="D1" s="5"/>
      <c r="E1" s="4" t="s">
        <v>17</v>
      </c>
      <c r="F1" s="4"/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0" x14ac:dyDescent="0.25">
      <c r="A2" s="8" t="s">
        <v>83</v>
      </c>
      <c r="B2" s="31"/>
      <c r="C2" s="31"/>
      <c r="E2" s="8" t="s">
        <v>83</v>
      </c>
      <c r="F2" s="31"/>
      <c r="G2" s="31"/>
      <c r="I2" s="8" t="s">
        <v>83</v>
      </c>
      <c r="J2" s="31"/>
      <c r="K2" s="31"/>
      <c r="M2" s="8" t="s">
        <v>83</v>
      </c>
      <c r="N2" s="31"/>
      <c r="O2" s="31"/>
      <c r="Q2" s="8" t="s">
        <v>83</v>
      </c>
      <c r="R2" s="31"/>
      <c r="S2" s="31"/>
    </row>
    <row r="3" spans="1:20" x14ac:dyDescent="0.25">
      <c r="A3" s="8" t="s">
        <v>84</v>
      </c>
      <c r="B3" s="31"/>
      <c r="C3" s="31"/>
      <c r="E3" s="8" t="s">
        <v>84</v>
      </c>
      <c r="F3" s="31"/>
      <c r="G3" s="31"/>
      <c r="I3" s="8" t="s">
        <v>84</v>
      </c>
      <c r="J3" s="31"/>
      <c r="K3" s="31"/>
      <c r="M3" s="8" t="s">
        <v>84</v>
      </c>
      <c r="N3" s="31"/>
      <c r="O3" s="31"/>
      <c r="Q3" s="8" t="s">
        <v>84</v>
      </c>
      <c r="R3" s="31"/>
      <c r="S3" s="31"/>
    </row>
    <row r="4" spans="1:20" x14ac:dyDescent="0.25">
      <c r="A4" s="14" t="s">
        <v>22</v>
      </c>
      <c r="B4" s="15">
        <f>SUM(B2:B3)</f>
        <v>0</v>
      </c>
      <c r="C4" s="15">
        <f>SUM(C2:C2)</f>
        <v>0</v>
      </c>
      <c r="E4" s="14" t="s">
        <v>22</v>
      </c>
      <c r="F4" s="15">
        <f>SUM(F2:F3)</f>
        <v>0</v>
      </c>
      <c r="G4" s="15">
        <f>SUM(G2:G2)</f>
        <v>0</v>
      </c>
      <c r="I4" s="12" t="s">
        <v>21</v>
      </c>
      <c r="J4" s="15">
        <f>SUM(J2:J3)</f>
        <v>0</v>
      </c>
      <c r="K4" s="15">
        <f>SUM(K2:K2)</f>
        <v>0</v>
      </c>
      <c r="M4" s="12" t="s">
        <v>21</v>
      </c>
      <c r="N4" s="15">
        <f>SUM(N2:N3)</f>
        <v>0</v>
      </c>
      <c r="O4" s="13">
        <f>SUM(O2:O2)</f>
        <v>0</v>
      </c>
      <c r="Q4" s="14" t="s">
        <v>22</v>
      </c>
      <c r="R4" s="15">
        <f>SUM(R2:R3)</f>
        <v>0</v>
      </c>
      <c r="S4" s="15">
        <f>SUM(S2:S2)</f>
        <v>0</v>
      </c>
    </row>
    <row r="6" spans="1:20" x14ac:dyDescent="0.25">
      <c r="A6" s="25" t="s">
        <v>32</v>
      </c>
      <c r="B6" s="9"/>
      <c r="C6" s="9"/>
      <c r="E6" s="9"/>
      <c r="F6" s="9"/>
      <c r="G6" s="9"/>
      <c r="I6" s="9"/>
      <c r="J6" s="9"/>
      <c r="K6" s="9"/>
      <c r="M6" s="9"/>
      <c r="N6" s="9"/>
      <c r="O6" s="9"/>
      <c r="Q6" s="9"/>
      <c r="R6" s="9"/>
      <c r="S6" s="9"/>
      <c r="T6" s="10"/>
    </row>
    <row r="7" spans="1:20" x14ac:dyDescent="0.25">
      <c r="A7" s="9"/>
      <c r="B7" s="9"/>
      <c r="C7" s="9"/>
      <c r="E7" s="9"/>
      <c r="F7" s="9"/>
      <c r="G7" s="9"/>
      <c r="I7" s="9"/>
      <c r="J7" s="9"/>
      <c r="K7" s="9"/>
      <c r="M7" s="9"/>
      <c r="N7" s="9"/>
      <c r="O7" s="9"/>
      <c r="Q7" s="9"/>
      <c r="R7" s="9"/>
      <c r="S7" s="9"/>
      <c r="T7" s="10"/>
    </row>
    <row r="8" spans="1:20" x14ac:dyDescent="0.25">
      <c r="A8" s="6"/>
      <c r="B8" s="7" t="str">
        <f>IF(B2+C2&gt;0, B2+C2, "")</f>
        <v/>
      </c>
      <c r="C8" s="7" t="str">
        <f>IFERROR(C2+(C2/B2)*#REF!, "")</f>
        <v/>
      </c>
      <c r="E8" s="6"/>
      <c r="F8" s="7" t="str">
        <f>IF(F2+G2&gt;0, F2+G2, "")</f>
        <v/>
      </c>
      <c r="G8" s="7" t="str">
        <f>IFERROR(G2+(G2/F2)*#REF!, "")</f>
        <v/>
      </c>
      <c r="I8" s="6"/>
      <c r="J8" s="7" t="str">
        <f>IF(J2+K2&gt;0, J2+K2, "")</f>
        <v/>
      </c>
      <c r="K8" s="7" t="str">
        <f>IFERROR(K2+(K2/J2)*#REF!, "")</f>
        <v/>
      </c>
      <c r="M8" s="6"/>
      <c r="N8" s="7" t="str">
        <f>IF(N2+O2&gt;0, N2+O2, "")</f>
        <v/>
      </c>
      <c r="O8" s="7" t="str">
        <f>IFERROR(O2+(O2/N2)*#REF!, "")</f>
        <v/>
      </c>
      <c r="Q8" s="6"/>
      <c r="R8" s="7" t="str">
        <f>IF(R2+S2&gt;0, R2+S2, "")</f>
        <v/>
      </c>
      <c r="S8" s="7" t="str">
        <f>IFERROR(S2+(S2/R2)*#REF!, "")</f>
        <v/>
      </c>
      <c r="T8" s="10"/>
    </row>
    <row r="9" spans="1:20" x14ac:dyDescent="0.25">
      <c r="A9" s="14" t="s">
        <v>22</v>
      </c>
      <c r="B9" s="7">
        <f>SUM(B4:C4)</f>
        <v>0</v>
      </c>
      <c r="C9" s="7" t="str">
        <f>IFERROR(C4+(C4/B4)*#REF!, "")</f>
        <v/>
      </c>
      <c r="E9" s="14" t="s">
        <v>22</v>
      </c>
      <c r="F9" s="7">
        <f>SUM(F4:G4)</f>
        <v>0</v>
      </c>
      <c r="G9" s="7" t="str">
        <f>IFERROR(G4+(G4/F4)*#REF!, "")</f>
        <v/>
      </c>
      <c r="I9" s="14" t="s">
        <v>22</v>
      </c>
      <c r="J9" s="7">
        <f>SUM(J4:K4)</f>
        <v>0</v>
      </c>
      <c r="K9" s="7" t="str">
        <f>IFERROR(K4+(K4/J4)*#REF!, "")</f>
        <v/>
      </c>
      <c r="M9" s="14" t="s">
        <v>22</v>
      </c>
      <c r="N9" s="7">
        <f>SUM(N4:O4)</f>
        <v>0</v>
      </c>
      <c r="O9" s="7" t="str">
        <f>IFERROR(O4+(O4/N4)*#REF!, "")</f>
        <v/>
      </c>
      <c r="Q9" s="14" t="s">
        <v>22</v>
      </c>
      <c r="R9" s="7">
        <f>SUM(R4:S4)</f>
        <v>0</v>
      </c>
      <c r="S9" s="7" t="str">
        <f>IFERROR(S4+(S4/R4)*#REF!, "")</f>
        <v/>
      </c>
      <c r="T9" s="10"/>
    </row>
    <row r="10" spans="1:20" x14ac:dyDescent="0.25">
      <c r="T10" s="10"/>
    </row>
    <row r="11" spans="1:20" x14ac:dyDescent="0.25">
      <c r="T11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499984740745262"/>
  </sheetPr>
  <dimension ref="A1:T78"/>
  <sheetViews>
    <sheetView workbookViewId="0">
      <selection sqref="A1:E1"/>
    </sheetView>
  </sheetViews>
  <sheetFormatPr defaultColWidth="8.85546875" defaultRowHeight="12.75" x14ac:dyDescent="0.2"/>
  <cols>
    <col min="1" max="1" width="20.7109375" style="124" bestFit="1" customWidth="1"/>
    <col min="2" max="2" width="13.5703125" style="124" bestFit="1" customWidth="1"/>
    <col min="3" max="3" width="12" style="124" bestFit="1" customWidth="1"/>
    <col min="4" max="4" width="3.140625" style="122" customWidth="1"/>
    <col min="5" max="5" width="21.42578125" style="124" bestFit="1" customWidth="1"/>
    <col min="6" max="6" width="13.5703125" style="124" bestFit="1" customWidth="1"/>
    <col min="7" max="7" width="12" style="124" bestFit="1" customWidth="1"/>
    <col min="8" max="8" width="3.140625" style="122" customWidth="1"/>
    <col min="9" max="9" width="20.7109375" style="124" bestFit="1" customWidth="1"/>
    <col min="10" max="10" width="15" style="124" bestFit="1" customWidth="1"/>
    <col min="11" max="11" width="13.28515625" style="124" customWidth="1"/>
    <col min="12" max="12" width="3.140625" style="122" customWidth="1"/>
    <col min="13" max="13" width="20.42578125" style="124" customWidth="1"/>
    <col min="14" max="14" width="13.42578125" style="124" bestFit="1" customWidth="1"/>
    <col min="15" max="15" width="12.42578125" style="124" bestFit="1" customWidth="1"/>
    <col min="16" max="16" width="3.140625" style="122" customWidth="1"/>
    <col min="17" max="17" width="19.140625" style="124" bestFit="1" customWidth="1"/>
    <col min="18" max="18" width="13.42578125" style="124" bestFit="1" customWidth="1"/>
    <col min="19" max="19" width="12" style="124" bestFit="1" customWidth="1"/>
    <col min="20" max="20" width="3.140625" style="122" customWidth="1"/>
    <col min="21" max="21" width="13.28515625" customWidth="1"/>
    <col min="25" max="25" width="10.85546875" bestFit="1" customWidth="1"/>
  </cols>
  <sheetData>
    <row r="1" spans="1:20" x14ac:dyDescent="0.2">
      <c r="A1" s="119" t="s">
        <v>16</v>
      </c>
      <c r="B1" s="119" t="s">
        <v>911</v>
      </c>
      <c r="C1" s="119"/>
      <c r="D1" s="120"/>
      <c r="E1" s="119" t="s">
        <v>17</v>
      </c>
      <c r="F1" s="119" t="s">
        <v>911</v>
      </c>
      <c r="G1" s="119"/>
      <c r="H1" s="120"/>
      <c r="I1" s="119" t="s">
        <v>18</v>
      </c>
      <c r="J1" s="119" t="s">
        <v>911</v>
      </c>
      <c r="K1" s="119"/>
      <c r="L1" s="120"/>
      <c r="M1" s="119" t="s">
        <v>19</v>
      </c>
      <c r="N1" s="119" t="s">
        <v>911</v>
      </c>
      <c r="O1" s="119"/>
      <c r="P1" s="120"/>
      <c r="Q1" s="119" t="s">
        <v>20</v>
      </c>
      <c r="R1" s="119" t="s">
        <v>912</v>
      </c>
      <c r="S1" s="119"/>
      <c r="T1" s="120"/>
    </row>
    <row r="2" spans="1:20" x14ac:dyDescent="0.2">
      <c r="A2" s="57"/>
      <c r="B2" s="216"/>
      <c r="C2" s="216"/>
      <c r="D2" s="120"/>
      <c r="E2" s="57"/>
      <c r="F2" s="216"/>
      <c r="G2" s="216"/>
      <c r="H2" s="120"/>
      <c r="I2" s="57"/>
      <c r="J2" s="216"/>
      <c r="K2" s="216"/>
      <c r="L2" s="120"/>
      <c r="M2" s="57"/>
      <c r="N2" s="216"/>
      <c r="O2" s="216"/>
      <c r="P2" s="120"/>
      <c r="Q2" s="57"/>
      <c r="R2" s="216"/>
      <c r="S2" s="216"/>
      <c r="T2" s="120"/>
    </row>
    <row r="3" spans="1:20" x14ac:dyDescent="0.2">
      <c r="A3" s="57"/>
      <c r="B3" s="216"/>
      <c r="C3" s="216"/>
      <c r="D3" s="120"/>
      <c r="E3" s="57"/>
      <c r="F3" s="216"/>
      <c r="G3" s="216"/>
      <c r="H3" s="120"/>
      <c r="I3" s="57"/>
      <c r="J3" s="216"/>
      <c r="K3" s="216"/>
      <c r="L3" s="120"/>
      <c r="M3" s="57"/>
      <c r="N3" s="216"/>
      <c r="O3" s="216"/>
      <c r="P3" s="120"/>
      <c r="Q3" s="57"/>
      <c r="R3" s="216"/>
      <c r="S3" s="216"/>
      <c r="T3" s="120"/>
    </row>
    <row r="4" spans="1:20" x14ac:dyDescent="0.2">
      <c r="A4" s="121"/>
      <c r="B4" s="216"/>
      <c r="C4" s="216"/>
      <c r="E4" s="121"/>
      <c r="F4" s="216"/>
      <c r="G4" s="216"/>
      <c r="I4" s="121"/>
      <c r="J4" s="216"/>
      <c r="K4" s="216"/>
      <c r="M4" s="121"/>
      <c r="N4" s="216"/>
      <c r="O4" s="216"/>
      <c r="Q4" s="121"/>
      <c r="R4" s="216"/>
      <c r="S4" s="216"/>
    </row>
    <row r="5" spans="1:20" x14ac:dyDescent="0.2">
      <c r="A5" s="121"/>
      <c r="B5" s="216"/>
      <c r="C5" s="216"/>
      <c r="E5" s="121"/>
      <c r="F5" s="216"/>
      <c r="G5" s="216"/>
      <c r="I5" s="121"/>
      <c r="J5" s="216"/>
      <c r="K5" s="216"/>
      <c r="M5" s="121"/>
      <c r="N5" s="216"/>
      <c r="O5" s="216"/>
      <c r="Q5" s="121"/>
      <c r="R5" s="216"/>
      <c r="S5" s="216"/>
    </row>
    <row r="6" spans="1:20" x14ac:dyDescent="0.2">
      <c r="A6" s="121"/>
      <c r="B6" s="216"/>
      <c r="C6" s="216"/>
      <c r="E6" s="121"/>
      <c r="F6" s="216"/>
      <c r="G6" s="216"/>
      <c r="I6" s="121"/>
      <c r="J6" s="216"/>
      <c r="K6" s="216"/>
      <c r="M6" s="121"/>
      <c r="N6" s="216"/>
      <c r="O6" s="216"/>
      <c r="Q6" s="121"/>
      <c r="R6" s="216"/>
      <c r="S6" s="216"/>
    </row>
    <row r="7" spans="1:20" x14ac:dyDescent="0.2">
      <c r="A7" s="57"/>
      <c r="B7" s="216"/>
      <c r="C7" s="216"/>
      <c r="E7" s="57"/>
      <c r="F7" s="216"/>
      <c r="G7" s="216"/>
      <c r="I7" s="57"/>
      <c r="J7" s="216"/>
      <c r="K7" s="216"/>
      <c r="M7" s="57"/>
      <c r="N7" s="216"/>
      <c r="O7" s="216"/>
      <c r="Q7" s="57"/>
      <c r="R7" s="216"/>
      <c r="S7" s="216"/>
    </row>
    <row r="8" spans="1:20" x14ac:dyDescent="0.2">
      <c r="A8" s="121"/>
      <c r="B8" s="216"/>
      <c r="C8" s="216"/>
      <c r="E8" s="121"/>
      <c r="F8" s="216"/>
      <c r="G8" s="216"/>
      <c r="I8" s="121"/>
      <c r="J8" s="216"/>
      <c r="K8" s="216"/>
      <c r="M8" s="121"/>
      <c r="N8" s="216"/>
      <c r="O8" s="216"/>
      <c r="Q8" s="121"/>
      <c r="R8" s="216"/>
      <c r="S8" s="216"/>
    </row>
    <row r="9" spans="1:20" x14ac:dyDescent="0.2">
      <c r="A9" s="121"/>
      <c r="B9" s="216"/>
      <c r="C9" s="216"/>
      <c r="E9" s="121"/>
      <c r="F9" s="216"/>
      <c r="G9" s="216"/>
      <c r="I9" s="121"/>
      <c r="J9" s="216"/>
      <c r="K9" s="216"/>
      <c r="M9" s="121"/>
      <c r="N9" s="216"/>
      <c r="O9" s="216"/>
      <c r="Q9" s="121"/>
      <c r="R9" s="216"/>
      <c r="S9" s="216"/>
    </row>
    <row r="10" spans="1:20" x14ac:dyDescent="0.2">
      <c r="A10" s="121"/>
      <c r="B10" s="216"/>
      <c r="C10" s="216"/>
      <c r="E10" s="121"/>
      <c r="F10" s="216"/>
      <c r="G10" s="216"/>
      <c r="I10" s="121"/>
      <c r="J10" s="216"/>
      <c r="K10" s="216"/>
      <c r="M10" s="121"/>
      <c r="N10" s="216"/>
      <c r="O10" s="216"/>
      <c r="Q10" s="121"/>
      <c r="R10" s="216"/>
      <c r="S10" s="216"/>
    </row>
    <row r="11" spans="1:20" x14ac:dyDescent="0.2">
      <c r="A11" s="57"/>
      <c r="B11" s="216"/>
      <c r="C11" s="216"/>
      <c r="E11" s="57"/>
      <c r="F11" s="216"/>
      <c r="G11" s="216"/>
      <c r="I11" s="57"/>
      <c r="J11" s="216"/>
      <c r="K11" s="216"/>
      <c r="M11" s="57"/>
      <c r="N11" s="216"/>
      <c r="O11" s="216"/>
      <c r="Q11" s="57"/>
      <c r="R11" s="216"/>
      <c r="S11" s="216"/>
    </row>
    <row r="12" spans="1:20" x14ac:dyDescent="0.2">
      <c r="A12" s="57"/>
      <c r="B12" s="216"/>
      <c r="C12" s="216"/>
      <c r="E12" s="57"/>
      <c r="F12" s="216"/>
      <c r="G12" s="216"/>
      <c r="I12" s="57"/>
      <c r="J12" s="216"/>
      <c r="K12" s="216"/>
      <c r="M12" s="57"/>
      <c r="N12" s="216"/>
      <c r="O12" s="216"/>
      <c r="Q12" s="57"/>
      <c r="R12" s="216"/>
      <c r="S12" s="216"/>
    </row>
    <row r="13" spans="1:20" x14ac:dyDescent="0.2">
      <c r="A13" s="121"/>
      <c r="B13" s="216"/>
      <c r="C13" s="216"/>
      <c r="E13" s="121"/>
      <c r="F13" s="216"/>
      <c r="G13" s="216"/>
      <c r="I13" s="121"/>
      <c r="J13" s="216"/>
      <c r="K13" s="216"/>
      <c r="M13" s="121"/>
      <c r="N13" s="216"/>
      <c r="O13" s="216"/>
      <c r="Q13" s="121"/>
      <c r="R13" s="216"/>
      <c r="S13" s="216"/>
    </row>
    <row r="14" spans="1:20" x14ac:dyDescent="0.2">
      <c r="A14" s="57"/>
      <c r="B14" s="216"/>
      <c r="C14" s="216"/>
      <c r="E14" s="57"/>
      <c r="F14" s="216"/>
      <c r="G14" s="216"/>
      <c r="I14" s="57"/>
      <c r="J14" s="216"/>
      <c r="K14" s="216"/>
      <c r="M14" s="57"/>
      <c r="N14" s="216"/>
      <c r="O14" s="216"/>
      <c r="Q14" s="57"/>
      <c r="R14" s="216"/>
      <c r="S14" s="216"/>
    </row>
    <row r="15" spans="1:20" x14ac:dyDescent="0.2">
      <c r="A15" s="57"/>
      <c r="B15" s="216"/>
      <c r="C15" s="216"/>
      <c r="E15" s="57"/>
      <c r="F15" s="216"/>
      <c r="G15" s="216"/>
      <c r="I15" s="57"/>
      <c r="J15" s="216"/>
      <c r="K15" s="216"/>
      <c r="M15" s="57"/>
      <c r="N15" s="216"/>
      <c r="O15" s="216"/>
      <c r="Q15" s="57"/>
      <c r="R15" s="216"/>
      <c r="S15" s="216"/>
    </row>
    <row r="16" spans="1:20" x14ac:dyDescent="0.2">
      <c r="A16" s="121"/>
      <c r="B16" s="216"/>
      <c r="C16" s="216"/>
      <c r="E16" s="121"/>
      <c r="F16" s="216"/>
      <c r="G16" s="216"/>
      <c r="I16" s="121"/>
      <c r="J16" s="216"/>
      <c r="K16" s="216"/>
      <c r="M16" s="121"/>
      <c r="N16" s="216"/>
      <c r="O16" s="216"/>
      <c r="Q16" s="121"/>
      <c r="R16" s="216"/>
      <c r="S16" s="216"/>
    </row>
    <row r="17" spans="1:20" x14ac:dyDescent="0.2">
      <c r="A17" s="57"/>
      <c r="B17" s="216"/>
      <c r="C17" s="216"/>
      <c r="E17" s="57"/>
      <c r="F17" s="216"/>
      <c r="G17" s="216"/>
      <c r="I17" s="57"/>
      <c r="J17" s="216"/>
      <c r="K17" s="216"/>
      <c r="M17" s="57"/>
      <c r="N17" s="216"/>
      <c r="O17" s="216"/>
      <c r="Q17" s="57"/>
      <c r="R17" s="216"/>
      <c r="S17" s="216"/>
    </row>
    <row r="18" spans="1:20" x14ac:dyDescent="0.2">
      <c r="A18"/>
      <c r="B18" s="216"/>
      <c r="C18" s="216"/>
      <c r="E18"/>
      <c r="F18" s="216"/>
      <c r="G18" s="216"/>
      <c r="I18"/>
      <c r="J18" s="216"/>
      <c r="K18" s="216"/>
      <c r="M18"/>
      <c r="N18" s="216"/>
      <c r="O18" s="216"/>
      <c r="Q18"/>
      <c r="R18" s="216"/>
      <c r="S18" s="216"/>
    </row>
    <row r="19" spans="1:20" x14ac:dyDescent="0.2">
      <c r="A19"/>
      <c r="B19" s="216"/>
      <c r="C19" s="216"/>
      <c r="E19"/>
      <c r="F19" s="216"/>
      <c r="G19" s="216"/>
      <c r="I19"/>
      <c r="J19" s="216"/>
      <c r="K19" s="216"/>
      <c r="M19"/>
      <c r="N19" s="216"/>
      <c r="O19" s="216"/>
      <c r="Q19"/>
      <c r="R19" s="216"/>
      <c r="S19" s="216"/>
    </row>
    <row r="20" spans="1:20" x14ac:dyDescent="0.2">
      <c r="A20"/>
      <c r="B20" s="216"/>
      <c r="C20" s="216"/>
      <c r="E20"/>
      <c r="F20" s="216"/>
      <c r="G20" s="216"/>
      <c r="I20"/>
      <c r="J20" s="216"/>
      <c r="K20" s="216"/>
      <c r="M20"/>
      <c r="N20" s="216"/>
      <c r="O20" s="216"/>
      <c r="Q20"/>
      <c r="R20" s="216"/>
      <c r="S20" s="216"/>
    </row>
    <row r="21" spans="1:20" x14ac:dyDescent="0.2">
      <c r="A21"/>
      <c r="B21" s="216"/>
      <c r="C21" s="216"/>
      <c r="E21"/>
      <c r="F21" s="216"/>
      <c r="G21" s="216"/>
      <c r="I21"/>
      <c r="J21" s="216"/>
      <c r="K21" s="216"/>
      <c r="M21"/>
      <c r="N21" s="216"/>
      <c r="O21" s="216"/>
      <c r="Q21"/>
      <c r="R21" s="216"/>
      <c r="S21" s="216"/>
    </row>
    <row r="22" spans="1:20" x14ac:dyDescent="0.2">
      <c r="A22" s="121"/>
      <c r="B22" s="216"/>
      <c r="C22" s="216"/>
      <c r="D22" s="123"/>
      <c r="E22" s="121"/>
      <c r="F22" s="216"/>
      <c r="G22" s="216"/>
      <c r="H22" s="123"/>
      <c r="I22" s="121"/>
      <c r="J22" s="216"/>
      <c r="K22" s="216"/>
      <c r="L22" s="123"/>
      <c r="M22" s="121"/>
      <c r="N22" s="216"/>
      <c r="O22" s="216"/>
      <c r="P22" s="123"/>
      <c r="Q22" s="121"/>
      <c r="R22" s="216"/>
      <c r="S22" s="216"/>
      <c r="T22" s="123"/>
    </row>
    <row r="23" spans="1:20" x14ac:dyDescent="0.2">
      <c r="A23" s="57"/>
      <c r="B23" s="216"/>
      <c r="C23" s="216"/>
      <c r="D23" s="123"/>
      <c r="E23" s="57"/>
      <c r="F23" s="216"/>
      <c r="G23" s="216"/>
      <c r="H23" s="123"/>
      <c r="I23" s="57"/>
      <c r="J23" s="216"/>
      <c r="K23" s="216"/>
      <c r="L23" s="123"/>
      <c r="M23" s="57"/>
      <c r="N23" s="216"/>
      <c r="O23" s="216"/>
      <c r="P23" s="123"/>
      <c r="Q23" s="57"/>
      <c r="R23" s="216"/>
      <c r="S23" s="216"/>
      <c r="T23" s="123"/>
    </row>
    <row r="24" spans="1:20" x14ac:dyDescent="0.2">
      <c r="A24" s="121"/>
      <c r="B24" s="216"/>
      <c r="C24" s="216"/>
      <c r="E24" s="121"/>
      <c r="F24" s="216"/>
      <c r="G24" s="216"/>
      <c r="I24" s="121"/>
      <c r="J24" s="216"/>
      <c r="K24" s="216"/>
      <c r="M24" s="121"/>
      <c r="N24" s="216"/>
      <c r="O24" s="216"/>
      <c r="Q24" s="121"/>
      <c r="R24" s="216"/>
      <c r="S24" s="216"/>
    </row>
    <row r="25" spans="1:20" x14ac:dyDescent="0.2">
      <c r="A25" s="57"/>
      <c r="B25" s="216"/>
      <c r="C25" s="216"/>
      <c r="E25" s="57"/>
      <c r="F25" s="216"/>
      <c r="G25" s="216"/>
      <c r="I25" s="57"/>
      <c r="J25" s="216"/>
      <c r="K25" s="216"/>
      <c r="M25" s="57"/>
      <c r="N25" s="216"/>
      <c r="O25" s="216"/>
      <c r="Q25" s="57"/>
      <c r="R25" s="216"/>
      <c r="S25" s="216"/>
    </row>
    <row r="26" spans="1:20" x14ac:dyDescent="0.2">
      <c r="A26" s="57"/>
      <c r="B26" s="216"/>
      <c r="C26" s="216"/>
      <c r="E26" s="57"/>
      <c r="F26" s="216"/>
      <c r="G26" s="216"/>
      <c r="I26" s="57"/>
      <c r="J26" s="216"/>
      <c r="K26" s="216"/>
      <c r="M26" s="57"/>
      <c r="N26" s="216"/>
      <c r="O26" s="216"/>
      <c r="Q26" s="57"/>
      <c r="R26" s="216"/>
      <c r="S26" s="216"/>
    </row>
    <row r="27" spans="1:20" x14ac:dyDescent="0.2">
      <c r="A27" s="57"/>
      <c r="B27" s="216"/>
      <c r="C27" s="216"/>
      <c r="E27" s="57"/>
      <c r="F27" s="216"/>
      <c r="G27" s="216"/>
      <c r="I27" s="57"/>
      <c r="J27" s="216"/>
      <c r="K27" s="216"/>
      <c r="M27" s="57"/>
      <c r="N27" s="216"/>
      <c r="O27" s="216"/>
      <c r="Q27" s="57"/>
      <c r="R27" s="216"/>
      <c r="S27" s="216"/>
    </row>
    <row r="28" spans="1:20" x14ac:dyDescent="0.2">
      <c r="A28" s="121"/>
      <c r="B28" s="216"/>
      <c r="C28" s="216"/>
      <c r="E28" s="121"/>
      <c r="F28" s="216"/>
      <c r="G28" s="216"/>
      <c r="I28" s="121"/>
      <c r="J28" s="216"/>
      <c r="K28" s="216"/>
      <c r="M28" s="121"/>
      <c r="N28" s="216"/>
      <c r="O28" s="216"/>
      <c r="Q28" s="121"/>
      <c r="R28" s="216"/>
      <c r="S28" s="216"/>
      <c r="T28" s="124"/>
    </row>
    <row r="29" spans="1:20" x14ac:dyDescent="0.2">
      <c r="A29" s="121"/>
      <c r="B29" s="216"/>
      <c r="C29" s="216"/>
      <c r="E29" s="121"/>
      <c r="F29" s="216"/>
      <c r="G29" s="216"/>
      <c r="I29" s="121"/>
      <c r="J29" s="216"/>
      <c r="K29" s="216"/>
      <c r="M29" s="121"/>
      <c r="N29" s="216"/>
      <c r="O29" s="216"/>
      <c r="Q29" s="121"/>
      <c r="R29" s="216"/>
      <c r="S29" s="216"/>
    </row>
    <row r="30" spans="1:20" x14ac:dyDescent="0.2">
      <c r="A30" s="121"/>
      <c r="B30" s="216"/>
      <c r="C30" s="216"/>
      <c r="E30" s="121"/>
      <c r="F30" s="216"/>
      <c r="G30" s="216"/>
      <c r="I30" s="121"/>
      <c r="J30" s="216"/>
      <c r="K30" s="216"/>
      <c r="M30" s="121"/>
      <c r="N30" s="216"/>
      <c r="O30" s="216"/>
      <c r="Q30" s="121"/>
      <c r="R30" s="216"/>
      <c r="S30" s="216"/>
    </row>
    <row r="31" spans="1:20" x14ac:dyDescent="0.2">
      <c r="A31" s="57" t="s">
        <v>916</v>
      </c>
      <c r="B31" s="216">
        <v>553062.25850000011</v>
      </c>
      <c r="C31" s="216"/>
      <c r="E31" s="57" t="s">
        <v>916</v>
      </c>
      <c r="F31" s="544">
        <v>548345.74763999996</v>
      </c>
      <c r="G31" s="216"/>
      <c r="I31" s="57" t="s">
        <v>916</v>
      </c>
      <c r="J31" s="544">
        <v>542690.95846999995</v>
      </c>
      <c r="K31" s="216"/>
      <c r="M31" s="57" t="s">
        <v>916</v>
      </c>
      <c r="N31" s="216"/>
      <c r="O31" s="498" t="e">
        <f>N31/$N$34</f>
        <v>#DIV/0!</v>
      </c>
      <c r="Q31" s="121"/>
      <c r="R31" s="216"/>
      <c r="S31" s="216"/>
    </row>
    <row r="32" spans="1:20" x14ac:dyDescent="0.2">
      <c r="A32" s="121" t="s">
        <v>113</v>
      </c>
      <c r="B32" s="539">
        <v>284759.35648000007</v>
      </c>
      <c r="C32" s="216"/>
      <c r="E32" s="121" t="s">
        <v>113</v>
      </c>
      <c r="F32" s="544">
        <v>295759.04558000009</v>
      </c>
      <c r="G32" s="216"/>
      <c r="I32" s="121" t="s">
        <v>113</v>
      </c>
      <c r="J32" s="544">
        <v>297178.35236000002</v>
      </c>
      <c r="K32" s="216"/>
      <c r="M32" s="121" t="s">
        <v>113</v>
      </c>
      <c r="N32" s="163"/>
      <c r="O32" s="498" t="e">
        <f>N32/$N$34</f>
        <v>#DIV/0!</v>
      </c>
      <c r="Q32" s="121" t="s">
        <v>113</v>
      </c>
      <c r="R32" s="216"/>
      <c r="S32" s="216"/>
    </row>
    <row r="33" spans="1:20" x14ac:dyDescent="0.2">
      <c r="A33" s="125"/>
      <c r="B33" s="126"/>
      <c r="C33" s="126"/>
      <c r="E33" s="125"/>
      <c r="F33" s="126"/>
      <c r="G33" s="126"/>
      <c r="I33" s="125"/>
      <c r="J33" s="126"/>
      <c r="K33" s="126"/>
      <c r="M33" s="125"/>
      <c r="N33" s="126"/>
      <c r="O33" s="126"/>
      <c r="T33" s="124"/>
    </row>
    <row r="34" spans="1:20" x14ac:dyDescent="0.2">
      <c r="A34" s="127" t="s">
        <v>22</v>
      </c>
      <c r="B34" s="128">
        <f>SUM(B4:B33)</f>
        <v>837821.61498000019</v>
      </c>
      <c r="C34" s="128">
        <f>SUM(C4:C33)</f>
        <v>0</v>
      </c>
      <c r="E34" s="127" t="s">
        <v>22</v>
      </c>
      <c r="F34" s="128">
        <f>SUM(F2:F33)</f>
        <v>844104.79322000011</v>
      </c>
      <c r="G34" s="128">
        <f>SUM(G2:G33)</f>
        <v>0</v>
      </c>
      <c r="I34" s="129" t="s">
        <v>21</v>
      </c>
      <c r="J34" s="217">
        <f>SUM(J2:J33)</f>
        <v>839869.31082999997</v>
      </c>
      <c r="K34" s="217"/>
      <c r="M34" s="129" t="s">
        <v>21</v>
      </c>
      <c r="N34" s="497">
        <f>SUM(N31:N32)</f>
        <v>0</v>
      </c>
      <c r="O34" s="128"/>
      <c r="Q34" s="129" t="s">
        <v>21</v>
      </c>
      <c r="R34" s="128">
        <f>SUM(R2:R33)</f>
        <v>0</v>
      </c>
      <c r="S34" s="128">
        <f>SUM(S2:S33)</f>
        <v>0</v>
      </c>
      <c r="T34" s="124"/>
    </row>
    <row r="36" spans="1:20" x14ac:dyDescent="0.2">
      <c r="A36" s="130"/>
      <c r="B36" s="131"/>
      <c r="C36" s="131"/>
      <c r="E36" s="130"/>
      <c r="F36" s="131"/>
      <c r="G36" s="131"/>
      <c r="I36" s="130"/>
      <c r="J36" s="131"/>
      <c r="K36" s="131"/>
      <c r="M36" s="130"/>
      <c r="N36" s="131"/>
      <c r="O36" s="131"/>
      <c r="Q36" s="130"/>
      <c r="R36" s="131"/>
      <c r="S36" s="131"/>
      <c r="T36" s="132"/>
    </row>
    <row r="37" spans="1:20" x14ac:dyDescent="0.2">
      <c r="Q37" s="133"/>
      <c r="R37" s="134"/>
      <c r="S37" s="134"/>
    </row>
    <row r="39" spans="1:20" x14ac:dyDescent="0.2">
      <c r="A39" s="135" t="s">
        <v>32</v>
      </c>
      <c r="B39" s="122"/>
      <c r="C39" s="122"/>
      <c r="E39" s="122"/>
      <c r="F39" s="122"/>
      <c r="G39" s="122"/>
      <c r="I39" s="122"/>
      <c r="J39" s="122"/>
      <c r="K39" s="122"/>
      <c r="M39" s="122"/>
      <c r="N39" s="122"/>
      <c r="O39" s="122"/>
      <c r="Q39" s="122"/>
      <c r="R39" s="122"/>
      <c r="S39" s="122"/>
      <c r="T39" s="124"/>
    </row>
    <row r="40" spans="1:20" x14ac:dyDescent="0.2">
      <c r="A40" s="122"/>
      <c r="B40" s="122"/>
      <c r="C40" s="122"/>
      <c r="E40" s="122"/>
      <c r="F40" s="122"/>
      <c r="G40" s="122"/>
      <c r="I40" s="122"/>
      <c r="J40" s="122"/>
      <c r="K40" s="122"/>
      <c r="M40" s="122"/>
      <c r="N40" s="122"/>
      <c r="O40" s="122"/>
      <c r="Q40" s="122"/>
      <c r="R40" s="122"/>
      <c r="S40" s="122"/>
      <c r="T40" s="124"/>
    </row>
    <row r="41" spans="1:20" x14ac:dyDescent="0.2">
      <c r="A41" s="57" t="s">
        <v>120</v>
      </c>
      <c r="B41" s="126" t="str">
        <f>IF(B2+C2&gt;0, B2+C2, "")</f>
        <v/>
      </c>
      <c r="C41" s="132"/>
      <c r="E41" s="57" t="s">
        <v>120</v>
      </c>
      <c r="F41" s="126" t="str">
        <f t="shared" ref="F41:F71" si="0">IF(F2+G2&gt;0, F2+G2, "")</f>
        <v/>
      </c>
      <c r="G41" s="132"/>
      <c r="I41" s="57" t="s">
        <v>120</v>
      </c>
      <c r="J41" s="126" t="str">
        <f>IF(J2+K2&gt;0, J2+K2, "")</f>
        <v/>
      </c>
      <c r="K41" s="132"/>
      <c r="M41" s="57"/>
      <c r="N41" s="126" t="str">
        <f t="shared" ref="N41:N69" si="1">IF(N2+O2&gt;0, N2+O2, "")</f>
        <v/>
      </c>
      <c r="O41" s="132"/>
      <c r="Q41" s="57" t="s">
        <v>120</v>
      </c>
      <c r="R41" s="126" t="str">
        <f>IF(R2+S2&gt;0, R2+S2, "")</f>
        <v/>
      </c>
      <c r="S41" s="132"/>
      <c r="T41" s="124"/>
    </row>
    <row r="42" spans="1:20" x14ac:dyDescent="0.2">
      <c r="A42" s="57" t="s">
        <v>722</v>
      </c>
      <c r="B42" s="126" t="str">
        <f>IF(B3+C3&gt;0, B3+C3, "")</f>
        <v/>
      </c>
      <c r="C42" s="132"/>
      <c r="E42" s="57" t="s">
        <v>722</v>
      </c>
      <c r="F42" s="126" t="str">
        <f t="shared" si="0"/>
        <v/>
      </c>
      <c r="G42" s="132"/>
      <c r="I42" s="57" t="s">
        <v>722</v>
      </c>
      <c r="J42" s="126" t="str">
        <f t="shared" ref="J42:J71" si="2">IF(J3+K3&gt;0, J3+K3, "")</f>
        <v/>
      </c>
      <c r="K42" s="132"/>
      <c r="M42" s="57"/>
      <c r="N42" s="126" t="str">
        <f t="shared" si="1"/>
        <v/>
      </c>
      <c r="O42" s="132"/>
      <c r="Q42" s="57" t="s">
        <v>722</v>
      </c>
      <c r="R42" s="126" t="str">
        <f>IF(R3+S3&gt;0, R3+S3, "")</f>
        <v/>
      </c>
      <c r="S42" s="132"/>
      <c r="T42" s="124"/>
    </row>
    <row r="43" spans="1:20" x14ac:dyDescent="0.2">
      <c r="A43" s="121" t="s">
        <v>101</v>
      </c>
      <c r="B43" s="126" t="str">
        <f>IF(B4+C4&gt;0, B4+C4, "")</f>
        <v/>
      </c>
      <c r="C43" s="126"/>
      <c r="E43" s="121" t="s">
        <v>101</v>
      </c>
      <c r="F43" s="126" t="str">
        <f t="shared" si="0"/>
        <v/>
      </c>
      <c r="G43" s="126"/>
      <c r="I43" s="121" t="s">
        <v>101</v>
      </c>
      <c r="J43" s="126" t="str">
        <f t="shared" si="2"/>
        <v/>
      </c>
      <c r="K43" s="126"/>
      <c r="M43" s="121"/>
      <c r="N43" s="126" t="str">
        <f t="shared" si="1"/>
        <v/>
      </c>
      <c r="O43" s="126"/>
      <c r="Q43" s="121" t="s">
        <v>101</v>
      </c>
      <c r="R43" s="126" t="str">
        <f>IF(R4+S4&gt;0, R4+S4, "")</f>
        <v/>
      </c>
      <c r="S43" s="126"/>
      <c r="T43" s="124"/>
    </row>
    <row r="44" spans="1:20" x14ac:dyDescent="0.2">
      <c r="A44" s="121" t="s">
        <v>102</v>
      </c>
      <c r="B44" s="126" t="str">
        <f>IF(B5+C5&gt;0, B5+C5, "")</f>
        <v/>
      </c>
      <c r="C44" s="126"/>
      <c r="E44" s="121" t="s">
        <v>102</v>
      </c>
      <c r="F44" s="126" t="str">
        <f t="shared" si="0"/>
        <v/>
      </c>
      <c r="G44" s="126"/>
      <c r="I44" s="121" t="s">
        <v>102</v>
      </c>
      <c r="J44" s="126" t="str">
        <f t="shared" si="2"/>
        <v/>
      </c>
      <c r="K44" s="126"/>
      <c r="M44" s="121"/>
      <c r="N44" s="126" t="str">
        <f t="shared" si="1"/>
        <v/>
      </c>
      <c r="O44" s="126"/>
      <c r="Q44" s="121" t="s">
        <v>102</v>
      </c>
      <c r="R44" s="126" t="str">
        <f>IF(R5+S5&gt;0, R5+S5, "")</f>
        <v/>
      </c>
      <c r="S44" s="126"/>
      <c r="T44" s="124"/>
    </row>
    <row r="45" spans="1:20" x14ac:dyDescent="0.2">
      <c r="A45" s="121" t="s">
        <v>103</v>
      </c>
      <c r="B45" s="126" t="str">
        <f>IF(B6+C6&gt;0, B6+C6, "")</f>
        <v/>
      </c>
      <c r="C45" s="126"/>
      <c r="E45" s="121" t="s">
        <v>103</v>
      </c>
      <c r="F45" s="126" t="str">
        <f t="shared" si="0"/>
        <v/>
      </c>
      <c r="G45" s="126"/>
      <c r="I45" s="121" t="s">
        <v>103</v>
      </c>
      <c r="J45" s="126" t="str">
        <f t="shared" si="2"/>
        <v/>
      </c>
      <c r="K45" s="126"/>
      <c r="M45" s="121"/>
      <c r="N45" s="126" t="str">
        <f t="shared" si="1"/>
        <v/>
      </c>
      <c r="O45" s="126"/>
      <c r="Q45" s="121" t="s">
        <v>103</v>
      </c>
      <c r="R45" s="126" t="str">
        <f>IF(R6+S6&gt;0, R6+S6, "")</f>
        <v/>
      </c>
      <c r="S45" s="126"/>
      <c r="T45" s="124"/>
    </row>
    <row r="46" spans="1:20" x14ac:dyDescent="0.2">
      <c r="A46" s="57" t="s">
        <v>714</v>
      </c>
      <c r="B46" s="126" t="str">
        <f t="shared" ref="B46:B71" si="3">IF(B7+C7&gt;0, B7+C7, "")</f>
        <v/>
      </c>
      <c r="C46" s="126"/>
      <c r="E46" s="57" t="s">
        <v>714</v>
      </c>
      <c r="F46" s="126" t="str">
        <f t="shared" si="0"/>
        <v/>
      </c>
      <c r="G46" s="126"/>
      <c r="I46" s="57" t="s">
        <v>714</v>
      </c>
      <c r="J46" s="126" t="str">
        <f t="shared" si="2"/>
        <v/>
      </c>
      <c r="K46" s="126"/>
      <c r="M46" s="57"/>
      <c r="N46" s="126" t="str">
        <f t="shared" si="1"/>
        <v/>
      </c>
      <c r="O46" s="126"/>
      <c r="Q46" s="57" t="s">
        <v>714</v>
      </c>
      <c r="R46" s="126" t="str">
        <f t="shared" ref="R46:R71" si="4">IF(R7+S7&gt;0, R7+S7, "")</f>
        <v/>
      </c>
      <c r="S46" s="126"/>
      <c r="T46" s="124"/>
    </row>
    <row r="47" spans="1:20" x14ac:dyDescent="0.2">
      <c r="A47" s="121" t="s">
        <v>104</v>
      </c>
      <c r="B47" s="126" t="str">
        <f t="shared" si="3"/>
        <v/>
      </c>
      <c r="C47" s="126"/>
      <c r="E47" s="121" t="s">
        <v>104</v>
      </c>
      <c r="F47" s="126" t="str">
        <f t="shared" si="0"/>
        <v/>
      </c>
      <c r="G47" s="126"/>
      <c r="I47" s="121" t="s">
        <v>104</v>
      </c>
      <c r="J47" s="126" t="str">
        <f t="shared" si="2"/>
        <v/>
      </c>
      <c r="K47" s="126"/>
      <c r="M47" s="121"/>
      <c r="N47" s="126" t="str">
        <f t="shared" si="1"/>
        <v/>
      </c>
      <c r="O47" s="126"/>
      <c r="Q47" s="121" t="s">
        <v>104</v>
      </c>
      <c r="R47" s="126" t="str">
        <f t="shared" si="4"/>
        <v/>
      </c>
      <c r="S47" s="126"/>
      <c r="T47" s="124"/>
    </row>
    <row r="48" spans="1:20" x14ac:dyDescent="0.2">
      <c r="A48" s="121" t="s">
        <v>105</v>
      </c>
      <c r="B48" s="126" t="str">
        <f t="shared" si="3"/>
        <v/>
      </c>
      <c r="C48" s="126"/>
      <c r="E48" s="121" t="s">
        <v>105</v>
      </c>
      <c r="F48" s="126" t="str">
        <f t="shared" si="0"/>
        <v/>
      </c>
      <c r="G48" s="126"/>
      <c r="I48" s="121" t="s">
        <v>105</v>
      </c>
      <c r="J48" s="126" t="str">
        <f t="shared" si="2"/>
        <v/>
      </c>
      <c r="K48" s="126"/>
      <c r="M48" s="121"/>
      <c r="N48" s="126" t="str">
        <f t="shared" si="1"/>
        <v/>
      </c>
      <c r="O48" s="126"/>
      <c r="Q48" s="121" t="s">
        <v>105</v>
      </c>
      <c r="R48" s="126" t="str">
        <f t="shared" si="4"/>
        <v/>
      </c>
      <c r="S48" s="126"/>
      <c r="T48" s="124"/>
    </row>
    <row r="49" spans="1:20" x14ac:dyDescent="0.2">
      <c r="A49" s="121" t="s">
        <v>106</v>
      </c>
      <c r="B49" s="126" t="str">
        <f t="shared" si="3"/>
        <v/>
      </c>
      <c r="C49" s="126"/>
      <c r="E49" s="121" t="s">
        <v>106</v>
      </c>
      <c r="F49" s="126" t="str">
        <f t="shared" si="0"/>
        <v/>
      </c>
      <c r="G49" s="126"/>
      <c r="I49" s="121" t="s">
        <v>106</v>
      </c>
      <c r="J49" s="126" t="str">
        <f t="shared" si="2"/>
        <v/>
      </c>
      <c r="K49" s="126"/>
      <c r="M49" s="121"/>
      <c r="N49" s="126" t="str">
        <f t="shared" si="1"/>
        <v/>
      </c>
      <c r="O49" s="126"/>
      <c r="Q49" s="121" t="s">
        <v>106</v>
      </c>
      <c r="R49" s="126" t="str">
        <f t="shared" si="4"/>
        <v/>
      </c>
      <c r="S49" s="126"/>
      <c r="T49" s="124"/>
    </row>
    <row r="50" spans="1:20" x14ac:dyDescent="0.2">
      <c r="A50" s="57" t="s">
        <v>715</v>
      </c>
      <c r="B50" s="126" t="str">
        <f t="shared" si="3"/>
        <v/>
      </c>
      <c r="C50" s="126"/>
      <c r="E50" s="57" t="s">
        <v>715</v>
      </c>
      <c r="F50" s="126" t="str">
        <f t="shared" si="0"/>
        <v/>
      </c>
      <c r="G50" s="126"/>
      <c r="I50" s="57" t="s">
        <v>715</v>
      </c>
      <c r="J50" s="126" t="str">
        <f t="shared" si="2"/>
        <v/>
      </c>
      <c r="K50" s="126"/>
      <c r="M50" s="57"/>
      <c r="N50" s="126" t="str">
        <f t="shared" si="1"/>
        <v/>
      </c>
      <c r="O50" s="126"/>
      <c r="Q50" s="57" t="s">
        <v>715</v>
      </c>
      <c r="R50" s="126" t="str">
        <f t="shared" si="4"/>
        <v/>
      </c>
      <c r="S50" s="126"/>
      <c r="T50" s="124"/>
    </row>
    <row r="51" spans="1:20" x14ac:dyDescent="0.2">
      <c r="A51" s="57" t="s">
        <v>716</v>
      </c>
      <c r="B51" s="126" t="str">
        <f t="shared" si="3"/>
        <v/>
      </c>
      <c r="C51" s="126"/>
      <c r="E51" s="57" t="s">
        <v>716</v>
      </c>
      <c r="F51" s="126" t="str">
        <f t="shared" si="0"/>
        <v/>
      </c>
      <c r="G51" s="126"/>
      <c r="I51" s="57" t="s">
        <v>716</v>
      </c>
      <c r="J51" s="126" t="str">
        <f t="shared" si="2"/>
        <v/>
      </c>
      <c r="K51" s="126"/>
      <c r="M51" s="57"/>
      <c r="N51" s="126" t="str">
        <f t="shared" si="1"/>
        <v/>
      </c>
      <c r="O51" s="126"/>
      <c r="Q51" s="57" t="s">
        <v>716</v>
      </c>
      <c r="R51" s="126" t="str">
        <f t="shared" si="4"/>
        <v/>
      </c>
      <c r="S51" s="126"/>
      <c r="T51" s="124"/>
    </row>
    <row r="52" spans="1:20" x14ac:dyDescent="0.2">
      <c r="A52" s="121" t="s">
        <v>121</v>
      </c>
      <c r="B52" s="126" t="str">
        <f t="shared" si="3"/>
        <v/>
      </c>
      <c r="C52" s="126"/>
      <c r="E52" s="121" t="s">
        <v>121</v>
      </c>
      <c r="F52" s="126" t="str">
        <f t="shared" si="0"/>
        <v/>
      </c>
      <c r="G52" s="126"/>
      <c r="I52" s="121" t="s">
        <v>121</v>
      </c>
      <c r="J52" s="126" t="str">
        <f t="shared" si="2"/>
        <v/>
      </c>
      <c r="K52" s="126"/>
      <c r="M52" s="121"/>
      <c r="N52" s="126" t="str">
        <f t="shared" si="1"/>
        <v/>
      </c>
      <c r="O52" s="126"/>
      <c r="Q52" s="121" t="s">
        <v>121</v>
      </c>
      <c r="R52" s="126" t="str">
        <f t="shared" si="4"/>
        <v/>
      </c>
      <c r="S52" s="126"/>
      <c r="T52" s="124"/>
    </row>
    <row r="53" spans="1:20" x14ac:dyDescent="0.2">
      <c r="A53" s="57" t="s">
        <v>337</v>
      </c>
      <c r="B53" s="126" t="str">
        <f t="shared" si="3"/>
        <v/>
      </c>
      <c r="C53" s="126"/>
      <c r="E53" s="57" t="s">
        <v>337</v>
      </c>
      <c r="F53" s="126" t="str">
        <f t="shared" si="0"/>
        <v/>
      </c>
      <c r="G53" s="126"/>
      <c r="I53" s="57" t="s">
        <v>337</v>
      </c>
      <c r="J53" s="126" t="str">
        <f t="shared" si="2"/>
        <v/>
      </c>
      <c r="K53" s="126"/>
      <c r="M53" s="57"/>
      <c r="N53" s="126" t="str">
        <f t="shared" si="1"/>
        <v/>
      </c>
      <c r="O53" s="126"/>
      <c r="Q53" s="57" t="s">
        <v>337</v>
      </c>
      <c r="R53" s="126" t="str">
        <f t="shared" si="4"/>
        <v/>
      </c>
      <c r="S53" s="126"/>
      <c r="T53" s="124"/>
    </row>
    <row r="54" spans="1:20" x14ac:dyDescent="0.2">
      <c r="A54" s="57" t="s">
        <v>721</v>
      </c>
      <c r="B54" s="126" t="str">
        <f t="shared" si="3"/>
        <v/>
      </c>
      <c r="C54" s="126"/>
      <c r="E54" s="57" t="s">
        <v>721</v>
      </c>
      <c r="F54" s="126" t="str">
        <f t="shared" si="0"/>
        <v/>
      </c>
      <c r="G54" s="126"/>
      <c r="I54" s="57" t="s">
        <v>721</v>
      </c>
      <c r="J54" s="126" t="str">
        <f t="shared" si="2"/>
        <v/>
      </c>
      <c r="K54" s="126"/>
      <c r="M54" s="57"/>
      <c r="N54" s="126" t="str">
        <f t="shared" si="1"/>
        <v/>
      </c>
      <c r="O54" s="126"/>
      <c r="Q54" s="57" t="s">
        <v>721</v>
      </c>
      <c r="R54" s="126" t="str">
        <f t="shared" si="4"/>
        <v/>
      </c>
      <c r="S54" s="126"/>
      <c r="T54" s="124"/>
    </row>
    <row r="55" spans="1:20" x14ac:dyDescent="0.2">
      <c r="A55" s="121" t="s">
        <v>122</v>
      </c>
      <c r="B55" s="126" t="str">
        <f t="shared" si="3"/>
        <v/>
      </c>
      <c r="C55" s="126"/>
      <c r="E55" s="121" t="s">
        <v>122</v>
      </c>
      <c r="F55" s="126" t="str">
        <f t="shared" si="0"/>
        <v/>
      </c>
      <c r="G55" s="126"/>
      <c r="I55" s="121" t="s">
        <v>122</v>
      </c>
      <c r="J55" s="126" t="str">
        <f t="shared" si="2"/>
        <v/>
      </c>
      <c r="K55" s="126"/>
      <c r="M55" s="121"/>
      <c r="N55" s="126" t="str">
        <f t="shared" si="1"/>
        <v/>
      </c>
      <c r="O55" s="126"/>
      <c r="Q55" s="121" t="s">
        <v>122</v>
      </c>
      <c r="R55" s="126" t="str">
        <f t="shared" si="4"/>
        <v/>
      </c>
      <c r="S55" s="126"/>
      <c r="T55" s="124"/>
    </row>
    <row r="56" spans="1:20" x14ac:dyDescent="0.2">
      <c r="A56" s="57" t="s">
        <v>717</v>
      </c>
      <c r="B56" s="126" t="str">
        <f t="shared" si="3"/>
        <v/>
      </c>
      <c r="C56" s="126"/>
      <c r="E56" s="57" t="s">
        <v>717</v>
      </c>
      <c r="F56" s="126" t="str">
        <f t="shared" si="0"/>
        <v/>
      </c>
      <c r="G56" s="126"/>
      <c r="I56" s="57" t="s">
        <v>717</v>
      </c>
      <c r="J56" s="126" t="str">
        <f t="shared" si="2"/>
        <v/>
      </c>
      <c r="K56" s="126"/>
      <c r="M56" s="57"/>
      <c r="N56" s="126" t="str">
        <f t="shared" si="1"/>
        <v/>
      </c>
      <c r="O56" s="126"/>
      <c r="Q56" s="57" t="s">
        <v>717</v>
      </c>
      <c r="R56" s="126" t="str">
        <f t="shared" si="4"/>
        <v/>
      </c>
      <c r="S56" s="126"/>
      <c r="T56" s="124"/>
    </row>
    <row r="57" spans="1:20" x14ac:dyDescent="0.2">
      <c r="A57" t="s">
        <v>123</v>
      </c>
      <c r="B57" s="126" t="str">
        <f t="shared" si="3"/>
        <v/>
      </c>
      <c r="C57" s="126"/>
      <c r="E57" t="s">
        <v>123</v>
      </c>
      <c r="F57" s="126" t="str">
        <f t="shared" si="0"/>
        <v/>
      </c>
      <c r="G57" s="126"/>
      <c r="I57" t="s">
        <v>123</v>
      </c>
      <c r="J57" s="126" t="str">
        <f t="shared" si="2"/>
        <v/>
      </c>
      <c r="K57" s="126"/>
      <c r="M57"/>
      <c r="N57" s="126" t="str">
        <f t="shared" si="1"/>
        <v/>
      </c>
      <c r="O57" s="126"/>
      <c r="Q57" t="s">
        <v>123</v>
      </c>
      <c r="R57" s="126" t="str">
        <f t="shared" si="4"/>
        <v/>
      </c>
      <c r="S57" s="126"/>
      <c r="T57" s="124"/>
    </row>
    <row r="58" spans="1:20" x14ac:dyDescent="0.2">
      <c r="A58" t="s">
        <v>718</v>
      </c>
      <c r="B58" s="126" t="str">
        <f t="shared" si="3"/>
        <v/>
      </c>
      <c r="C58" s="126"/>
      <c r="E58" t="s">
        <v>718</v>
      </c>
      <c r="F58" s="126" t="str">
        <f t="shared" si="0"/>
        <v/>
      </c>
      <c r="G58" s="126"/>
      <c r="I58" t="s">
        <v>718</v>
      </c>
      <c r="J58" s="126" t="str">
        <f t="shared" si="2"/>
        <v/>
      </c>
      <c r="K58" s="126"/>
      <c r="M58"/>
      <c r="N58" s="126" t="str">
        <f t="shared" si="1"/>
        <v/>
      </c>
      <c r="O58" s="126"/>
      <c r="Q58" t="s">
        <v>718</v>
      </c>
      <c r="R58" s="126" t="str">
        <f t="shared" si="4"/>
        <v/>
      </c>
      <c r="S58" s="126"/>
      <c r="T58" s="124"/>
    </row>
    <row r="59" spans="1:20" x14ac:dyDescent="0.2">
      <c r="A59" t="s">
        <v>719</v>
      </c>
      <c r="B59" s="126" t="str">
        <f t="shared" si="3"/>
        <v/>
      </c>
      <c r="C59" s="126"/>
      <c r="E59" t="s">
        <v>719</v>
      </c>
      <c r="F59" s="126" t="str">
        <f t="shared" si="0"/>
        <v/>
      </c>
      <c r="G59" s="126"/>
      <c r="I59" t="s">
        <v>719</v>
      </c>
      <c r="J59" s="126" t="str">
        <f t="shared" si="2"/>
        <v/>
      </c>
      <c r="K59" s="126"/>
      <c r="M59"/>
      <c r="N59" s="126" t="str">
        <f t="shared" si="1"/>
        <v/>
      </c>
      <c r="O59" s="126"/>
      <c r="Q59" t="s">
        <v>719</v>
      </c>
      <c r="R59" s="126" t="str">
        <f t="shared" si="4"/>
        <v/>
      </c>
      <c r="S59" s="126"/>
      <c r="T59" s="124"/>
    </row>
    <row r="60" spans="1:20" x14ac:dyDescent="0.2">
      <c r="A60" t="s">
        <v>124</v>
      </c>
      <c r="B60" s="126" t="str">
        <f t="shared" si="3"/>
        <v/>
      </c>
      <c r="C60" s="126"/>
      <c r="E60" t="s">
        <v>124</v>
      </c>
      <c r="F60" s="126" t="str">
        <f t="shared" si="0"/>
        <v/>
      </c>
      <c r="G60" s="126"/>
      <c r="I60" t="s">
        <v>124</v>
      </c>
      <c r="J60" s="126" t="str">
        <f t="shared" si="2"/>
        <v/>
      </c>
      <c r="K60" s="126"/>
      <c r="M60"/>
      <c r="N60" s="126" t="str">
        <f t="shared" si="1"/>
        <v/>
      </c>
      <c r="O60" s="126"/>
      <c r="Q60" t="s">
        <v>124</v>
      </c>
      <c r="R60" s="126" t="str">
        <f t="shared" si="4"/>
        <v/>
      </c>
      <c r="S60" s="126"/>
      <c r="T60" s="124"/>
    </row>
    <row r="61" spans="1:20" x14ac:dyDescent="0.2">
      <c r="A61" s="121" t="s">
        <v>107</v>
      </c>
      <c r="B61" s="126" t="str">
        <f t="shared" si="3"/>
        <v/>
      </c>
      <c r="C61" s="126"/>
      <c r="E61" s="121" t="s">
        <v>107</v>
      </c>
      <c r="F61" s="126" t="str">
        <f t="shared" si="0"/>
        <v/>
      </c>
      <c r="G61" s="126"/>
      <c r="I61" s="121" t="s">
        <v>107</v>
      </c>
      <c r="J61" s="126" t="str">
        <f t="shared" si="2"/>
        <v/>
      </c>
      <c r="K61" s="126"/>
      <c r="M61" s="121"/>
      <c r="N61" s="126" t="str">
        <f t="shared" si="1"/>
        <v/>
      </c>
      <c r="O61" s="126"/>
      <c r="Q61" s="121" t="s">
        <v>107</v>
      </c>
      <c r="R61" s="126" t="str">
        <f t="shared" si="4"/>
        <v/>
      </c>
      <c r="S61" s="126"/>
      <c r="T61" s="124"/>
    </row>
    <row r="62" spans="1:20" x14ac:dyDescent="0.2">
      <c r="A62" s="57" t="s">
        <v>723</v>
      </c>
      <c r="B62" s="126" t="str">
        <f t="shared" si="3"/>
        <v/>
      </c>
      <c r="C62" s="126"/>
      <c r="E62" s="57" t="s">
        <v>723</v>
      </c>
      <c r="F62" s="126" t="str">
        <f t="shared" si="0"/>
        <v/>
      </c>
      <c r="G62" s="126"/>
      <c r="I62" s="57" t="s">
        <v>723</v>
      </c>
      <c r="J62" s="126" t="str">
        <f t="shared" si="2"/>
        <v/>
      </c>
      <c r="K62" s="126"/>
      <c r="M62" s="57"/>
      <c r="N62" s="126" t="str">
        <f t="shared" si="1"/>
        <v/>
      </c>
      <c r="O62" s="126"/>
      <c r="Q62" s="57" t="s">
        <v>723</v>
      </c>
      <c r="R62" s="126" t="str">
        <f t="shared" si="4"/>
        <v/>
      </c>
      <c r="S62" s="126"/>
      <c r="T62" s="124"/>
    </row>
    <row r="63" spans="1:20" x14ac:dyDescent="0.2">
      <c r="A63" s="121" t="s">
        <v>108</v>
      </c>
      <c r="B63" s="126" t="str">
        <f t="shared" si="3"/>
        <v/>
      </c>
      <c r="C63" s="126"/>
      <c r="E63" s="121" t="s">
        <v>108</v>
      </c>
      <c r="F63" s="126" t="str">
        <f t="shared" si="0"/>
        <v/>
      </c>
      <c r="G63" s="126"/>
      <c r="I63" s="121" t="s">
        <v>108</v>
      </c>
      <c r="J63" s="126" t="str">
        <f t="shared" si="2"/>
        <v/>
      </c>
      <c r="K63" s="126"/>
      <c r="M63" s="121"/>
      <c r="N63" s="126" t="str">
        <f t="shared" si="1"/>
        <v/>
      </c>
      <c r="O63" s="126"/>
      <c r="Q63" s="121" t="s">
        <v>108</v>
      </c>
      <c r="R63" s="126" t="str">
        <f t="shared" si="4"/>
        <v/>
      </c>
      <c r="S63" s="126"/>
      <c r="T63" s="124"/>
    </row>
    <row r="64" spans="1:20" x14ac:dyDescent="0.2">
      <c r="A64" s="57" t="s">
        <v>338</v>
      </c>
      <c r="B64" s="126" t="str">
        <f t="shared" si="3"/>
        <v/>
      </c>
      <c r="C64" s="126"/>
      <c r="E64" s="57" t="s">
        <v>338</v>
      </c>
      <c r="F64" s="126" t="str">
        <f t="shared" si="0"/>
        <v/>
      </c>
      <c r="G64" s="126"/>
      <c r="I64" s="57" t="s">
        <v>338</v>
      </c>
      <c r="J64" s="126" t="str">
        <f t="shared" si="2"/>
        <v/>
      </c>
      <c r="K64" s="126"/>
      <c r="M64" s="57"/>
      <c r="N64" s="126" t="str">
        <f t="shared" si="1"/>
        <v/>
      </c>
      <c r="O64" s="126"/>
      <c r="Q64" s="57" t="s">
        <v>338</v>
      </c>
      <c r="R64" s="126" t="str">
        <f t="shared" si="4"/>
        <v/>
      </c>
      <c r="S64" s="126"/>
      <c r="T64" s="124"/>
    </row>
    <row r="65" spans="1:20" x14ac:dyDescent="0.2">
      <c r="A65" s="57" t="s">
        <v>339</v>
      </c>
      <c r="B65" s="126" t="str">
        <f t="shared" si="3"/>
        <v/>
      </c>
      <c r="C65" s="126"/>
      <c r="E65" s="57" t="s">
        <v>339</v>
      </c>
      <c r="F65" s="126" t="str">
        <f t="shared" si="0"/>
        <v/>
      </c>
      <c r="G65" s="126"/>
      <c r="I65" s="57" t="s">
        <v>339</v>
      </c>
      <c r="J65" s="126" t="str">
        <f t="shared" si="2"/>
        <v/>
      </c>
      <c r="K65" s="126"/>
      <c r="M65" s="57"/>
      <c r="N65" s="126" t="str">
        <f t="shared" si="1"/>
        <v/>
      </c>
      <c r="O65" s="126"/>
      <c r="Q65" s="57" t="s">
        <v>339</v>
      </c>
      <c r="R65" s="126" t="str">
        <f t="shared" si="4"/>
        <v/>
      </c>
      <c r="S65" s="126"/>
      <c r="T65" s="124"/>
    </row>
    <row r="66" spans="1:20" x14ac:dyDescent="0.2">
      <c r="A66" s="57" t="s">
        <v>720</v>
      </c>
      <c r="B66" s="126" t="str">
        <f t="shared" si="3"/>
        <v/>
      </c>
      <c r="C66" s="126"/>
      <c r="E66" s="57" t="s">
        <v>720</v>
      </c>
      <c r="F66" s="126" t="str">
        <f t="shared" si="0"/>
        <v/>
      </c>
      <c r="G66" s="126"/>
      <c r="I66" s="57" t="s">
        <v>720</v>
      </c>
      <c r="J66" s="126" t="str">
        <f t="shared" si="2"/>
        <v/>
      </c>
      <c r="K66" s="126"/>
      <c r="M66" s="57"/>
      <c r="N66" s="126" t="str">
        <f t="shared" si="1"/>
        <v/>
      </c>
      <c r="O66" s="126"/>
      <c r="Q66" s="57" t="s">
        <v>720</v>
      </c>
      <c r="R66" s="126" t="str">
        <f t="shared" si="4"/>
        <v/>
      </c>
      <c r="S66" s="126"/>
      <c r="T66" s="124"/>
    </row>
    <row r="67" spans="1:20" x14ac:dyDescent="0.2">
      <c r="A67" s="121" t="s">
        <v>109</v>
      </c>
      <c r="B67" s="126" t="str">
        <f t="shared" si="3"/>
        <v/>
      </c>
      <c r="C67" s="126"/>
      <c r="E67" s="121" t="s">
        <v>109</v>
      </c>
      <c r="F67" s="126" t="str">
        <f t="shared" si="0"/>
        <v/>
      </c>
      <c r="G67" s="126"/>
      <c r="I67" s="121" t="s">
        <v>109</v>
      </c>
      <c r="J67" s="126" t="str">
        <f t="shared" si="2"/>
        <v/>
      </c>
      <c r="K67" s="126"/>
      <c r="M67" s="121"/>
      <c r="N67" s="126" t="str">
        <f t="shared" si="1"/>
        <v/>
      </c>
      <c r="O67" s="126"/>
      <c r="Q67" s="121" t="s">
        <v>109</v>
      </c>
      <c r="R67" s="126" t="str">
        <f t="shared" si="4"/>
        <v/>
      </c>
      <c r="S67" s="126"/>
      <c r="T67" s="124"/>
    </row>
    <row r="68" spans="1:20" x14ac:dyDescent="0.2">
      <c r="A68" s="121" t="s">
        <v>110</v>
      </c>
      <c r="B68" s="126" t="str">
        <f t="shared" si="3"/>
        <v/>
      </c>
      <c r="C68" s="126"/>
      <c r="E68" s="121" t="s">
        <v>110</v>
      </c>
      <c r="F68" s="126" t="str">
        <f t="shared" si="0"/>
        <v/>
      </c>
      <c r="G68" s="126"/>
      <c r="I68" s="121" t="s">
        <v>110</v>
      </c>
      <c r="J68" s="126" t="str">
        <f t="shared" si="2"/>
        <v/>
      </c>
      <c r="K68" s="126"/>
      <c r="M68" s="121"/>
      <c r="N68" s="126" t="str">
        <f t="shared" si="1"/>
        <v/>
      </c>
      <c r="O68" s="126"/>
      <c r="Q68" s="121" t="s">
        <v>110</v>
      </c>
      <c r="R68" s="126" t="str">
        <f t="shared" si="4"/>
        <v/>
      </c>
      <c r="S68" s="126"/>
      <c r="T68" s="124"/>
    </row>
    <row r="69" spans="1:20" x14ac:dyDescent="0.2">
      <c r="A69" s="121" t="s">
        <v>111</v>
      </c>
      <c r="B69" s="126" t="str">
        <f t="shared" si="3"/>
        <v/>
      </c>
      <c r="C69" s="126"/>
      <c r="E69" s="121" t="s">
        <v>111</v>
      </c>
      <c r="F69" s="126" t="str">
        <f t="shared" si="0"/>
        <v/>
      </c>
      <c r="G69" s="126"/>
      <c r="I69" s="121" t="s">
        <v>111</v>
      </c>
      <c r="J69" s="126" t="str">
        <f t="shared" si="2"/>
        <v/>
      </c>
      <c r="K69" s="126"/>
      <c r="M69" s="121"/>
      <c r="N69" s="126" t="str">
        <f t="shared" si="1"/>
        <v/>
      </c>
      <c r="O69" s="126"/>
      <c r="Q69" s="121" t="s">
        <v>111</v>
      </c>
      <c r="R69" s="126" t="str">
        <f t="shared" si="4"/>
        <v/>
      </c>
      <c r="S69" s="126"/>
      <c r="T69" s="124"/>
    </row>
    <row r="70" spans="1:20" x14ac:dyDescent="0.2">
      <c r="A70" s="121" t="s">
        <v>112</v>
      </c>
      <c r="B70" s="126">
        <f t="shared" si="3"/>
        <v>553062.25850000011</v>
      </c>
      <c r="C70" s="126"/>
      <c r="E70" s="121" t="s">
        <v>112</v>
      </c>
      <c r="F70" s="126">
        <f t="shared" si="0"/>
        <v>548345.74763999996</v>
      </c>
      <c r="G70" s="126"/>
      <c r="I70" s="121" t="s">
        <v>112</v>
      </c>
      <c r="J70" s="126">
        <f t="shared" si="2"/>
        <v>542690.95846999995</v>
      </c>
      <c r="K70" s="126"/>
      <c r="M70" s="57" t="s">
        <v>916</v>
      </c>
      <c r="N70" s="496">
        <f>N31</f>
        <v>0</v>
      </c>
      <c r="O70" s="126"/>
      <c r="Q70" s="121" t="s">
        <v>112</v>
      </c>
      <c r="R70" s="126" t="str">
        <f t="shared" si="4"/>
        <v/>
      </c>
      <c r="S70" s="126"/>
      <c r="T70" s="124"/>
    </row>
    <row r="71" spans="1:20" x14ac:dyDescent="0.2">
      <c r="A71" s="121" t="s">
        <v>113</v>
      </c>
      <c r="B71" s="126">
        <f t="shared" si="3"/>
        <v>284759.35648000007</v>
      </c>
      <c r="C71" s="126"/>
      <c r="E71" s="121" t="s">
        <v>113</v>
      </c>
      <c r="F71" s="126">
        <f t="shared" si="0"/>
        <v>295759.04558000009</v>
      </c>
      <c r="G71" s="126"/>
      <c r="I71" s="121" t="s">
        <v>113</v>
      </c>
      <c r="J71" s="126">
        <f t="shared" si="2"/>
        <v>297178.35236000002</v>
      </c>
      <c r="K71" s="126"/>
      <c r="M71" s="121" t="s">
        <v>113</v>
      </c>
      <c r="N71" s="496">
        <f>N32</f>
        <v>0</v>
      </c>
      <c r="O71" s="126"/>
      <c r="Q71" s="121" t="s">
        <v>113</v>
      </c>
      <c r="R71" s="126" t="str">
        <f t="shared" si="4"/>
        <v/>
      </c>
      <c r="S71" s="126"/>
      <c r="T71" s="124"/>
    </row>
    <row r="72" spans="1:20" x14ac:dyDescent="0.2">
      <c r="A72" s="121"/>
      <c r="B72" s="126"/>
      <c r="C72" s="126"/>
      <c r="E72" s="121"/>
      <c r="F72" s="126"/>
      <c r="G72" s="126"/>
      <c r="I72" s="121"/>
      <c r="J72" s="218"/>
      <c r="K72" s="126"/>
      <c r="M72" s="121"/>
      <c r="N72" s="126"/>
      <c r="O72" s="126"/>
      <c r="Q72" s="121"/>
      <c r="R72" s="126"/>
      <c r="S72" s="126"/>
      <c r="T72" s="124"/>
    </row>
    <row r="73" spans="1:20" x14ac:dyDescent="0.2">
      <c r="A73" s="127" t="s">
        <v>22</v>
      </c>
      <c r="B73" s="126">
        <f>SUM(B34:C34)</f>
        <v>837821.61498000019</v>
      </c>
      <c r="C73" s="128"/>
      <c r="E73" s="127" t="s">
        <v>22</v>
      </c>
      <c r="F73" s="126">
        <f>SUM(F34:G34)</f>
        <v>844104.79322000011</v>
      </c>
      <c r="G73" s="136"/>
      <c r="I73" s="127" t="s">
        <v>22</v>
      </c>
      <c r="J73" s="218">
        <f>SUM(J34:K34)</f>
        <v>839869.31082999997</v>
      </c>
      <c r="K73" s="128"/>
      <c r="M73" s="127" t="s">
        <v>22</v>
      </c>
      <c r="N73" s="126">
        <f>SUM(N34:O34)</f>
        <v>0</v>
      </c>
      <c r="O73" s="128"/>
      <c r="Q73" s="127" t="s">
        <v>22</v>
      </c>
      <c r="R73" s="126">
        <f>SUM(R34:S34)</f>
        <v>0</v>
      </c>
      <c r="S73" s="128"/>
      <c r="T73" s="124"/>
    </row>
    <row r="74" spans="1:20" x14ac:dyDescent="0.2">
      <c r="J74" s="219"/>
      <c r="T74" s="124"/>
    </row>
    <row r="75" spans="1:20" x14ac:dyDescent="0.2">
      <c r="A75" s="133" t="s">
        <v>51</v>
      </c>
      <c r="B75" s="137">
        <f>SUM(B71:C71)</f>
        <v>284759.35648000007</v>
      </c>
      <c r="E75" s="133" t="s">
        <v>51</v>
      </c>
      <c r="F75" s="137">
        <f>SUM(F71:G71)</f>
        <v>295759.04558000009</v>
      </c>
      <c r="I75" s="133" t="s">
        <v>51</v>
      </c>
      <c r="J75" s="219">
        <f>SUM(J71:K71)</f>
        <v>297178.35236000002</v>
      </c>
      <c r="M75" s="133"/>
      <c r="N75" s="138"/>
      <c r="Q75" s="133" t="s">
        <v>51</v>
      </c>
      <c r="R75" s="138">
        <f>SUM(R71:S71)</f>
        <v>0</v>
      </c>
      <c r="T75" s="124"/>
    </row>
    <row r="76" spans="1:20" x14ac:dyDescent="0.2">
      <c r="A76" s="133" t="s">
        <v>116</v>
      </c>
      <c r="B76" s="137">
        <f>SUM(B41,B43:B49,B51,B52:B57,B60:B61,B63:B65,B67:B70)</f>
        <v>553062.25850000011</v>
      </c>
      <c r="E76" s="133" t="s">
        <v>116</v>
      </c>
      <c r="F76" s="137">
        <f>SUM(F41,F43:F49,F51,F52:F57,F60:F61,F63:F65,F67:F70)</f>
        <v>548345.74763999996</v>
      </c>
      <c r="I76" s="133" t="s">
        <v>116</v>
      </c>
      <c r="J76" s="137">
        <f>SUM(J41,J43:J49,J51,J52:J57,J60:J61,J63:J65,J67:J70)</f>
        <v>542690.95846999995</v>
      </c>
      <c r="M76" s="133"/>
      <c r="N76" s="137"/>
      <c r="Q76" s="133" t="s">
        <v>116</v>
      </c>
      <c r="R76" s="137">
        <f>SUM(R41,R43:R49,R51,R52:R57,R60:R61,R63:R65,R67:R70)</f>
        <v>0</v>
      </c>
    </row>
    <row r="77" spans="1:20" x14ac:dyDescent="0.2">
      <c r="A77" s="124" t="s">
        <v>724</v>
      </c>
      <c r="B77" s="137">
        <f>SUM(B50,B58,B66)</f>
        <v>0</v>
      </c>
      <c r="E77" s="124" t="s">
        <v>724</v>
      </c>
      <c r="F77" s="137">
        <f>SUM(F50,F58,F66)</f>
        <v>0</v>
      </c>
      <c r="I77" s="124" t="s">
        <v>724</v>
      </c>
      <c r="J77" s="137">
        <f>SUM(J50,J58,J66)</f>
        <v>0</v>
      </c>
      <c r="N77" s="137"/>
      <c r="R77" s="137">
        <f>SUM(R50,R58,R66)</f>
        <v>0</v>
      </c>
    </row>
    <row r="78" spans="1:20" x14ac:dyDescent="0.2">
      <c r="Q78" s="124" t="s">
        <v>724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Y20"/>
  <sheetViews>
    <sheetView zoomScale="85" zoomScaleNormal="85" zoomScalePageLayoutView="85" workbookViewId="0">
      <selection sqref="A1:E1"/>
    </sheetView>
  </sheetViews>
  <sheetFormatPr defaultColWidth="8.85546875" defaultRowHeight="15" x14ac:dyDescent="0.25"/>
  <cols>
    <col min="1" max="1" width="22" style="10" bestFit="1" customWidth="1"/>
    <col min="2" max="3" width="12.7109375" style="10" bestFit="1" customWidth="1"/>
    <col min="4" max="4" width="3.140625" style="9" customWidth="1"/>
    <col min="5" max="5" width="19.140625" style="10" bestFit="1" customWidth="1"/>
    <col min="6" max="6" width="13.42578125" style="10" bestFit="1" customWidth="1"/>
    <col min="7" max="7" width="12.7109375" style="10" bestFit="1" customWidth="1"/>
    <col min="8" max="8" width="3.140625" style="9" customWidth="1"/>
    <col min="9" max="9" width="19.140625" style="10" bestFit="1" customWidth="1"/>
    <col min="10" max="11" width="12.7109375" style="10" bestFit="1" customWidth="1"/>
    <col min="12" max="12" width="3.140625" style="9" customWidth="1"/>
    <col min="13" max="13" width="19.140625" style="10" bestFit="1" customWidth="1"/>
    <col min="14" max="15" width="12.7109375" style="10" bestFit="1" customWidth="1"/>
    <col min="16" max="16" width="3.140625" style="9" customWidth="1"/>
    <col min="17" max="17" width="19.140625" style="10" bestFit="1" customWidth="1"/>
    <col min="18" max="19" width="12.7109375" style="10" bestFit="1" customWidth="1"/>
    <col min="20" max="20" width="3.140625" style="9" customWidth="1"/>
  </cols>
  <sheetData>
    <row r="1" spans="1:25" x14ac:dyDescent="0.25">
      <c r="A1" s="4" t="s">
        <v>16</v>
      </c>
      <c r="B1" s="291" t="s">
        <v>880</v>
      </c>
      <c r="C1" s="4"/>
      <c r="D1" s="5"/>
      <c r="E1" s="4" t="s">
        <v>17</v>
      </c>
      <c r="F1" s="291" t="s">
        <v>880</v>
      </c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5" x14ac:dyDescent="0.25">
      <c r="A2" s="172" t="s">
        <v>330</v>
      </c>
      <c r="B2" s="78">
        <v>3079.1879040000008</v>
      </c>
      <c r="C2" s="163"/>
      <c r="E2" s="172" t="s">
        <v>330</v>
      </c>
      <c r="F2" s="163">
        <v>3281.3270879999995</v>
      </c>
      <c r="G2" s="78"/>
      <c r="I2" s="172" t="s">
        <v>330</v>
      </c>
      <c r="J2" s="78">
        <v>3472.9000800000003</v>
      </c>
      <c r="K2" s="163"/>
      <c r="M2" s="172" t="s">
        <v>330</v>
      </c>
      <c r="N2" s="163"/>
      <c r="O2" s="163"/>
      <c r="Q2" s="172" t="s">
        <v>330</v>
      </c>
      <c r="R2" s="78"/>
      <c r="S2" s="31"/>
      <c r="V2" s="195"/>
      <c r="W2" s="195"/>
      <c r="X2" s="163"/>
      <c r="Y2" s="163"/>
    </row>
    <row r="3" spans="1:25" x14ac:dyDescent="0.25">
      <c r="A3" s="172" t="s">
        <v>331</v>
      </c>
      <c r="B3" s="78">
        <v>7272.0217440000006</v>
      </c>
      <c r="C3" s="163"/>
      <c r="E3" s="172" t="s">
        <v>331</v>
      </c>
      <c r="F3" s="163">
        <v>6619.5657839999994</v>
      </c>
      <c r="G3" s="78"/>
      <c r="I3" s="172" t="s">
        <v>331</v>
      </c>
      <c r="J3" s="78">
        <v>7023.0510479999994</v>
      </c>
      <c r="K3" s="163"/>
      <c r="M3" s="172" t="s">
        <v>331</v>
      </c>
      <c r="N3" s="163"/>
      <c r="O3" s="163"/>
      <c r="Q3" s="172" t="s">
        <v>331</v>
      </c>
      <c r="R3" s="78"/>
      <c r="S3" s="31"/>
      <c r="V3" s="195"/>
      <c r="W3" s="195"/>
      <c r="X3" s="163"/>
      <c r="Y3" s="163"/>
    </row>
    <row r="4" spans="1:25" x14ac:dyDescent="0.25">
      <c r="A4" s="172" t="s">
        <v>332</v>
      </c>
      <c r="B4" s="78">
        <v>37551.248591999996</v>
      </c>
      <c r="C4" s="163"/>
      <c r="E4" s="172" t="s">
        <v>332</v>
      </c>
      <c r="F4" s="163">
        <v>36659.160096000014</v>
      </c>
      <c r="G4" s="78"/>
      <c r="I4" s="172" t="s">
        <v>332</v>
      </c>
      <c r="J4" s="78">
        <v>36734.4666</v>
      </c>
      <c r="K4" s="163"/>
      <c r="M4" s="172" t="s">
        <v>332</v>
      </c>
      <c r="N4" s="163"/>
      <c r="O4" s="163"/>
      <c r="Q4" s="172" t="s">
        <v>332</v>
      </c>
      <c r="R4" s="78"/>
      <c r="S4" s="31"/>
      <c r="V4" s="195"/>
      <c r="W4" s="195"/>
      <c r="X4" s="163"/>
      <c r="Y4" s="163"/>
    </row>
    <row r="5" spans="1:25" x14ac:dyDescent="0.25">
      <c r="A5" s="172" t="s">
        <v>333</v>
      </c>
      <c r="B5" s="78">
        <v>1439.9570639999999</v>
      </c>
      <c r="C5" s="163"/>
      <c r="E5" s="172" t="s">
        <v>333</v>
      </c>
      <c r="F5" s="163">
        <v>7210.735271999999</v>
      </c>
      <c r="G5" s="78"/>
      <c r="I5" s="172" t="s">
        <v>333</v>
      </c>
      <c r="J5" s="78">
        <v>1852.3967279999997</v>
      </c>
      <c r="K5" s="163"/>
      <c r="M5" s="172" t="s">
        <v>333</v>
      </c>
      <c r="N5" s="163"/>
      <c r="O5" s="163"/>
      <c r="Q5" s="172" t="s">
        <v>333</v>
      </c>
      <c r="R5" s="78"/>
      <c r="S5" s="31"/>
      <c r="V5" s="195"/>
      <c r="W5" s="195"/>
      <c r="X5" s="163"/>
      <c r="Y5" s="163"/>
    </row>
    <row r="6" spans="1:25" x14ac:dyDescent="0.25">
      <c r="A6" s="172" t="s">
        <v>334</v>
      </c>
      <c r="B6" s="78">
        <v>6752.4362099999998</v>
      </c>
      <c r="C6" s="163"/>
      <c r="E6" s="172" t="s">
        <v>334</v>
      </c>
      <c r="F6" s="163">
        <v>7044.6401999999998</v>
      </c>
      <c r="G6" s="78"/>
      <c r="I6" s="172" t="s">
        <v>334</v>
      </c>
      <c r="J6" s="78">
        <v>6534.7600500000008</v>
      </c>
      <c r="K6" s="163"/>
      <c r="M6" s="172" t="s">
        <v>334</v>
      </c>
      <c r="N6" s="163"/>
      <c r="O6" s="163"/>
      <c r="Q6" s="172" t="s">
        <v>334</v>
      </c>
      <c r="R6" s="78"/>
      <c r="S6" s="31"/>
      <c r="V6" s="195"/>
      <c r="W6" s="195"/>
      <c r="X6" s="163"/>
      <c r="Y6" s="163"/>
    </row>
    <row r="7" spans="1:25" x14ac:dyDescent="0.25">
      <c r="A7" s="172" t="s">
        <v>335</v>
      </c>
      <c r="B7" s="78">
        <v>1443.6923280000001</v>
      </c>
      <c r="C7" s="163"/>
      <c r="E7" s="172" t="s">
        <v>335</v>
      </c>
      <c r="F7" s="163">
        <v>1031.4573360000002</v>
      </c>
      <c r="G7" s="78"/>
      <c r="I7" s="172" t="s">
        <v>335</v>
      </c>
      <c r="J7" s="78">
        <v>942.48897599999998</v>
      </c>
      <c r="K7" s="163"/>
      <c r="M7" s="172" t="s">
        <v>335</v>
      </c>
      <c r="N7" s="163"/>
      <c r="O7" s="163"/>
      <c r="Q7" s="172" t="s">
        <v>335</v>
      </c>
      <c r="R7" s="78"/>
      <c r="S7" s="31"/>
      <c r="V7" s="195"/>
      <c r="W7" s="195"/>
      <c r="X7" s="163"/>
      <c r="Y7" s="163"/>
    </row>
    <row r="8" spans="1:25" x14ac:dyDescent="0.25">
      <c r="A8" s="172" t="s">
        <v>735</v>
      </c>
      <c r="B8" s="78">
        <v>1164.6092639999999</v>
      </c>
      <c r="C8" s="163"/>
      <c r="E8" s="172" t="s">
        <v>735</v>
      </c>
      <c r="F8" s="163">
        <v>1075.0780560000003</v>
      </c>
      <c r="G8" s="78"/>
      <c r="I8" s="172" t="s">
        <v>735</v>
      </c>
      <c r="J8" s="78">
        <v>1080.7065359999999</v>
      </c>
      <c r="K8" s="163"/>
      <c r="M8" s="172" t="s">
        <v>735</v>
      </c>
      <c r="N8" s="163"/>
      <c r="O8" s="163"/>
      <c r="Q8" s="172" t="s">
        <v>735</v>
      </c>
      <c r="R8" s="78"/>
      <c r="S8" s="31"/>
      <c r="V8" s="195"/>
      <c r="W8" s="195"/>
      <c r="X8" s="163"/>
      <c r="Y8" s="163"/>
    </row>
    <row r="9" spans="1:25" x14ac:dyDescent="0.25">
      <c r="A9" s="172" t="s">
        <v>336</v>
      </c>
      <c r="B9" s="78">
        <v>35058.753703999995</v>
      </c>
      <c r="C9" s="163"/>
      <c r="E9" s="172" t="s">
        <v>336</v>
      </c>
      <c r="F9" s="163">
        <v>36846.579183999995</v>
      </c>
      <c r="G9" s="78"/>
      <c r="I9" s="172" t="s">
        <v>336</v>
      </c>
      <c r="J9" s="78">
        <v>45768.496056000004</v>
      </c>
      <c r="K9" s="163"/>
      <c r="M9" s="172" t="s">
        <v>336</v>
      </c>
      <c r="N9" s="163"/>
      <c r="O9" s="163"/>
      <c r="Q9" s="172" t="s">
        <v>336</v>
      </c>
      <c r="R9" s="78"/>
      <c r="S9" s="31"/>
      <c r="V9" s="195"/>
      <c r="W9" s="195"/>
      <c r="X9" s="163"/>
      <c r="Y9" s="163"/>
    </row>
    <row r="10" spans="1:25" x14ac:dyDescent="0.25">
      <c r="A10" s="6" t="s">
        <v>117</v>
      </c>
      <c r="B10" s="78">
        <v>170438.71999999997</v>
      </c>
      <c r="C10" s="163"/>
      <c r="E10" s="6" t="s">
        <v>117</v>
      </c>
      <c r="F10" s="163">
        <v>188309.49</v>
      </c>
      <c r="G10" s="78"/>
      <c r="I10" s="6" t="s">
        <v>117</v>
      </c>
      <c r="J10" s="78">
        <v>179176.13</v>
      </c>
      <c r="K10" s="163"/>
      <c r="M10" s="6" t="s">
        <v>117</v>
      </c>
      <c r="N10" s="163"/>
      <c r="O10" s="163"/>
      <c r="Q10" s="6" t="s">
        <v>117</v>
      </c>
      <c r="R10" s="78"/>
      <c r="S10" s="31"/>
    </row>
    <row r="11" spans="1:25" x14ac:dyDescent="0.25">
      <c r="A11" s="14" t="s">
        <v>22</v>
      </c>
      <c r="B11" s="15">
        <f>SUM(B2:B10)</f>
        <v>264200.62680999993</v>
      </c>
      <c r="C11" s="15">
        <f>SUM(C10:C10)</f>
        <v>0</v>
      </c>
      <c r="E11" s="14" t="s">
        <v>22</v>
      </c>
      <c r="F11" s="202">
        <f>SUM(F2:F10)</f>
        <v>288078.033016</v>
      </c>
      <c r="G11" s="15">
        <f>SUM(G2:G10)</f>
        <v>0</v>
      </c>
      <c r="I11" s="12" t="s">
        <v>21</v>
      </c>
      <c r="J11" s="202">
        <f>SUM(J2:J10)</f>
        <v>282585.39607400005</v>
      </c>
      <c r="K11" s="15">
        <f>SUM(K2:K10)</f>
        <v>0</v>
      </c>
      <c r="M11" s="12" t="s">
        <v>21</v>
      </c>
      <c r="N11" s="202">
        <f>SUM(N2:N10)</f>
        <v>0</v>
      </c>
      <c r="O11" s="15">
        <f>SUM(O2:O10)</f>
        <v>0</v>
      </c>
      <c r="Q11" s="14" t="s">
        <v>22</v>
      </c>
      <c r="R11" s="202">
        <f>SUM(R2:R10)</f>
        <v>0</v>
      </c>
      <c r="S11" s="15">
        <f>SUM(S2:S10)</f>
        <v>0</v>
      </c>
    </row>
    <row r="13" spans="1:25" x14ac:dyDescent="0.25">
      <c r="A13" s="25" t="s">
        <v>32</v>
      </c>
      <c r="B13" s="9"/>
      <c r="C13" s="9"/>
      <c r="E13" s="9"/>
      <c r="F13" s="9"/>
      <c r="G13" s="9"/>
      <c r="I13" s="9"/>
      <c r="J13" s="9"/>
      <c r="K13" s="9"/>
      <c r="M13" s="9"/>
      <c r="N13" s="9"/>
      <c r="O13" s="9"/>
      <c r="Q13" s="9"/>
      <c r="R13" s="9"/>
      <c r="S13" s="9"/>
      <c r="T13" s="10"/>
    </row>
    <row r="14" spans="1:25" x14ac:dyDescent="0.25">
      <c r="A14" s="9"/>
      <c r="B14" s="9"/>
      <c r="C14" s="9"/>
      <c r="E14" s="9"/>
      <c r="F14" s="9"/>
      <c r="G14" s="9"/>
      <c r="I14" s="9"/>
      <c r="J14" s="9"/>
      <c r="K14" s="9"/>
      <c r="M14" s="9"/>
      <c r="N14" s="9"/>
      <c r="O14" s="9"/>
      <c r="Q14" s="9"/>
      <c r="R14" s="9"/>
      <c r="S14" s="9"/>
      <c r="T14" s="10"/>
    </row>
    <row r="15" spans="1:25" x14ac:dyDescent="0.25">
      <c r="A15" s="6" t="s">
        <v>51</v>
      </c>
      <c r="B15" s="173">
        <f>B10-C10</f>
        <v>170438.71999999997</v>
      </c>
      <c r="C15" s="7" t="str">
        <f>IFERROR(C10+(C10/B10)*#REF!, "")</f>
        <v/>
      </c>
      <c r="E15" s="6" t="s">
        <v>51</v>
      </c>
      <c r="F15" s="173">
        <f>F10-G10</f>
        <v>188309.49</v>
      </c>
      <c r="G15" s="7" t="str">
        <f>IFERROR(G10+(G10/F10)*#REF!, "")</f>
        <v/>
      </c>
      <c r="I15" s="6" t="s">
        <v>51</v>
      </c>
      <c r="J15" s="173">
        <f>J10-K10</f>
        <v>179176.13</v>
      </c>
      <c r="K15" s="7" t="str">
        <f>IFERROR(K10+(K10/J10)*#REF!, "")</f>
        <v/>
      </c>
      <c r="M15" s="6" t="s">
        <v>51</v>
      </c>
      <c r="N15" s="173">
        <f>N10</f>
        <v>0</v>
      </c>
      <c r="O15" s="7" t="str">
        <f>IFERROR(O10+(O10/N10)*#REF!, "")</f>
        <v/>
      </c>
      <c r="Q15" s="6" t="s">
        <v>51</v>
      </c>
      <c r="R15" s="7">
        <f>R10-S10</f>
        <v>0</v>
      </c>
      <c r="S15" s="7" t="str">
        <f>IFERROR(S10+(S10/R10)*#REF!, "")</f>
        <v/>
      </c>
      <c r="T15" s="10"/>
    </row>
    <row r="16" spans="1:25" x14ac:dyDescent="0.25">
      <c r="A16" s="537" t="s">
        <v>1002</v>
      </c>
      <c r="B16" s="7">
        <f>B11-B10</f>
        <v>93761.906809999957</v>
      </c>
      <c r="C16" s="7"/>
      <c r="E16" s="537" t="s">
        <v>1002</v>
      </c>
      <c r="F16" s="173">
        <f>F11-F10</f>
        <v>99768.543016000011</v>
      </c>
      <c r="G16" s="7"/>
      <c r="I16" s="537" t="s">
        <v>1002</v>
      </c>
      <c r="J16" s="173">
        <f>J11-J10</f>
        <v>103409.26607400004</v>
      </c>
      <c r="K16" s="7"/>
      <c r="M16" s="495" t="s">
        <v>910</v>
      </c>
      <c r="N16" s="173">
        <f>N11-N10</f>
        <v>0</v>
      </c>
      <c r="O16" s="7"/>
      <c r="Q16" s="6"/>
      <c r="R16" s="7">
        <f>SUM(R7:R9,R2:R5)-SUM(S2:S5,S7:S9)</f>
        <v>0</v>
      </c>
      <c r="S16" s="7"/>
      <c r="T16" s="10"/>
    </row>
    <row r="17" spans="1:20" x14ac:dyDescent="0.25">
      <c r="A17" s="6"/>
      <c r="B17" s="7"/>
      <c r="C17" s="7"/>
      <c r="E17" s="6"/>
      <c r="F17" s="173"/>
      <c r="G17" s="7"/>
      <c r="I17" s="6"/>
      <c r="J17" s="173"/>
      <c r="K17" s="7"/>
      <c r="M17" s="6"/>
      <c r="N17" s="173"/>
      <c r="O17" s="7"/>
      <c r="Q17" s="6"/>
      <c r="R17" s="7">
        <f>R6-S6</f>
        <v>0</v>
      </c>
      <c r="S17" s="7"/>
      <c r="T17" s="10"/>
    </row>
    <row r="18" spans="1:20" x14ac:dyDescent="0.25">
      <c r="A18" s="14" t="s">
        <v>22</v>
      </c>
      <c r="B18" s="7">
        <f>B11-C11</f>
        <v>264200.62680999993</v>
      </c>
      <c r="C18" s="7" t="str">
        <f>IFERROR(C11+(C11/B11)*#REF!, "")</f>
        <v/>
      </c>
      <c r="E18" s="14" t="s">
        <v>22</v>
      </c>
      <c r="F18" s="173">
        <f>F11-G11</f>
        <v>288078.033016</v>
      </c>
      <c r="G18" s="7" t="str">
        <f>IFERROR(G11+(G11/F11)*#REF!, "")</f>
        <v/>
      </c>
      <c r="I18" s="14" t="s">
        <v>22</v>
      </c>
      <c r="J18" s="173">
        <f>J11-K11</f>
        <v>282585.39607400005</v>
      </c>
      <c r="K18" s="7" t="str">
        <f>IFERROR(K11+(K11/J11)*#REF!, "")</f>
        <v/>
      </c>
      <c r="M18" s="14" t="s">
        <v>22</v>
      </c>
      <c r="N18" s="173">
        <f>SUM(N15:N16)</f>
        <v>0</v>
      </c>
      <c r="O18" s="7" t="str">
        <f>IFERROR(O11+(O11/N11)*#REF!, "")</f>
        <v/>
      </c>
      <c r="Q18" s="14" t="s">
        <v>22</v>
      </c>
      <c r="R18" s="173">
        <f>R11-S11</f>
        <v>0</v>
      </c>
      <c r="S18" s="7" t="str">
        <f>IFERROR(S11+(S11/R11)*#REF!, "")</f>
        <v/>
      </c>
      <c r="T18" s="10"/>
    </row>
    <row r="19" spans="1:20" x14ac:dyDescent="0.25">
      <c r="T19" s="10"/>
    </row>
    <row r="20" spans="1:20" x14ac:dyDescent="0.25">
      <c r="T20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X10"/>
  <sheetViews>
    <sheetView zoomScale="85" zoomScaleNormal="85" zoomScalePageLayoutView="85" workbookViewId="0">
      <selection sqref="A1:E1"/>
    </sheetView>
  </sheetViews>
  <sheetFormatPr defaultColWidth="8.85546875" defaultRowHeight="15" x14ac:dyDescent="0.25"/>
  <cols>
    <col min="1" max="1" width="19.140625" style="10" bestFit="1" customWidth="1"/>
    <col min="2" max="3" width="12.7109375" style="10" bestFit="1" customWidth="1"/>
    <col min="4" max="4" width="3.140625" style="9" customWidth="1"/>
    <col min="5" max="5" width="19.140625" style="10" bestFit="1" customWidth="1"/>
    <col min="6" max="6" width="13.42578125" style="10" bestFit="1" customWidth="1"/>
    <col min="7" max="7" width="12.7109375" style="10" bestFit="1" customWidth="1"/>
    <col min="8" max="8" width="3.140625" style="9" customWidth="1"/>
    <col min="9" max="9" width="19.140625" style="10" bestFit="1" customWidth="1"/>
    <col min="10" max="11" width="12.7109375" style="10" bestFit="1" customWidth="1"/>
    <col min="12" max="12" width="3.140625" style="9" customWidth="1"/>
    <col min="13" max="13" width="19.140625" style="10" bestFit="1" customWidth="1"/>
    <col min="14" max="15" width="12.7109375" style="10" bestFit="1" customWidth="1"/>
    <col min="16" max="16" width="3.140625" style="9" customWidth="1"/>
    <col min="17" max="17" width="19.140625" style="10" bestFit="1" customWidth="1"/>
    <col min="18" max="19" width="12.7109375" style="10" bestFit="1" customWidth="1"/>
    <col min="20" max="20" width="3.140625" style="9" customWidth="1"/>
    <col min="24" max="24" width="11.42578125" bestFit="1" customWidth="1"/>
  </cols>
  <sheetData>
    <row r="1" spans="1:24" x14ac:dyDescent="0.25">
      <c r="A1" s="4" t="s">
        <v>16</v>
      </c>
      <c r="B1" s="4"/>
      <c r="C1" s="4"/>
      <c r="D1" s="5"/>
      <c r="E1" s="4" t="s">
        <v>17</v>
      </c>
      <c r="F1" s="4"/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4" x14ac:dyDescent="0.25">
      <c r="A2" s="6" t="s">
        <v>315</v>
      </c>
      <c r="B2" s="109">
        <v>123412.95360000001</v>
      </c>
      <c r="C2" s="31"/>
      <c r="E2" s="6" t="s">
        <v>315</v>
      </c>
      <c r="F2" s="78">
        <v>129633.662</v>
      </c>
      <c r="G2" s="31"/>
      <c r="I2" s="6" t="s">
        <v>315</v>
      </c>
      <c r="J2" s="142">
        <v>134408.66329999999</v>
      </c>
      <c r="K2" s="31"/>
      <c r="M2" s="6" t="s">
        <v>315</v>
      </c>
      <c r="N2" s="78"/>
      <c r="O2" s="31"/>
      <c r="Q2" s="6" t="s">
        <v>315</v>
      </c>
      <c r="R2" s="163"/>
      <c r="S2" s="31"/>
    </row>
    <row r="3" spans="1:24" x14ac:dyDescent="0.25">
      <c r="A3" s="14" t="s">
        <v>22</v>
      </c>
      <c r="B3" s="15">
        <f>SUM(B2:B2)</f>
        <v>123412.95360000001</v>
      </c>
      <c r="C3" s="15">
        <f>SUM(C2:C2)</f>
        <v>0</v>
      </c>
      <c r="E3" s="14" t="s">
        <v>22</v>
      </c>
      <c r="F3" s="15">
        <f>SUM(F2:F2)</f>
        <v>129633.662</v>
      </c>
      <c r="G3" s="15">
        <f>SUM(G2:G2)</f>
        <v>0</v>
      </c>
      <c r="I3" s="12" t="s">
        <v>21</v>
      </c>
      <c r="J3" s="15">
        <f>SUM(J2:J2)</f>
        <v>134408.66329999999</v>
      </c>
      <c r="K3" s="15">
        <f>SUM(K2:K2)</f>
        <v>0</v>
      </c>
      <c r="M3" s="12" t="s">
        <v>21</v>
      </c>
      <c r="N3" s="13">
        <f>SUM(N2:N2)</f>
        <v>0</v>
      </c>
      <c r="O3" s="13">
        <f>SUM(O2:O2)</f>
        <v>0</v>
      </c>
      <c r="Q3" s="14" t="s">
        <v>22</v>
      </c>
      <c r="R3" s="15">
        <f>SUM(R2:R2)</f>
        <v>0</v>
      </c>
      <c r="S3" s="15">
        <f>SUM(S2:S2)</f>
        <v>0</v>
      </c>
      <c r="X3" s="163"/>
    </row>
    <row r="5" spans="1:24" x14ac:dyDescent="0.25">
      <c r="A5" s="25" t="s">
        <v>32</v>
      </c>
      <c r="B5" s="9"/>
      <c r="C5" s="9"/>
      <c r="E5" s="9"/>
      <c r="F5" s="9"/>
      <c r="G5" s="9"/>
      <c r="I5" s="9"/>
      <c r="J5" s="9"/>
      <c r="K5" s="9"/>
      <c r="M5" s="9"/>
      <c r="N5" s="9"/>
      <c r="O5" s="9"/>
      <c r="Q5" s="9"/>
      <c r="R5" s="9"/>
      <c r="S5" s="9"/>
      <c r="T5" s="10"/>
    </row>
    <row r="6" spans="1:24" x14ac:dyDescent="0.25">
      <c r="A6" s="9"/>
      <c r="B6" s="9"/>
      <c r="C6" s="9"/>
      <c r="E6" s="9"/>
      <c r="F6" s="9"/>
      <c r="G6" s="9"/>
      <c r="I6" s="9"/>
      <c r="J6" s="9"/>
      <c r="K6" s="9"/>
      <c r="M6" s="9"/>
      <c r="N6" s="9"/>
      <c r="O6" s="9"/>
      <c r="Q6" s="9"/>
      <c r="R6" s="9"/>
      <c r="S6" s="9"/>
      <c r="T6" s="10"/>
    </row>
    <row r="7" spans="1:24" x14ac:dyDescent="0.25">
      <c r="A7" s="6" t="s">
        <v>51</v>
      </c>
      <c r="B7" s="7">
        <f>IF(B2+C2&gt;0, B2+C2, "")</f>
        <v>123412.95360000001</v>
      </c>
      <c r="C7" s="7" t="str">
        <f>IFERROR(C2+(C2/B2)*#REF!, "")</f>
        <v/>
      </c>
      <c r="E7" s="6" t="s">
        <v>51</v>
      </c>
      <c r="F7" s="7">
        <f>IF(F2+G2&gt;0, F2+G2, "")</f>
        <v>129633.662</v>
      </c>
      <c r="G7" s="7" t="str">
        <f>IFERROR(G2+(G2/F2)*#REF!, "")</f>
        <v/>
      </c>
      <c r="I7" s="6" t="s">
        <v>51</v>
      </c>
      <c r="J7" s="7">
        <f>IF(J2+K2&gt;0, J2+K2, "")</f>
        <v>134408.66329999999</v>
      </c>
      <c r="K7" s="7" t="str">
        <f>IFERROR(K2+(K2/J2)*#REF!, "")</f>
        <v/>
      </c>
      <c r="M7" s="6" t="s">
        <v>51</v>
      </c>
      <c r="N7" s="7" t="str">
        <f>IF(N2+O2&gt;0, N2+O2, "")</f>
        <v/>
      </c>
      <c r="O7" s="7" t="str">
        <f>IFERROR(O2+(O2/N2)*#REF!, "")</f>
        <v/>
      </c>
      <c r="Q7" s="6" t="s">
        <v>51</v>
      </c>
      <c r="R7" s="7" t="str">
        <f>IF(R2+S2&gt;0, R2+S2, "")</f>
        <v/>
      </c>
      <c r="S7" s="7" t="str">
        <f>IFERROR(S2+(S2/R2)*#REF!, "")</f>
        <v/>
      </c>
      <c r="T7" s="10"/>
    </row>
    <row r="8" spans="1:24" x14ac:dyDescent="0.25">
      <c r="A8" s="14" t="s">
        <v>22</v>
      </c>
      <c r="B8" s="7">
        <f>SUM(B3:C3)</f>
        <v>123412.95360000001</v>
      </c>
      <c r="C8" s="7" t="str">
        <f>IFERROR(C3+(C3/B3)*#REF!, "")</f>
        <v/>
      </c>
      <c r="E8" s="14" t="s">
        <v>22</v>
      </c>
      <c r="F8" s="7">
        <f>SUM(F3:G3)</f>
        <v>129633.662</v>
      </c>
      <c r="G8" s="7" t="str">
        <f>IFERROR(G3+(G3/F3)*#REF!, "")</f>
        <v/>
      </c>
      <c r="I8" s="14" t="s">
        <v>22</v>
      </c>
      <c r="J8" s="7">
        <f>SUM(J3:K3)</f>
        <v>134408.66329999999</v>
      </c>
      <c r="K8" s="7" t="str">
        <f>IFERROR(K3+(K3/J3)*#REF!, "")</f>
        <v/>
      </c>
      <c r="M8" s="14" t="s">
        <v>22</v>
      </c>
      <c r="N8" s="7">
        <f>SUM(N3:O3)</f>
        <v>0</v>
      </c>
      <c r="O8" s="7" t="str">
        <f>IFERROR(O3+(O3/N3)*#REF!, "")</f>
        <v/>
      </c>
      <c r="Q8" s="14" t="s">
        <v>22</v>
      </c>
      <c r="R8" s="7">
        <f>SUM(R3:S3)</f>
        <v>0</v>
      </c>
      <c r="S8" s="7" t="str">
        <f>IFERROR(S3+(S3/R3)*#REF!, "")</f>
        <v/>
      </c>
      <c r="T8" s="10"/>
    </row>
    <row r="9" spans="1:24" x14ac:dyDescent="0.25">
      <c r="T9" s="10"/>
    </row>
    <row r="10" spans="1:24" x14ac:dyDescent="0.25">
      <c r="T10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9"/>
  <sheetViews>
    <sheetView workbookViewId="0">
      <selection activeCell="B9" sqref="B9"/>
    </sheetView>
  </sheetViews>
  <sheetFormatPr defaultRowHeight="12.75" x14ac:dyDescent="0.2"/>
  <cols>
    <col min="1" max="16384" width="9.140625" style="290"/>
  </cols>
  <sheetData>
    <row r="1" spans="1:2" x14ac:dyDescent="0.2">
      <c r="A1" s="290" t="s">
        <v>804</v>
      </c>
    </row>
    <row r="2" spans="1:2" x14ac:dyDescent="0.2">
      <c r="A2" s="376" t="s">
        <v>114</v>
      </c>
      <c r="B2" s="376">
        <v>2E-3</v>
      </c>
    </row>
    <row r="3" spans="1:2" x14ac:dyDescent="0.2">
      <c r="A3" s="376" t="s">
        <v>115</v>
      </c>
      <c r="B3" s="376">
        <v>1.7999999999999999E-2</v>
      </c>
    </row>
    <row r="7" spans="1:2" x14ac:dyDescent="0.2">
      <c r="A7" s="290" t="s">
        <v>805</v>
      </c>
    </row>
    <row r="8" spans="1:2" x14ac:dyDescent="0.2">
      <c r="A8" s="376" t="s">
        <v>114</v>
      </c>
      <c r="B8" s="376">
        <f>0.0014*1.3</f>
        <v>1.82E-3</v>
      </c>
    </row>
    <row r="9" spans="1:2" x14ac:dyDescent="0.2">
      <c r="A9" s="376" t="s">
        <v>115</v>
      </c>
      <c r="B9" s="376">
        <f>0.009*1.3</f>
        <v>1.17E-2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9"/>
  <sheetViews>
    <sheetView workbookViewId="0">
      <selection activeCell="B7" sqref="B4:B7"/>
    </sheetView>
  </sheetViews>
  <sheetFormatPr defaultRowHeight="12.75" x14ac:dyDescent="0.2"/>
  <sheetData>
    <row r="1" spans="1:2" s="290" customFormat="1" x14ac:dyDescent="0.2">
      <c r="A1" s="290" t="s">
        <v>815</v>
      </c>
    </row>
    <row r="2" spans="1:2" ht="30" customHeight="1" x14ac:dyDescent="0.2">
      <c r="A2" t="s">
        <v>814</v>
      </c>
    </row>
    <row r="4" spans="1:2" x14ac:dyDescent="0.2">
      <c r="A4" t="s">
        <v>816</v>
      </c>
      <c r="B4" s="419">
        <v>0.22</v>
      </c>
    </row>
    <row r="5" spans="1:2" x14ac:dyDescent="0.2">
      <c r="A5" t="s">
        <v>817</v>
      </c>
      <c r="B5" s="419">
        <v>0.22</v>
      </c>
    </row>
    <row r="6" spans="1:2" x14ac:dyDescent="0.2">
      <c r="A6" t="s">
        <v>818</v>
      </c>
      <c r="B6" s="419">
        <v>0.23</v>
      </c>
    </row>
    <row r="7" spans="1:2" x14ac:dyDescent="0.2">
      <c r="A7" t="s">
        <v>819</v>
      </c>
      <c r="B7" s="419">
        <v>0.33</v>
      </c>
    </row>
    <row r="9" spans="1:2" x14ac:dyDescent="0.2">
      <c r="A9" t="s">
        <v>820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pane ySplit="1" topLeftCell="A2" activePane="bottomLeft" state="frozen"/>
      <selection pane="bottomLeft" activeCell="P18" sqref="P18"/>
    </sheetView>
  </sheetViews>
  <sheetFormatPr defaultRowHeight="12.75" x14ac:dyDescent="0.2"/>
  <cols>
    <col min="1" max="1" width="16.7109375" style="500" bestFit="1" customWidth="1"/>
    <col min="4" max="4" width="12.42578125" bestFit="1" customWidth="1"/>
    <col min="14" max="14" width="13.85546875" bestFit="1" customWidth="1"/>
    <col min="15" max="15" width="16.140625" customWidth="1"/>
    <col min="16" max="16" width="13.140625" customWidth="1"/>
  </cols>
  <sheetData>
    <row r="1" spans="1:16" x14ac:dyDescent="0.2">
      <c r="A1" s="501" t="s">
        <v>917</v>
      </c>
      <c r="B1" s="155" t="s">
        <v>918</v>
      </c>
      <c r="C1" s="155" t="s">
        <v>919</v>
      </c>
      <c r="D1" s="155" t="s">
        <v>920</v>
      </c>
      <c r="E1" s="155" t="s">
        <v>929</v>
      </c>
    </row>
    <row r="2" spans="1:16" x14ac:dyDescent="0.2">
      <c r="A2" s="500">
        <v>888003500761</v>
      </c>
      <c r="B2">
        <v>8869</v>
      </c>
      <c r="C2" t="s">
        <v>70</v>
      </c>
      <c r="D2" t="s">
        <v>922</v>
      </c>
      <c r="E2" s="290">
        <v>159.12244000000001</v>
      </c>
      <c r="H2" s="502">
        <v>888003918115</v>
      </c>
      <c r="I2" s="502">
        <v>27.657153999999998</v>
      </c>
    </row>
    <row r="3" spans="1:16" x14ac:dyDescent="0.2">
      <c r="A3" s="500">
        <v>888003419490</v>
      </c>
      <c r="B3">
        <v>9304</v>
      </c>
      <c r="C3" t="s">
        <v>582</v>
      </c>
      <c r="D3" t="s">
        <v>801</v>
      </c>
      <c r="E3" s="290"/>
      <c r="H3" s="502">
        <v>888003500761</v>
      </c>
      <c r="I3" s="502">
        <v>159.12244000000001</v>
      </c>
    </row>
    <row r="4" spans="1:16" x14ac:dyDescent="0.2">
      <c r="A4" s="500">
        <v>887396937178</v>
      </c>
      <c r="B4">
        <v>16082</v>
      </c>
      <c r="C4" t="s">
        <v>496</v>
      </c>
      <c r="D4" t="s">
        <v>921</v>
      </c>
      <c r="E4" s="290">
        <v>6357.799728</v>
      </c>
      <c r="H4" s="502">
        <v>887396937178</v>
      </c>
      <c r="I4" s="502">
        <v>6357.799728</v>
      </c>
    </row>
    <row r="5" spans="1:16" x14ac:dyDescent="0.2">
      <c r="A5" s="500">
        <v>888608382151</v>
      </c>
      <c r="B5">
        <v>16600</v>
      </c>
      <c r="C5" t="s">
        <v>537</v>
      </c>
      <c r="D5" t="s">
        <v>924</v>
      </c>
      <c r="E5" s="290"/>
      <c r="N5" s="503" t="s">
        <v>920</v>
      </c>
      <c r="O5" s="290" t="s">
        <v>934</v>
      </c>
    </row>
    <row r="6" spans="1:16" x14ac:dyDescent="0.2">
      <c r="A6" s="500">
        <v>888608306980</v>
      </c>
      <c r="B6">
        <v>16909</v>
      </c>
      <c r="C6" t="s">
        <v>640</v>
      </c>
      <c r="D6" t="s">
        <v>927</v>
      </c>
      <c r="E6" s="290"/>
    </row>
    <row r="7" spans="1:16" x14ac:dyDescent="0.2">
      <c r="A7" s="500">
        <v>5060122344883</v>
      </c>
      <c r="B7">
        <v>16915</v>
      </c>
      <c r="C7" t="s">
        <v>448</v>
      </c>
      <c r="D7" t="s">
        <v>923</v>
      </c>
      <c r="E7" s="290"/>
      <c r="N7" s="503" t="s">
        <v>930</v>
      </c>
      <c r="O7" s="290" t="s">
        <v>932</v>
      </c>
      <c r="P7" s="290" t="s">
        <v>933</v>
      </c>
    </row>
    <row r="8" spans="1:16" x14ac:dyDescent="0.2">
      <c r="A8" s="500">
        <v>888003918115</v>
      </c>
      <c r="B8">
        <v>17048</v>
      </c>
      <c r="C8" t="s">
        <v>465</v>
      </c>
      <c r="D8" t="s">
        <v>923</v>
      </c>
      <c r="E8" s="290">
        <v>27.657153999999998</v>
      </c>
      <c r="N8" s="172">
        <v>8869</v>
      </c>
      <c r="O8" s="195">
        <v>1</v>
      </c>
      <c r="P8" s="195">
        <v>159.12244000000001</v>
      </c>
    </row>
    <row r="9" spans="1:16" x14ac:dyDescent="0.2">
      <c r="A9" s="500">
        <v>888608273558</v>
      </c>
      <c r="B9">
        <v>17067</v>
      </c>
      <c r="C9" t="s">
        <v>728</v>
      </c>
      <c r="D9" t="s">
        <v>921</v>
      </c>
      <c r="E9" s="290"/>
      <c r="N9" s="172">
        <v>9304</v>
      </c>
      <c r="O9" s="195">
        <v>1</v>
      </c>
      <c r="P9" s="195"/>
    </row>
    <row r="10" spans="1:16" x14ac:dyDescent="0.2">
      <c r="A10" s="500">
        <v>888608277921</v>
      </c>
      <c r="B10">
        <v>17124</v>
      </c>
      <c r="C10" t="s">
        <v>644</v>
      </c>
      <c r="D10" t="s">
        <v>921</v>
      </c>
      <c r="E10" s="290"/>
      <c r="N10" s="172">
        <v>16082</v>
      </c>
      <c r="O10" s="195">
        <v>1</v>
      </c>
      <c r="P10" s="195">
        <v>6357.799728</v>
      </c>
    </row>
    <row r="11" spans="1:16" x14ac:dyDescent="0.2">
      <c r="A11" s="500">
        <v>888608282529</v>
      </c>
      <c r="B11">
        <v>17132</v>
      </c>
      <c r="C11" t="s">
        <v>926</v>
      </c>
      <c r="D11" t="s">
        <v>927</v>
      </c>
      <c r="E11" s="290"/>
      <c r="N11" s="172">
        <v>16600</v>
      </c>
      <c r="O11" s="195">
        <v>1</v>
      </c>
      <c r="P11" s="195"/>
    </row>
    <row r="12" spans="1:16" x14ac:dyDescent="0.2">
      <c r="A12" s="500">
        <v>888608283076</v>
      </c>
      <c r="B12">
        <v>17132</v>
      </c>
      <c r="C12" t="s">
        <v>926</v>
      </c>
      <c r="D12" t="s">
        <v>927</v>
      </c>
      <c r="E12" s="290"/>
      <c r="N12" s="172">
        <v>16909</v>
      </c>
      <c r="O12" s="195">
        <v>1</v>
      </c>
      <c r="P12" s="195"/>
    </row>
    <row r="13" spans="1:16" x14ac:dyDescent="0.2">
      <c r="A13" s="500">
        <v>888608341363</v>
      </c>
      <c r="B13">
        <v>17132</v>
      </c>
      <c r="C13" t="s">
        <v>926</v>
      </c>
      <c r="D13" t="s">
        <v>927</v>
      </c>
      <c r="E13" s="290"/>
      <c r="N13" s="172">
        <v>17067</v>
      </c>
      <c r="O13" s="195">
        <v>1</v>
      </c>
      <c r="P13" s="195"/>
    </row>
    <row r="14" spans="1:16" x14ac:dyDescent="0.2">
      <c r="A14" s="500">
        <v>888608389815</v>
      </c>
      <c r="B14">
        <v>17132</v>
      </c>
      <c r="C14" t="s">
        <v>926</v>
      </c>
      <c r="D14" t="s">
        <v>927</v>
      </c>
      <c r="E14" s="290"/>
      <c r="N14" s="172">
        <v>17124</v>
      </c>
      <c r="O14" s="195">
        <v>1</v>
      </c>
      <c r="P14" s="195"/>
    </row>
    <row r="15" spans="1:16" x14ac:dyDescent="0.2">
      <c r="A15" s="500">
        <v>888003955561</v>
      </c>
      <c r="B15">
        <v>17651</v>
      </c>
      <c r="C15" t="s">
        <v>729</v>
      </c>
      <c r="D15" t="s">
        <v>924</v>
      </c>
      <c r="E15" s="290"/>
      <c r="N15" s="172">
        <v>17132</v>
      </c>
      <c r="O15" s="195">
        <v>4</v>
      </c>
      <c r="P15" s="195"/>
    </row>
    <row r="16" spans="1:16" x14ac:dyDescent="0.2">
      <c r="A16" s="500">
        <v>8718781127909</v>
      </c>
      <c r="B16">
        <v>17960</v>
      </c>
      <c r="C16" t="s">
        <v>702</v>
      </c>
      <c r="D16" t="s">
        <v>923</v>
      </c>
      <c r="E16" s="290"/>
      <c r="N16" s="172">
        <v>17651</v>
      </c>
      <c r="O16" s="195">
        <v>1</v>
      </c>
      <c r="P16" s="195"/>
    </row>
    <row r="17" spans="1:16" x14ac:dyDescent="0.2">
      <c r="A17" s="500">
        <v>8718781127916</v>
      </c>
      <c r="B17">
        <v>17960</v>
      </c>
      <c r="C17" t="s">
        <v>702</v>
      </c>
      <c r="D17" t="s">
        <v>923</v>
      </c>
      <c r="E17" s="290"/>
      <c r="N17" s="172">
        <v>23104</v>
      </c>
      <c r="O17" s="195">
        <v>13</v>
      </c>
      <c r="P17" s="195"/>
    </row>
    <row r="18" spans="1:16" x14ac:dyDescent="0.2">
      <c r="A18" s="500">
        <v>8718781127930</v>
      </c>
      <c r="B18">
        <v>17960</v>
      </c>
      <c r="C18" t="s">
        <v>702</v>
      </c>
      <c r="D18" t="s">
        <v>923</v>
      </c>
      <c r="E18" s="290"/>
      <c r="N18" s="172" t="s">
        <v>931</v>
      </c>
      <c r="O18" s="195">
        <v>25</v>
      </c>
      <c r="P18" s="195">
        <v>6516.9221680000001</v>
      </c>
    </row>
    <row r="19" spans="1:16" x14ac:dyDescent="0.2">
      <c r="A19" s="500">
        <v>5055122150220</v>
      </c>
      <c r="B19">
        <v>18730</v>
      </c>
      <c r="C19" t="s">
        <v>327</v>
      </c>
      <c r="D19" t="s">
        <v>925</v>
      </c>
      <c r="E19" s="290"/>
    </row>
    <row r="20" spans="1:16" x14ac:dyDescent="0.2">
      <c r="A20" s="500">
        <v>5055122150367</v>
      </c>
      <c r="B20">
        <v>18730</v>
      </c>
      <c r="C20" t="s">
        <v>327</v>
      </c>
      <c r="D20" t="s">
        <v>925</v>
      </c>
      <c r="E20" s="290"/>
    </row>
    <row r="21" spans="1:16" x14ac:dyDescent="0.2">
      <c r="A21" s="500">
        <v>5055122150497</v>
      </c>
      <c r="B21">
        <v>18730</v>
      </c>
      <c r="C21" t="s">
        <v>327</v>
      </c>
      <c r="D21" t="s">
        <v>925</v>
      </c>
      <c r="E21" s="290"/>
    </row>
    <row r="22" spans="1:16" x14ac:dyDescent="0.2">
      <c r="A22" s="500">
        <v>5055731807607</v>
      </c>
      <c r="B22">
        <v>19219</v>
      </c>
      <c r="C22" t="s">
        <v>381</v>
      </c>
      <c r="D22" t="s">
        <v>925</v>
      </c>
      <c r="E22" s="290"/>
    </row>
    <row r="23" spans="1:16" x14ac:dyDescent="0.2">
      <c r="A23" s="500">
        <v>888608278461</v>
      </c>
      <c r="B23">
        <v>19353</v>
      </c>
      <c r="C23" t="s">
        <v>386</v>
      </c>
      <c r="D23" t="s">
        <v>925</v>
      </c>
      <c r="E23" s="290"/>
    </row>
    <row r="24" spans="1:16" x14ac:dyDescent="0.2">
      <c r="A24" s="500">
        <v>888608012744</v>
      </c>
      <c r="B24">
        <v>20908</v>
      </c>
      <c r="C24" t="s">
        <v>440</v>
      </c>
      <c r="D24" t="s">
        <v>923</v>
      </c>
      <c r="E24" s="290"/>
    </row>
    <row r="25" spans="1:16" x14ac:dyDescent="0.2">
      <c r="A25" s="500">
        <v>5060209403571</v>
      </c>
      <c r="B25">
        <v>20908</v>
      </c>
      <c r="C25" t="s">
        <v>440</v>
      </c>
      <c r="D25" t="s">
        <v>923</v>
      </c>
      <c r="E25" s="290"/>
    </row>
    <row r="26" spans="1:16" x14ac:dyDescent="0.2">
      <c r="A26" s="500">
        <v>5052122082025</v>
      </c>
      <c r="B26">
        <v>21851</v>
      </c>
      <c r="C26" t="s">
        <v>468</v>
      </c>
      <c r="D26" t="s">
        <v>925</v>
      </c>
      <c r="E26" s="290"/>
    </row>
    <row r="27" spans="1:16" x14ac:dyDescent="0.2">
      <c r="A27" s="500">
        <v>8907123001056</v>
      </c>
      <c r="B27">
        <v>22301</v>
      </c>
      <c r="C27" t="s">
        <v>928</v>
      </c>
      <c r="D27" t="s">
        <v>925</v>
      </c>
      <c r="E27" s="290"/>
    </row>
    <row r="28" spans="1:16" x14ac:dyDescent="0.2">
      <c r="A28" s="500">
        <v>888003834026</v>
      </c>
      <c r="B28">
        <v>23104</v>
      </c>
      <c r="C28" t="s">
        <v>812</v>
      </c>
      <c r="D28" t="s">
        <v>801</v>
      </c>
      <c r="E28" s="290"/>
    </row>
    <row r="29" spans="1:16" x14ac:dyDescent="0.2">
      <c r="A29" s="500">
        <v>888003843325</v>
      </c>
      <c r="B29">
        <v>23104</v>
      </c>
      <c r="C29" t="s">
        <v>812</v>
      </c>
      <c r="D29" t="s">
        <v>801</v>
      </c>
      <c r="E29" s="290"/>
    </row>
    <row r="30" spans="1:16" x14ac:dyDescent="0.2">
      <c r="A30" s="500">
        <v>888003844407</v>
      </c>
      <c r="B30">
        <v>23104</v>
      </c>
      <c r="C30" t="s">
        <v>812</v>
      </c>
      <c r="D30" t="s">
        <v>801</v>
      </c>
      <c r="E30" s="290"/>
    </row>
    <row r="31" spans="1:16" x14ac:dyDescent="0.2">
      <c r="A31" s="500">
        <v>888003845886</v>
      </c>
      <c r="B31">
        <v>23104</v>
      </c>
      <c r="C31" t="s">
        <v>812</v>
      </c>
      <c r="D31" t="s">
        <v>801</v>
      </c>
      <c r="E31" s="290"/>
    </row>
    <row r="32" spans="1:16" x14ac:dyDescent="0.2">
      <c r="A32" s="500">
        <v>888003845893</v>
      </c>
      <c r="B32">
        <v>23104</v>
      </c>
      <c r="C32" t="s">
        <v>812</v>
      </c>
      <c r="D32" t="s">
        <v>801</v>
      </c>
      <c r="E32" s="290"/>
    </row>
    <row r="33" spans="1:5" x14ac:dyDescent="0.2">
      <c r="A33" s="500">
        <v>888003846289</v>
      </c>
      <c r="B33">
        <v>23104</v>
      </c>
      <c r="C33" t="s">
        <v>812</v>
      </c>
      <c r="D33" t="s">
        <v>801</v>
      </c>
      <c r="E33" s="290"/>
    </row>
    <row r="34" spans="1:5" x14ac:dyDescent="0.2">
      <c r="A34" s="500">
        <v>888003846296</v>
      </c>
      <c r="B34">
        <v>23104</v>
      </c>
      <c r="C34" t="s">
        <v>812</v>
      </c>
      <c r="D34" t="s">
        <v>801</v>
      </c>
      <c r="E34" s="290"/>
    </row>
    <row r="35" spans="1:5" x14ac:dyDescent="0.2">
      <c r="A35" s="500">
        <v>888003846302</v>
      </c>
      <c r="B35">
        <v>23104</v>
      </c>
      <c r="C35" t="s">
        <v>812</v>
      </c>
      <c r="D35" t="s">
        <v>801</v>
      </c>
      <c r="E35" s="290"/>
    </row>
    <row r="36" spans="1:5" x14ac:dyDescent="0.2">
      <c r="A36" s="500">
        <v>888003849983</v>
      </c>
      <c r="B36">
        <v>23104</v>
      </c>
      <c r="C36" t="s">
        <v>812</v>
      </c>
      <c r="D36" t="s">
        <v>801</v>
      </c>
      <c r="E36" s="290"/>
    </row>
    <row r="37" spans="1:5" x14ac:dyDescent="0.2">
      <c r="A37" s="500">
        <v>888003850033</v>
      </c>
      <c r="B37">
        <v>23104</v>
      </c>
      <c r="C37" t="s">
        <v>812</v>
      </c>
      <c r="D37" t="s">
        <v>801</v>
      </c>
      <c r="E37" s="290"/>
    </row>
    <row r="38" spans="1:5" x14ac:dyDescent="0.2">
      <c r="A38" s="500">
        <v>888003850064</v>
      </c>
      <c r="B38">
        <v>23104</v>
      </c>
      <c r="C38" t="s">
        <v>812</v>
      </c>
      <c r="D38" t="s">
        <v>801</v>
      </c>
      <c r="E38" s="290"/>
    </row>
    <row r="39" spans="1:5" x14ac:dyDescent="0.2">
      <c r="A39" s="500">
        <v>888003850071</v>
      </c>
      <c r="B39">
        <v>23104</v>
      </c>
      <c r="C39" t="s">
        <v>812</v>
      </c>
      <c r="D39" t="s">
        <v>801</v>
      </c>
      <c r="E39" s="290"/>
    </row>
    <row r="40" spans="1:5" x14ac:dyDescent="0.2">
      <c r="A40" s="500">
        <v>888608090605</v>
      </c>
      <c r="B40">
        <v>23104</v>
      </c>
      <c r="C40" t="s">
        <v>812</v>
      </c>
      <c r="D40" t="s">
        <v>801</v>
      </c>
      <c r="E40" s="290"/>
    </row>
    <row r="41" spans="1:5" x14ac:dyDescent="0.2">
      <c r="A41" s="500">
        <v>888003888814</v>
      </c>
      <c r="B41">
        <v>23286</v>
      </c>
      <c r="C41" t="s">
        <v>874</v>
      </c>
      <c r="D41" t="s">
        <v>923</v>
      </c>
      <c r="E41" s="290"/>
    </row>
    <row r="42" spans="1:5" x14ac:dyDescent="0.2">
      <c r="A42" s="500">
        <v>888003889514</v>
      </c>
      <c r="B42">
        <v>23286</v>
      </c>
      <c r="C42" t="s">
        <v>874</v>
      </c>
      <c r="D42" t="s">
        <v>923</v>
      </c>
      <c r="E42" s="290"/>
    </row>
  </sheetData>
  <autoFilter ref="A1:D42">
    <sortState ref="A2:D42">
      <sortCondition ref="B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/>
    <pageSetUpPr fitToPage="1"/>
  </sheetPr>
  <dimension ref="A1:S133"/>
  <sheetViews>
    <sheetView workbookViewId="0">
      <selection sqref="A1:K1"/>
    </sheetView>
  </sheetViews>
  <sheetFormatPr defaultColWidth="8.85546875" defaultRowHeight="12.75" x14ac:dyDescent="0.2"/>
  <cols>
    <col min="1" max="1" width="15.7109375" bestFit="1" customWidth="1"/>
    <col min="2" max="2" width="12" bestFit="1" customWidth="1"/>
    <col min="3" max="5" width="11" customWidth="1"/>
    <col min="6" max="6" width="11.42578125" customWidth="1"/>
    <col min="7" max="7" width="12.28515625" customWidth="1"/>
    <col min="8" max="9" width="12.140625" customWidth="1"/>
    <col min="10" max="10" width="11.85546875" bestFit="1" customWidth="1"/>
    <col min="11" max="11" width="8" customWidth="1"/>
    <col min="12" max="13" width="12.28515625" hidden="1" customWidth="1"/>
    <col min="14" max="14" width="11.42578125" hidden="1" customWidth="1"/>
    <col min="15" max="15" width="9.42578125" hidden="1" customWidth="1"/>
  </cols>
  <sheetData>
    <row r="1" spans="1:19" ht="15.75" thickBot="1" x14ac:dyDescent="0.3">
      <c r="A1" s="568" t="s">
        <v>1007</v>
      </c>
      <c r="B1" s="569"/>
      <c r="C1" s="569"/>
      <c r="D1" s="569"/>
      <c r="E1" s="569"/>
      <c r="F1" s="569"/>
      <c r="G1" s="569"/>
      <c r="H1" s="569"/>
      <c r="I1" s="569"/>
      <c r="J1" s="569"/>
      <c r="K1" s="570"/>
      <c r="L1" s="568" t="s">
        <v>739</v>
      </c>
      <c r="M1" s="569"/>
      <c r="N1" s="569"/>
      <c r="O1" s="570"/>
    </row>
    <row r="2" spans="1:19" ht="36.75" thickBot="1" x14ac:dyDescent="0.25">
      <c r="A2" s="68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71" t="s">
        <v>7</v>
      </c>
      <c r="I2" s="100" t="s">
        <v>82</v>
      </c>
      <c r="J2" s="69" t="s">
        <v>80</v>
      </c>
      <c r="K2" s="70" t="s">
        <v>81</v>
      </c>
      <c r="L2" s="150" t="s">
        <v>746</v>
      </c>
      <c r="M2" s="151" t="s">
        <v>747</v>
      </c>
      <c r="N2" s="151" t="s">
        <v>748</v>
      </c>
      <c r="O2" s="152" t="s">
        <v>750</v>
      </c>
    </row>
    <row r="3" spans="1:19" ht="15" x14ac:dyDescent="0.2">
      <c r="A3" s="60" t="s">
        <v>8</v>
      </c>
      <c r="B3" s="61"/>
      <c r="C3" s="61"/>
      <c r="D3" s="61"/>
      <c r="E3" s="62"/>
      <c r="F3" s="63"/>
      <c r="G3" s="64"/>
      <c r="H3" s="65"/>
      <c r="I3" s="74"/>
      <c r="J3" s="96"/>
      <c r="K3" s="113"/>
      <c r="L3" s="80"/>
      <c r="M3" s="81"/>
      <c r="N3" s="81"/>
      <c r="O3" s="82"/>
    </row>
    <row r="4" spans="1:19" x14ac:dyDescent="0.2">
      <c r="A4" s="238" t="s">
        <v>9</v>
      </c>
      <c r="B4" s="242">
        <f>'IODA Weekly iTunes'!B4+'Orch Weekly Mgmt'!B4</f>
        <v>918087.15115599998</v>
      </c>
      <c r="C4" s="242">
        <f>'IODA Weekly iTunes'!C4+'Orch Weekly Mgmt'!C4</f>
        <v>1042589.321371</v>
      </c>
      <c r="D4" s="242">
        <f>'IODA Weekly iTunes'!D4+'Orch Weekly Mgmt'!D4</f>
        <v>943090.00865600002</v>
      </c>
      <c r="E4" s="242">
        <f>'IODA Weekly iTunes'!E4+'Orch Weekly Mgmt'!E4</f>
        <v>0</v>
      </c>
      <c r="F4" s="242">
        <f>'IODA Weekly iTunes'!F4+'Orch Weekly Mgmt'!F4</f>
        <v>0</v>
      </c>
      <c r="G4" s="243">
        <f>SUM(B4:F4)</f>
        <v>2903766.4811829999</v>
      </c>
      <c r="H4" s="245">
        <f>'IODA Weekly iTunes'!H4+'Orch Weekly Mgmt'!H4</f>
        <v>4839610.8019716665</v>
      </c>
      <c r="I4" s="245">
        <f>'IODA Weekly iTunes'!I4+'Orch Weekly Mgmt'!I4:I4</f>
        <v>4136600.8522608569</v>
      </c>
      <c r="J4" s="246">
        <f>H4-I4</f>
        <v>703009.94971080963</v>
      </c>
      <c r="K4" s="247">
        <f>J4/I4</f>
        <v>0.16994870300976223</v>
      </c>
      <c r="L4" s="245">
        <f>'IODA Weekly iTunes'!M4+'Orch Weekly Mgmt'!M4</f>
        <v>12854153.212643795</v>
      </c>
      <c r="M4" s="245">
        <f>'IODA Weekly iTunes'!N4+'Orch Weekly Mgmt'!N4</f>
        <v>12463807.516401282</v>
      </c>
      <c r="N4" s="246">
        <f>L4-M4</f>
        <v>390345.69624251314</v>
      </c>
      <c r="O4" s="247">
        <f>N4/M4</f>
        <v>3.1318334764786147E-2</v>
      </c>
    </row>
    <row r="5" spans="1:19" s="3" customFormat="1" ht="11.25" x14ac:dyDescent="0.2">
      <c r="A5" s="267" t="s">
        <v>201</v>
      </c>
      <c r="B5" s="261">
        <f>'IODA Weekly iTunes'!B5+'Orch Weekly Mgmt'!B5</f>
        <v>794183.67999999993</v>
      </c>
      <c r="C5" s="261">
        <f>'IODA Weekly iTunes'!C5+'Orch Weekly Mgmt'!C5</f>
        <v>908965.42999999993</v>
      </c>
      <c r="D5" s="261">
        <f>'IODA Weekly iTunes'!D5+'Orch Weekly Mgmt'!D5</f>
        <v>816296.13</v>
      </c>
      <c r="E5" s="261">
        <f>'IODA Weekly iTunes'!E5+'Orch Weekly Mgmt'!E5</f>
        <v>0</v>
      </c>
      <c r="F5" s="261">
        <f>'IODA Weekly iTunes'!F5+'Orch Weekly Mgmt'!F5</f>
        <v>0</v>
      </c>
      <c r="G5" s="262">
        <f>SUM(B5:F5)</f>
        <v>2519445.2399999998</v>
      </c>
      <c r="H5" s="263">
        <f>'IODA Weekly iTunes'!H5+'Orch Weekly Mgmt'!H5</f>
        <v>4199075.4000000004</v>
      </c>
      <c r="I5" s="263">
        <f>'IODA Weekly iTunes'!I5+'Orch Weekly Mgmt'!I5:I5</f>
        <v>3542218.8295187475</v>
      </c>
      <c r="J5" s="264">
        <f>H5-I5</f>
        <v>656856.57048125286</v>
      </c>
      <c r="K5" s="265">
        <f t="shared" ref="K5:K7" si="0">J5/I5</f>
        <v>0.18543647416907177</v>
      </c>
      <c r="L5" s="263">
        <f>'IODA Weekly iTunes'!M5+'Orch Weekly Mgmt'!M5</f>
        <v>11059986.661455147</v>
      </c>
      <c r="M5" s="263">
        <f>'IODA Weekly iTunes'!N5+'Orch Weekly Mgmt'!N5</f>
        <v>10643986.134391259</v>
      </c>
      <c r="N5" s="264">
        <f t="shared" ref="N5:N68" si="1">L5-M5</f>
        <v>416000.52706388757</v>
      </c>
      <c r="O5" s="265">
        <f t="shared" ref="O5:O68" si="2">N5/M5</f>
        <v>3.9083151914278504E-2</v>
      </c>
      <c r="Q5" s="235"/>
      <c r="R5" s="169"/>
      <c r="S5" s="169"/>
    </row>
    <row r="6" spans="1:19" s="3" customFormat="1" ht="11.25" x14ac:dyDescent="0.2">
      <c r="A6" s="267" t="s">
        <v>36</v>
      </c>
      <c r="B6" s="261">
        <f>'IODA Weekly iTunes'!B6+'Orch Weekly Mgmt'!B6</f>
        <v>93199.102064000006</v>
      </c>
      <c r="C6" s="261">
        <f>'IODA Weekly iTunes'!C6+'Orch Weekly Mgmt'!C6</f>
        <v>103007.91254</v>
      </c>
      <c r="D6" s="261">
        <f>'IODA Weekly iTunes'!D6+'Orch Weekly Mgmt'!D6</f>
        <v>95158.435287</v>
      </c>
      <c r="E6" s="261">
        <f>'IODA Weekly iTunes'!E6+'Orch Weekly Mgmt'!E6</f>
        <v>0</v>
      </c>
      <c r="F6" s="261">
        <f>'IODA Weekly iTunes'!F6+'Orch Weekly Mgmt'!F6</f>
        <v>0</v>
      </c>
      <c r="G6" s="262">
        <f>SUM(B6:F6)</f>
        <v>291365.44989100005</v>
      </c>
      <c r="H6" s="263">
        <f>'IODA Weekly iTunes'!H6+'Orch Weekly Mgmt'!H6</f>
        <v>485609.08315166668</v>
      </c>
      <c r="I6" s="263">
        <f>'IODA Weekly iTunes'!I6+'Orch Weekly Mgmt'!I6:I6</f>
        <v>450455.66213341814</v>
      </c>
      <c r="J6" s="264">
        <f>H6-I6</f>
        <v>35153.42101824854</v>
      </c>
      <c r="K6" s="265">
        <f t="shared" si="0"/>
        <v>7.8039691746258105E-2</v>
      </c>
      <c r="L6" s="263">
        <f>'IODA Weekly iTunes'!M6+'Orch Weekly Mgmt'!M6</f>
        <v>1356992.247868536</v>
      </c>
      <c r="M6" s="263">
        <f>'IODA Weekly iTunes'!N6+'Orch Weekly Mgmt'!N6</f>
        <v>1379376.3593835603</v>
      </c>
      <c r="N6" s="264">
        <f t="shared" si="1"/>
        <v>-22384.111515024211</v>
      </c>
      <c r="O6" s="265">
        <f t="shared" si="2"/>
        <v>-1.6227704181495189E-2</v>
      </c>
      <c r="Q6" s="235"/>
      <c r="R6" s="169"/>
      <c r="S6" s="169"/>
    </row>
    <row r="7" spans="1:19" s="3" customFormat="1" ht="11.25" x14ac:dyDescent="0.2">
      <c r="A7" s="267" t="s">
        <v>73</v>
      </c>
      <c r="B7" s="261">
        <f>'IODA Weekly iTunes'!B7+'Orch Weekly Mgmt'!B7</f>
        <v>30704.369092000001</v>
      </c>
      <c r="C7" s="261">
        <f>'IODA Weekly iTunes'!C7+'Orch Weekly Mgmt'!C7</f>
        <v>30615.978831</v>
      </c>
      <c r="D7" s="261">
        <f>'IODA Weekly iTunes'!D7+'Orch Weekly Mgmt'!D7</f>
        <v>31635.443369000001</v>
      </c>
      <c r="E7" s="261">
        <f>'IODA Weekly iTunes'!E7+'Orch Weekly Mgmt'!E7</f>
        <v>0</v>
      </c>
      <c r="F7" s="261">
        <f>'IODA Weekly iTunes'!F7+'Orch Weekly Mgmt'!F7</f>
        <v>0</v>
      </c>
      <c r="G7" s="262">
        <f>SUM(B7:F7)</f>
        <v>92955.791292000009</v>
      </c>
      <c r="H7" s="263">
        <f>'IODA Weekly iTunes'!H7+'Orch Weekly Mgmt'!H7</f>
        <v>154926.31882000001</v>
      </c>
      <c r="I7" s="263">
        <f>'IODA Weekly iTunes'!I7+'Orch Weekly Mgmt'!I7:I7</f>
        <v>143926.36060869112</v>
      </c>
      <c r="J7" s="264">
        <f>H7-I7</f>
        <v>10999.958211308898</v>
      </c>
      <c r="K7" s="265">
        <f t="shared" si="0"/>
        <v>7.6427682634286356E-2</v>
      </c>
      <c r="L7" s="263">
        <f>'IODA Weekly iTunes'!M7+'Orch Weekly Mgmt'!M7</f>
        <v>437174.30332011014</v>
      </c>
      <c r="M7" s="263">
        <f>'IODA Weekly iTunes'!N7+'Orch Weekly Mgmt'!N7</f>
        <v>440445.02262646297</v>
      </c>
      <c r="N7" s="264">
        <f t="shared" si="1"/>
        <v>-3270.7193063528393</v>
      </c>
      <c r="O7" s="265">
        <f t="shared" si="2"/>
        <v>-7.4259422591470715E-3</v>
      </c>
      <c r="Q7" s="235"/>
      <c r="R7" s="169"/>
      <c r="S7" s="169"/>
    </row>
    <row r="8" spans="1:19" x14ac:dyDescent="0.2">
      <c r="A8" s="238" t="s">
        <v>72</v>
      </c>
      <c r="B8" s="242">
        <f>'IODA Weekly iTunes'!B8+'Orch Weekly Mgmt'!B8</f>
        <v>169517.818704</v>
      </c>
      <c r="C8" s="242">
        <f>'IODA Weekly iTunes'!C8+'Orch Weekly Mgmt'!C8</f>
        <v>178091.272944</v>
      </c>
      <c r="D8" s="242">
        <f>'IODA Weekly iTunes'!D8+'Orch Weekly Mgmt'!D8</f>
        <v>166823.96941600001</v>
      </c>
      <c r="E8" s="242">
        <f>'IODA Weekly iTunes'!E8+'Orch Weekly Mgmt'!E8</f>
        <v>0</v>
      </c>
      <c r="F8" s="242">
        <f>'IODA Weekly iTunes'!F8+'Orch Weekly Mgmt'!F8</f>
        <v>0</v>
      </c>
      <c r="G8" s="243">
        <f t="shared" ref="G8:G30" si="3">SUM(B8:F8)</f>
        <v>514433.06106400001</v>
      </c>
      <c r="H8" s="245">
        <f>'IODA Weekly iTunes'!H8+'Orch Weekly Mgmt'!H8</f>
        <v>857388.43510666664</v>
      </c>
      <c r="I8" s="245">
        <f>'IODA Weekly iTunes'!I8+'Orch Weekly Mgmt'!I8:I8</f>
        <v>749736.25700125145</v>
      </c>
      <c r="J8" s="246">
        <f t="shared" ref="J8:J49" si="4">H8-I8</f>
        <v>107652.17810541519</v>
      </c>
      <c r="K8" s="247">
        <f t="shared" ref="K8:K66" si="5">J8/I8</f>
        <v>0.14358673080050269</v>
      </c>
      <c r="L8" s="245">
        <f>'IODA Weekly iTunes'!M8+'Orch Weekly Mgmt'!M8</f>
        <v>2424011.5766409952</v>
      </c>
      <c r="M8" s="245">
        <f>'IODA Weekly iTunes'!N8+'Orch Weekly Mgmt'!N8</f>
        <v>2296233.7639005021</v>
      </c>
      <c r="N8" s="246">
        <f t="shared" si="1"/>
        <v>127777.8127404931</v>
      </c>
      <c r="O8" s="247">
        <f t="shared" si="2"/>
        <v>5.5646691878375246E-2</v>
      </c>
    </row>
    <row r="9" spans="1:19" x14ac:dyDescent="0.2">
      <c r="A9" s="238" t="s">
        <v>92</v>
      </c>
      <c r="B9" s="242">
        <f>'IODA Weekly iTunes'!B9+'Orch Weekly Mgmt'!B9</f>
        <v>69660.17916</v>
      </c>
      <c r="C9" s="242">
        <f>'IODA Weekly iTunes'!C9+'Orch Weekly Mgmt'!C9</f>
        <v>70091.768448000003</v>
      </c>
      <c r="D9" s="242">
        <f>'IODA Weekly iTunes'!D9+'Orch Weekly Mgmt'!D9</f>
        <v>63882.979368</v>
      </c>
      <c r="E9" s="242">
        <f>'IODA Weekly iTunes'!E9+'Orch Weekly Mgmt'!E9</f>
        <v>0</v>
      </c>
      <c r="F9" s="242">
        <f>'IODA Weekly iTunes'!F9+'Orch Weekly Mgmt'!F9</f>
        <v>0</v>
      </c>
      <c r="G9" s="243">
        <f t="shared" si="3"/>
        <v>203634.92697600002</v>
      </c>
      <c r="H9" s="245">
        <f>'IODA Weekly iTunes'!H9+'Orch Weekly Mgmt'!H9</f>
        <v>339391.54495999997</v>
      </c>
      <c r="I9" s="245">
        <f>'IODA Weekly iTunes'!I9+'Orch Weekly Mgmt'!I9:I9</f>
        <v>295602.93660419225</v>
      </c>
      <c r="J9" s="246">
        <f t="shared" si="4"/>
        <v>43788.608355807723</v>
      </c>
      <c r="K9" s="247">
        <f t="shared" si="5"/>
        <v>0.14813319806237241</v>
      </c>
      <c r="L9" s="245">
        <f>'IODA Weekly iTunes'!M9+'Orch Weekly Mgmt'!M9</f>
        <v>961593.41955343669</v>
      </c>
      <c r="M9" s="245">
        <f>'IODA Weekly iTunes'!N9+'Orch Weekly Mgmt'!N9</f>
        <v>905176.11200599326</v>
      </c>
      <c r="N9" s="246">
        <f t="shared" si="1"/>
        <v>56417.30754744343</v>
      </c>
      <c r="O9" s="247">
        <f t="shared" si="2"/>
        <v>6.2327437499886083E-2</v>
      </c>
    </row>
    <row r="10" spans="1:19" s="3" customFormat="1" ht="11.25" x14ac:dyDescent="0.2">
      <c r="A10" s="267" t="s">
        <v>39</v>
      </c>
      <c r="B10" s="261">
        <f>'IODA Weekly iTunes'!B10+'Orch Weekly Mgmt'!B10</f>
        <v>42928.468128</v>
      </c>
      <c r="C10" s="261">
        <f>'IODA Weekly iTunes'!C10+'Orch Weekly Mgmt'!C10</f>
        <v>42145.393056000001</v>
      </c>
      <c r="D10" s="261">
        <f>'IODA Weekly iTunes'!D10+'Orch Weekly Mgmt'!D10</f>
        <v>36727.085615999997</v>
      </c>
      <c r="E10" s="261">
        <f>'IODA Weekly iTunes'!E10+'Orch Weekly Mgmt'!E10</f>
        <v>0</v>
      </c>
      <c r="F10" s="261">
        <f>'IODA Weekly iTunes'!F10+'Orch Weekly Mgmt'!F10</f>
        <v>0</v>
      </c>
      <c r="G10" s="262">
        <f t="shared" ref="G10:G26" si="6">SUM(B10:F10)</f>
        <v>121800.94680000001</v>
      </c>
      <c r="H10" s="263">
        <f>'IODA Weekly iTunes'!H10+'Orch Weekly Mgmt'!H10</f>
        <v>203001.57800000001</v>
      </c>
      <c r="I10" s="263">
        <f>'IODA Weekly iTunes'!I10+'Orch Weekly Mgmt'!I10:I10</f>
        <v>172895.03929284189</v>
      </c>
      <c r="J10" s="264">
        <f>H10-I10</f>
        <v>30106.538707158121</v>
      </c>
      <c r="K10" s="265">
        <f t="shared" si="5"/>
        <v>0.174131882732419</v>
      </c>
      <c r="L10" s="263">
        <f>'IODA Weekly iTunes'!M10+'Orch Weekly Mgmt'!M10</f>
        <v>580369.32140748785</v>
      </c>
      <c r="M10" s="263">
        <f>'IODA Weekly iTunes'!N10+'Orch Weekly Mgmt'!N10</f>
        <v>529230.92503756261</v>
      </c>
      <c r="N10" s="264">
        <f t="shared" si="1"/>
        <v>51138.396369925234</v>
      </c>
      <c r="O10" s="265">
        <f t="shared" si="2"/>
        <v>9.6627755391081205E-2</v>
      </c>
      <c r="Q10" s="235"/>
      <c r="R10" s="169"/>
      <c r="S10" s="169"/>
    </row>
    <row r="11" spans="1:19" s="3" customFormat="1" ht="11.25" x14ac:dyDescent="0.2">
      <c r="A11" s="267" t="s">
        <v>35</v>
      </c>
      <c r="B11" s="261">
        <f>'IODA Weekly iTunes'!B11+'Orch Weekly Mgmt'!B11</f>
        <v>12912.935568000001</v>
      </c>
      <c r="C11" s="261">
        <f>'IODA Weekly iTunes'!C11+'Orch Weekly Mgmt'!C11</f>
        <v>13455.175655999999</v>
      </c>
      <c r="D11" s="261">
        <f>'IODA Weekly iTunes'!D11+'Orch Weekly Mgmt'!D11</f>
        <v>12697.300824</v>
      </c>
      <c r="E11" s="261">
        <f>'IODA Weekly iTunes'!E11+'Orch Weekly Mgmt'!E11</f>
        <v>0</v>
      </c>
      <c r="F11" s="261">
        <f>'IODA Weekly iTunes'!F11+'Orch Weekly Mgmt'!F11</f>
        <v>0</v>
      </c>
      <c r="G11" s="262">
        <f t="shared" si="6"/>
        <v>39065.412047999998</v>
      </c>
      <c r="H11" s="263">
        <f>'IODA Weekly iTunes'!H11+'Orch Weekly Mgmt'!H11</f>
        <v>65109.020080000002</v>
      </c>
      <c r="I11" s="263">
        <f>'IODA Weekly iTunes'!I11+'Orch Weekly Mgmt'!I11:I11</f>
        <v>49853.776128328929</v>
      </c>
      <c r="J11" s="264">
        <f>H11-I11</f>
        <v>15255.243951671073</v>
      </c>
      <c r="K11" s="265">
        <f t="shared" si="5"/>
        <v>0.30599976845088828</v>
      </c>
      <c r="L11" s="263">
        <f>'IODA Weekly iTunes'!M11+'Orch Weekly Mgmt'!M11</f>
        <v>174630.68556949482</v>
      </c>
      <c r="M11" s="263">
        <f>'IODA Weekly iTunes'!N11+'Orch Weekly Mgmt'!N11</f>
        <v>152686.79716112898</v>
      </c>
      <c r="N11" s="264">
        <f t="shared" si="1"/>
        <v>21943.888408365834</v>
      </c>
      <c r="O11" s="265">
        <f t="shared" si="2"/>
        <v>0.14371830974493918</v>
      </c>
      <c r="Q11" s="235"/>
      <c r="R11" s="169"/>
      <c r="S11" s="169"/>
    </row>
    <row r="12" spans="1:19" s="3" customFormat="1" ht="11.25" x14ac:dyDescent="0.2">
      <c r="A12" s="267" t="s">
        <v>43</v>
      </c>
      <c r="B12" s="261">
        <f>'IODA Weekly iTunes'!B12+'Orch Weekly Mgmt'!B12</f>
        <v>1521.6084000000001</v>
      </c>
      <c r="C12" s="261">
        <f>'IODA Weekly iTunes'!C12+'Orch Weekly Mgmt'!C12</f>
        <v>1744.9439279999999</v>
      </c>
      <c r="D12" s="261">
        <f>'IODA Weekly iTunes'!D12+'Orch Weekly Mgmt'!D12</f>
        <v>1532.4432240000001</v>
      </c>
      <c r="E12" s="261">
        <f>'IODA Weekly iTunes'!E12+'Orch Weekly Mgmt'!E12</f>
        <v>0</v>
      </c>
      <c r="F12" s="261">
        <f>'IODA Weekly iTunes'!F12+'Orch Weekly Mgmt'!F12</f>
        <v>0</v>
      </c>
      <c r="G12" s="262">
        <f t="shared" si="6"/>
        <v>4798.9955520000003</v>
      </c>
      <c r="H12" s="263">
        <f>'IODA Weekly iTunes'!H12+'Orch Weekly Mgmt'!H12</f>
        <v>7998.3259200000002</v>
      </c>
      <c r="I12" s="263">
        <f>'IODA Weekly iTunes'!I12+'Orch Weekly Mgmt'!I12:I12</f>
        <v>7066.6951197580411</v>
      </c>
      <c r="J12" s="264">
        <f>H12-I12</f>
        <v>931.63080024195915</v>
      </c>
      <c r="K12" s="265">
        <f t="shared" si="5"/>
        <v>0.13183401639009121</v>
      </c>
      <c r="L12" s="263">
        <f>'IODA Weekly iTunes'!M12+'Orch Weekly Mgmt'!M12</f>
        <v>23439.762222363875</v>
      </c>
      <c r="M12" s="263">
        <f>'IODA Weekly iTunes'!N12+'Orch Weekly Mgmt'!N12</f>
        <v>21636.891087760247</v>
      </c>
      <c r="N12" s="264">
        <f t="shared" si="1"/>
        <v>1802.8711346036289</v>
      </c>
      <c r="O12" s="265">
        <f t="shared" si="2"/>
        <v>8.3323945537790017E-2</v>
      </c>
      <c r="Q12" s="235"/>
      <c r="R12" s="169"/>
      <c r="S12" s="169"/>
    </row>
    <row r="13" spans="1:19" s="3" customFormat="1" ht="11.25" x14ac:dyDescent="0.2">
      <c r="A13" s="267" t="s">
        <v>44</v>
      </c>
      <c r="B13" s="261">
        <f>'IODA Weekly iTunes'!B13+'Orch Weekly Mgmt'!B13</f>
        <v>12297.167064000001</v>
      </c>
      <c r="C13" s="261">
        <f>'IODA Weekly iTunes'!C13+'Orch Weekly Mgmt'!C13</f>
        <v>12746.255808</v>
      </c>
      <c r="D13" s="261">
        <f>'IODA Weekly iTunes'!D13+'Orch Weekly Mgmt'!D13</f>
        <v>12926.149703999999</v>
      </c>
      <c r="E13" s="261">
        <f>'IODA Weekly iTunes'!E13+'Orch Weekly Mgmt'!E13</f>
        <v>0</v>
      </c>
      <c r="F13" s="261">
        <f>'IODA Weekly iTunes'!F13+'Orch Weekly Mgmt'!F13</f>
        <v>0</v>
      </c>
      <c r="G13" s="262">
        <f t="shared" si="6"/>
        <v>37969.572576000006</v>
      </c>
      <c r="H13" s="263">
        <f>'IODA Weekly iTunes'!H13+'Orch Weekly Mgmt'!H13</f>
        <v>63282.62096</v>
      </c>
      <c r="I13" s="263">
        <f>'IODA Weekly iTunes'!I13+'Orch Weekly Mgmt'!I13:I13</f>
        <v>65787.426063263381</v>
      </c>
      <c r="J13" s="264">
        <f>H13-I13</f>
        <v>-2504.8051032633812</v>
      </c>
      <c r="K13" s="265">
        <f t="shared" si="5"/>
        <v>-3.8074222585554221E-2</v>
      </c>
      <c r="L13" s="263">
        <f>'IODA Weekly iTunes'!M13+'Orch Weekly Mgmt'!M13</f>
        <v>183153.65035409018</v>
      </c>
      <c r="M13" s="263">
        <f>'IODA Weekly iTunes'!N13+'Orch Weekly Mgmt'!N13</f>
        <v>201621.49871954133</v>
      </c>
      <c r="N13" s="264">
        <f t="shared" si="1"/>
        <v>-18467.848365451151</v>
      </c>
      <c r="O13" s="265">
        <f t="shared" si="2"/>
        <v>-9.1596622794378774E-2</v>
      </c>
      <c r="Q13" s="235"/>
      <c r="R13" s="169"/>
      <c r="S13" s="169"/>
    </row>
    <row r="14" spans="1:19" x14ac:dyDescent="0.2">
      <c r="A14" s="238" t="s">
        <v>85</v>
      </c>
      <c r="B14" s="242">
        <f>'IODA Weekly iTunes'!B14+'Orch Weekly Mgmt'!B14</f>
        <v>87330.53628</v>
      </c>
      <c r="C14" s="242">
        <f>'IODA Weekly iTunes'!C14+'Orch Weekly Mgmt'!C14</f>
        <v>81077.704343999998</v>
      </c>
      <c r="D14" s="242">
        <f>'IODA Weekly iTunes'!D14+'Orch Weekly Mgmt'!D14</f>
        <v>80061.175272000008</v>
      </c>
      <c r="E14" s="242">
        <f>'IODA Weekly iTunes'!E14+'Orch Weekly Mgmt'!E14</f>
        <v>0</v>
      </c>
      <c r="F14" s="242">
        <f>'IODA Weekly iTunes'!F14+'Orch Weekly Mgmt'!F14</f>
        <v>0</v>
      </c>
      <c r="G14" s="243">
        <f t="shared" si="6"/>
        <v>248469.41589599999</v>
      </c>
      <c r="H14" s="245">
        <f>'IODA Weekly iTunes'!H14+'Orch Weekly Mgmt'!H14</f>
        <v>414115.69316000002</v>
      </c>
      <c r="I14" s="245">
        <f>'IODA Weekly iTunes'!I14+'Orch Weekly Mgmt'!I14:I14</f>
        <v>377494.05471539916</v>
      </c>
      <c r="J14" s="246">
        <f t="shared" si="4"/>
        <v>36621.63844460086</v>
      </c>
      <c r="K14" s="247">
        <f t="shared" si="5"/>
        <v>9.7012490626403894E-2</v>
      </c>
      <c r="L14" s="245">
        <f>'IODA Weekly iTunes'!M14+'Orch Weekly Mgmt'!M14</f>
        <v>1178648.7019733214</v>
      </c>
      <c r="M14" s="245">
        <f>'IODA Weekly iTunes'!N14+'Orch Weekly Mgmt'!N14</f>
        <v>1155283.8472391148</v>
      </c>
      <c r="N14" s="246">
        <f t="shared" si="1"/>
        <v>23364.854734206572</v>
      </c>
      <c r="O14" s="247">
        <f t="shared" si="2"/>
        <v>2.0224341221461425E-2</v>
      </c>
    </row>
    <row r="15" spans="1:19" s="3" customFormat="1" ht="11.25" x14ac:dyDescent="0.2">
      <c r="A15" s="267" t="s">
        <v>40</v>
      </c>
      <c r="B15" s="261">
        <f>'IODA Weekly iTunes'!B15+'Orch Weekly Mgmt'!B15</f>
        <v>58624.942896</v>
      </c>
      <c r="C15" s="261">
        <f>'IODA Weekly iTunes'!C15+'Orch Weekly Mgmt'!C15</f>
        <v>54331.372056</v>
      </c>
      <c r="D15" s="261">
        <f>'IODA Weekly iTunes'!D15+'Orch Weekly Mgmt'!D15</f>
        <v>53540.058936000001</v>
      </c>
      <c r="E15" s="261">
        <f>'IODA Weekly iTunes'!E15+'Orch Weekly Mgmt'!E15</f>
        <v>0</v>
      </c>
      <c r="F15" s="261">
        <f>'IODA Weekly iTunes'!F15+'Orch Weekly Mgmt'!F15</f>
        <v>0</v>
      </c>
      <c r="G15" s="262">
        <f t="shared" si="6"/>
        <v>166496.373888</v>
      </c>
      <c r="H15" s="263">
        <f>'IODA Weekly iTunes'!H15+'Orch Weekly Mgmt'!H15</f>
        <v>277493.95648000005</v>
      </c>
      <c r="I15" s="263">
        <f>'IODA Weekly iTunes'!I15+'Orch Weekly Mgmt'!I15:I15</f>
        <v>252082.04101885782</v>
      </c>
      <c r="J15" s="264">
        <f>H15-I15</f>
        <v>25411.915461142227</v>
      </c>
      <c r="K15" s="265">
        <f>J15/I15</f>
        <v>0.10080811532004855</v>
      </c>
      <c r="L15" s="263">
        <f>'IODA Weekly iTunes'!M15+'Orch Weekly Mgmt'!M15</f>
        <v>800057.17774233571</v>
      </c>
      <c r="M15" s="263">
        <f>'IODA Weekly iTunes'!N15+'Orch Weekly Mgmt'!N15</f>
        <v>771408.55358158762</v>
      </c>
      <c r="N15" s="264">
        <f t="shared" si="1"/>
        <v>28648.624160748092</v>
      </c>
      <c r="O15" s="265">
        <f t="shared" si="2"/>
        <v>3.7138069091579087E-2</v>
      </c>
      <c r="Q15" s="235"/>
      <c r="R15" s="169"/>
      <c r="S15" s="169"/>
    </row>
    <row r="16" spans="1:19" s="3" customFormat="1" ht="11.25" x14ac:dyDescent="0.2">
      <c r="A16" s="267" t="s">
        <v>34</v>
      </c>
      <c r="B16" s="261">
        <f>'IODA Weekly iTunes'!B16+'Orch Weekly Mgmt'!B16</f>
        <v>6813.1087440000001</v>
      </c>
      <c r="C16" s="261">
        <f>'IODA Weekly iTunes'!C16+'Orch Weekly Mgmt'!C16</f>
        <v>6151.404168</v>
      </c>
      <c r="D16" s="261">
        <f>'IODA Weekly iTunes'!D16+'Orch Weekly Mgmt'!D16</f>
        <v>6407.6151360000003</v>
      </c>
      <c r="E16" s="261">
        <f>'IODA Weekly iTunes'!E16+'Orch Weekly Mgmt'!E16</f>
        <v>0</v>
      </c>
      <c r="F16" s="261">
        <f>'IODA Weekly iTunes'!F16+'Orch Weekly Mgmt'!F16</f>
        <v>0</v>
      </c>
      <c r="G16" s="262">
        <f t="shared" si="6"/>
        <v>19372.128047999999</v>
      </c>
      <c r="H16" s="263">
        <f>'IODA Weekly iTunes'!H16+'Orch Weekly Mgmt'!H16</f>
        <v>32286.880079999999</v>
      </c>
      <c r="I16" s="263">
        <f>'IODA Weekly iTunes'!I16+'Orch Weekly Mgmt'!I16:I16</f>
        <v>28097.807496596899</v>
      </c>
      <c r="J16" s="264">
        <f>H16-I16</f>
        <v>4189.0725834031</v>
      </c>
      <c r="K16" s="265">
        <f t="shared" si="5"/>
        <v>0.14908894880536372</v>
      </c>
      <c r="L16" s="263">
        <f>'IODA Weekly iTunes'!M16+'Orch Weekly Mgmt'!M16</f>
        <v>90754.156361714442</v>
      </c>
      <c r="M16" s="263">
        <f>'IODA Weekly iTunes'!N16+'Orch Weekly Mgmt'!N16</f>
        <v>86006.439019193233</v>
      </c>
      <c r="N16" s="264">
        <f t="shared" si="1"/>
        <v>4747.7173425212095</v>
      </c>
      <c r="O16" s="265">
        <f t="shared" si="2"/>
        <v>5.5201882517909001E-2</v>
      </c>
      <c r="Q16" s="235"/>
      <c r="R16" s="169"/>
      <c r="S16" s="169"/>
    </row>
    <row r="17" spans="1:19" s="3" customFormat="1" ht="11.25" x14ac:dyDescent="0.2">
      <c r="A17" s="267" t="s">
        <v>50</v>
      </c>
      <c r="B17" s="261">
        <f>'IODA Weekly iTunes'!B17+'Orch Weekly Mgmt'!B17</f>
        <v>21892.484640000002</v>
      </c>
      <c r="C17" s="261">
        <f>'IODA Weekly iTunes'!C17+'Orch Weekly Mgmt'!C17</f>
        <v>20594.92812</v>
      </c>
      <c r="D17" s="261">
        <f>'IODA Weekly iTunes'!D17+'Orch Weekly Mgmt'!D17</f>
        <v>20113.501199999999</v>
      </c>
      <c r="E17" s="261">
        <f>'IODA Weekly iTunes'!E17+'Orch Weekly Mgmt'!E17</f>
        <v>0</v>
      </c>
      <c r="F17" s="261">
        <f>'IODA Weekly iTunes'!F17+'Orch Weekly Mgmt'!F17</f>
        <v>0</v>
      </c>
      <c r="G17" s="262">
        <f t="shared" si="6"/>
        <v>62600.913960000005</v>
      </c>
      <c r="H17" s="263">
        <f>'IODA Weekly iTunes'!H17+'Orch Weekly Mgmt'!H17</f>
        <v>104334.8566</v>
      </c>
      <c r="I17" s="263">
        <f>'IODA Weekly iTunes'!I17+'Orch Weekly Mgmt'!I17:I17</f>
        <v>97314.206199944427</v>
      </c>
      <c r="J17" s="264">
        <f>H17-I17</f>
        <v>7020.6504000555724</v>
      </c>
      <c r="K17" s="265">
        <f t="shared" si="5"/>
        <v>7.2144147028551542E-2</v>
      </c>
      <c r="L17" s="263">
        <f>'IODA Weekly iTunes'!M17+'Orch Weekly Mgmt'!M17</f>
        <v>287837.36786927131</v>
      </c>
      <c r="M17" s="263">
        <f>'IODA Weekly iTunes'!N17+'Orch Weekly Mgmt'!N17</f>
        <v>297868.85463833413</v>
      </c>
      <c r="N17" s="264">
        <f t="shared" si="1"/>
        <v>-10031.486769062816</v>
      </c>
      <c r="O17" s="265">
        <f t="shared" si="2"/>
        <v>-3.3677528257336033E-2</v>
      </c>
      <c r="Q17" s="235"/>
      <c r="R17" s="169"/>
      <c r="S17" s="169"/>
    </row>
    <row r="18" spans="1:19" x14ac:dyDescent="0.2">
      <c r="A18" s="238" t="s">
        <v>76</v>
      </c>
      <c r="B18" s="242">
        <f>'IODA Weekly iTunes'!B18+'Orch Weekly Mgmt'!B18</f>
        <v>44547.129432000002</v>
      </c>
      <c r="C18" s="242">
        <f>'IODA Weekly iTunes'!C18+'Orch Weekly Mgmt'!C18</f>
        <v>44181.418943999997</v>
      </c>
      <c r="D18" s="242">
        <f>'IODA Weekly iTunes'!D18+'Orch Weekly Mgmt'!D18</f>
        <v>46027.432463999998</v>
      </c>
      <c r="E18" s="242">
        <f>'IODA Weekly iTunes'!E18+'Orch Weekly Mgmt'!E18</f>
        <v>0</v>
      </c>
      <c r="F18" s="242">
        <f>'IODA Weekly iTunes'!F18+'Orch Weekly Mgmt'!F18</f>
        <v>0</v>
      </c>
      <c r="G18" s="243">
        <f t="shared" si="6"/>
        <v>134755.98083999997</v>
      </c>
      <c r="H18" s="245">
        <f>'IODA Weekly iTunes'!H18+'Orch Weekly Mgmt'!H18</f>
        <v>224593.3014</v>
      </c>
      <c r="I18" s="245">
        <f>'IODA Weekly iTunes'!I18+'Orch Weekly Mgmt'!I18:I18</f>
        <v>172287.00012918175</v>
      </c>
      <c r="J18" s="246">
        <f t="shared" si="4"/>
        <v>52306.30127081825</v>
      </c>
      <c r="K18" s="247">
        <f t="shared" si="5"/>
        <v>0.30359981444681661</v>
      </c>
      <c r="L18" s="245">
        <f>'IODA Weekly iTunes'!M18+'Orch Weekly Mgmt'!M18</f>
        <v>639279.51079207065</v>
      </c>
      <c r="M18" s="245">
        <f>'IODA Weekly iTunes'!N18+'Orch Weekly Mgmt'!N18</f>
        <v>527079.68612778303</v>
      </c>
      <c r="N18" s="246">
        <f t="shared" si="1"/>
        <v>112199.82466428762</v>
      </c>
      <c r="O18" s="247">
        <f t="shared" si="2"/>
        <v>0.21287070554467613</v>
      </c>
    </row>
    <row r="19" spans="1:19" s="3" customFormat="1" ht="11.25" x14ac:dyDescent="0.2">
      <c r="A19" s="267" t="s">
        <v>11</v>
      </c>
      <c r="B19" s="261">
        <f>'IODA Weekly iTunes'!B19+'Orch Weekly Mgmt'!B19</f>
        <v>25856.316095999999</v>
      </c>
      <c r="C19" s="261">
        <f>'IODA Weekly iTunes'!C19+'Orch Weekly Mgmt'!C19</f>
        <v>23968.025016</v>
      </c>
      <c r="D19" s="261">
        <f>'IODA Weekly iTunes'!D19+'Orch Weekly Mgmt'!D19</f>
        <v>26161.034328000002</v>
      </c>
      <c r="E19" s="261">
        <f>'IODA Weekly iTunes'!E19+'Orch Weekly Mgmt'!E19</f>
        <v>0</v>
      </c>
      <c r="F19" s="261">
        <f>'IODA Weekly iTunes'!F19+'Orch Weekly Mgmt'!F19</f>
        <v>0</v>
      </c>
      <c r="G19" s="262">
        <f t="shared" si="6"/>
        <v>75985.375440000003</v>
      </c>
      <c r="H19" s="263">
        <f>'IODA Weekly iTunes'!H19+'Orch Weekly Mgmt'!H19</f>
        <v>126642.29240000001</v>
      </c>
      <c r="I19" s="263">
        <f>'IODA Weekly iTunes'!I19+'Orch Weekly Mgmt'!I19:I19</f>
        <v>83073.320579870386</v>
      </c>
      <c r="J19" s="264">
        <f>H19-I19</f>
        <v>43568.97182012962</v>
      </c>
      <c r="K19" s="265">
        <f t="shared" si="5"/>
        <v>0.52446407000476736</v>
      </c>
      <c r="L19" s="263">
        <f>'IODA Weekly iTunes'!M19+'Orch Weekly Mgmt'!M19</f>
        <v>353530.14753240108</v>
      </c>
      <c r="M19" s="263">
        <f>'IODA Weekly iTunes'!N19+'Orch Weekly Mgmt'!N19</f>
        <v>254157.42906864814</v>
      </c>
      <c r="N19" s="264">
        <f t="shared" si="1"/>
        <v>99372.718463752943</v>
      </c>
      <c r="O19" s="265">
        <f t="shared" si="2"/>
        <v>0.39098884037307557</v>
      </c>
      <c r="Q19" s="235"/>
      <c r="R19" s="169"/>
      <c r="S19" s="169"/>
    </row>
    <row r="20" spans="1:19" s="3" customFormat="1" ht="11.25" x14ac:dyDescent="0.2">
      <c r="A20" s="267" t="s">
        <v>47</v>
      </c>
      <c r="B20" s="261">
        <f>'IODA Weekly iTunes'!B20+'Orch Weekly Mgmt'!B20</f>
        <v>3549.0764400000003</v>
      </c>
      <c r="C20" s="261">
        <f>'IODA Weekly iTunes'!C20+'Orch Weekly Mgmt'!C20</f>
        <v>3941.8548000000001</v>
      </c>
      <c r="D20" s="261">
        <f>'IODA Weekly iTunes'!D20+'Orch Weekly Mgmt'!D20</f>
        <v>3613.9702560000001</v>
      </c>
      <c r="E20" s="261">
        <f>'IODA Weekly iTunes'!E20+'Orch Weekly Mgmt'!E20</f>
        <v>0</v>
      </c>
      <c r="F20" s="261">
        <f>'IODA Weekly iTunes'!F20+'Orch Weekly Mgmt'!F20</f>
        <v>0</v>
      </c>
      <c r="G20" s="262">
        <f t="shared" si="6"/>
        <v>11104.901496</v>
      </c>
      <c r="H20" s="263">
        <f>'IODA Weekly iTunes'!H20+'Orch Weekly Mgmt'!H20</f>
        <v>18508.169160000001</v>
      </c>
      <c r="I20" s="263">
        <f>'IODA Weekly iTunes'!I20+'Orch Weekly Mgmt'!I20:I20</f>
        <v>14995.227444364071</v>
      </c>
      <c r="J20" s="264">
        <f>H20-I20</f>
        <v>3512.9417156359304</v>
      </c>
      <c r="K20" s="265">
        <f t="shared" si="5"/>
        <v>0.23427065235721137</v>
      </c>
      <c r="L20" s="263">
        <f>'IODA Weekly iTunes'!M20+'Orch Weekly Mgmt'!M20</f>
        <v>52762.796194723764</v>
      </c>
      <c r="M20" s="263">
        <f>'IODA Weekly iTunes'!N20+'Orch Weekly Mgmt'!N20</f>
        <v>45870.704872707196</v>
      </c>
      <c r="N20" s="264">
        <f t="shared" si="1"/>
        <v>6892.0913220165676</v>
      </c>
      <c r="O20" s="265">
        <f t="shared" si="2"/>
        <v>0.15025039055192985</v>
      </c>
      <c r="Q20" s="235"/>
      <c r="R20" s="169"/>
      <c r="S20" s="169"/>
    </row>
    <row r="21" spans="1:19" s="3" customFormat="1" ht="11.25" x14ac:dyDescent="0.2">
      <c r="A21" s="267" t="s">
        <v>48</v>
      </c>
      <c r="B21" s="261">
        <f>'IODA Weekly iTunes'!B21+'Orch Weekly Mgmt'!B21</f>
        <v>15141.736895999999</v>
      </c>
      <c r="C21" s="261">
        <f>'IODA Weekly iTunes'!C21+'Orch Weekly Mgmt'!C21</f>
        <v>16271.539128</v>
      </c>
      <c r="D21" s="261">
        <f>'IODA Weekly iTunes'!D21+'Orch Weekly Mgmt'!D21</f>
        <v>16252.427879999999</v>
      </c>
      <c r="E21" s="261">
        <f>'IODA Weekly iTunes'!E21+'Orch Weekly Mgmt'!E21</f>
        <v>0</v>
      </c>
      <c r="F21" s="261">
        <f>'IODA Weekly iTunes'!F21+'Orch Weekly Mgmt'!F21</f>
        <v>0</v>
      </c>
      <c r="G21" s="262">
        <f t="shared" si="6"/>
        <v>47665.703903999995</v>
      </c>
      <c r="H21" s="263">
        <f>'IODA Weekly iTunes'!H21+'Orch Weekly Mgmt'!H21</f>
        <v>79442.839839999986</v>
      </c>
      <c r="I21" s="263">
        <f>'IODA Weekly iTunes'!I21+'Orch Weekly Mgmt'!I21:I21</f>
        <v>74218.452104947282</v>
      </c>
      <c r="J21" s="264">
        <f>H21-I21</f>
        <v>5224.3877350527036</v>
      </c>
      <c r="K21" s="265">
        <f t="shared" si="5"/>
        <v>7.0392033071038057E-2</v>
      </c>
      <c r="L21" s="263">
        <f>'IODA Weekly iTunes'!M21+'Orch Weekly Mgmt'!M21</f>
        <v>232986.56706494591</v>
      </c>
      <c r="M21" s="263">
        <f>'IODA Weekly iTunes'!N21+'Orch Weekly Mgmt'!N21</f>
        <v>227051.55218642764</v>
      </c>
      <c r="N21" s="264">
        <f t="shared" si="1"/>
        <v>5935.0148785182682</v>
      </c>
      <c r="O21" s="265">
        <f t="shared" si="2"/>
        <v>2.6139503656179116E-2</v>
      </c>
      <c r="Q21" s="235"/>
      <c r="R21" s="169"/>
      <c r="S21" s="169"/>
    </row>
    <row r="22" spans="1:19" x14ac:dyDescent="0.2">
      <c r="A22" s="238" t="s">
        <v>86</v>
      </c>
      <c r="B22" s="242">
        <f>'IODA Weekly iTunes'!B22+'Orch Weekly Mgmt'!B22</f>
        <v>23311.450032000001</v>
      </c>
      <c r="C22" s="242">
        <f>'IODA Weekly iTunes'!C22+'Orch Weekly Mgmt'!C22</f>
        <v>21172.742760000001</v>
      </c>
      <c r="D22" s="242">
        <f>'IODA Weekly iTunes'!D22+'Orch Weekly Mgmt'!D22</f>
        <v>18857.147711999998</v>
      </c>
      <c r="E22" s="242">
        <f>'IODA Weekly iTunes'!E22+'Orch Weekly Mgmt'!E22</f>
        <v>0</v>
      </c>
      <c r="F22" s="242">
        <f>'IODA Weekly iTunes'!F22+'Orch Weekly Mgmt'!F22</f>
        <v>0</v>
      </c>
      <c r="G22" s="243">
        <f t="shared" si="6"/>
        <v>63341.340504</v>
      </c>
      <c r="H22" s="245">
        <f>'IODA Weekly iTunes'!H22+'Orch Weekly Mgmt'!H22</f>
        <v>105568.90084000002</v>
      </c>
      <c r="I22" s="245">
        <f>'IODA Weekly iTunes'!I22+'Orch Weekly Mgmt'!I22:I22</f>
        <v>94395.954423949268</v>
      </c>
      <c r="J22" s="246">
        <f t="shared" si="4"/>
        <v>11172.946416050749</v>
      </c>
      <c r="K22" s="247">
        <f t="shared" si="5"/>
        <v>0.11836255572851173</v>
      </c>
      <c r="L22" s="245">
        <f>'IODA Weekly iTunes'!M22+'Orch Weekly Mgmt'!M22</f>
        <v>291094.38141609798</v>
      </c>
      <c r="M22" s="245">
        <f>'IODA Weekly iTunes'!N22+'Orch Weekly Mgmt'!N22</f>
        <v>289021.61821515032</v>
      </c>
      <c r="N22" s="246">
        <f t="shared" si="1"/>
        <v>2072.7632009476656</v>
      </c>
      <c r="O22" s="247">
        <f t="shared" si="2"/>
        <v>7.1716545417882267E-3</v>
      </c>
    </row>
    <row r="23" spans="1:19" s="3" customFormat="1" ht="11.25" x14ac:dyDescent="0.2">
      <c r="A23" s="267" t="s">
        <v>37</v>
      </c>
      <c r="B23" s="261">
        <f>'IODA Weekly iTunes'!B23+'Orch Weekly Mgmt'!B23</f>
        <v>11752.84188</v>
      </c>
      <c r="C23" s="261">
        <f>'IODA Weekly iTunes'!C23+'Orch Weekly Mgmt'!C23</f>
        <v>9394.0098720000005</v>
      </c>
      <c r="D23" s="261">
        <f>'IODA Weekly iTunes'!D23+'Orch Weekly Mgmt'!D23</f>
        <v>7647.6716159999996</v>
      </c>
      <c r="E23" s="261">
        <f>'IODA Weekly iTunes'!E23+'Orch Weekly Mgmt'!E23</f>
        <v>0</v>
      </c>
      <c r="F23" s="261">
        <f>'IODA Weekly iTunes'!F23+'Orch Weekly Mgmt'!F23</f>
        <v>0</v>
      </c>
      <c r="G23" s="262">
        <f t="shared" si="6"/>
        <v>28794.523368000002</v>
      </c>
      <c r="H23" s="263">
        <f>'IODA Weekly iTunes'!H23+'Orch Weekly Mgmt'!H23</f>
        <v>47990.872279999996</v>
      </c>
      <c r="I23" s="263">
        <f>'IODA Weekly iTunes'!I23+'Orch Weekly Mgmt'!I23:I23</f>
        <v>35565.118133799901</v>
      </c>
      <c r="J23" s="264">
        <f>H23-I23</f>
        <v>12425.754146200095</v>
      </c>
      <c r="K23" s="265">
        <f t="shared" si="5"/>
        <v>0.34938037038013026</v>
      </c>
      <c r="L23" s="263">
        <f>'IODA Weekly iTunes'!M23+'Orch Weekly Mgmt'!M23</f>
        <v>114678.76823985414</v>
      </c>
      <c r="M23" s="263">
        <f>'IODA Weekly iTunes'!N23+'Orch Weekly Mgmt'!N23</f>
        <v>108825.29958704737</v>
      </c>
      <c r="N23" s="264">
        <f t="shared" si="1"/>
        <v>5853.4686528067687</v>
      </c>
      <c r="O23" s="265">
        <f t="shared" si="2"/>
        <v>5.3787755926412002E-2</v>
      </c>
      <c r="Q23" s="235"/>
      <c r="R23" s="169"/>
      <c r="S23" s="169"/>
    </row>
    <row r="24" spans="1:19" s="3" customFormat="1" ht="11.25" x14ac:dyDescent="0.2">
      <c r="A24" s="267" t="s">
        <v>38</v>
      </c>
      <c r="B24" s="261">
        <f>'IODA Weekly iTunes'!B24+'Orch Weekly Mgmt'!B24</f>
        <v>1800.66588</v>
      </c>
      <c r="C24" s="261">
        <f>'IODA Weekly iTunes'!C24+'Orch Weekly Mgmt'!C24</f>
        <v>1921.3711920000001</v>
      </c>
      <c r="D24" s="261">
        <f>'IODA Weekly iTunes'!D24+'Orch Weekly Mgmt'!D24</f>
        <v>1570.7296799999999</v>
      </c>
      <c r="E24" s="261">
        <f>'IODA Weekly iTunes'!E24+'Orch Weekly Mgmt'!E24</f>
        <v>0</v>
      </c>
      <c r="F24" s="261">
        <f>'IODA Weekly iTunes'!F24+'Orch Weekly Mgmt'!F24</f>
        <v>0</v>
      </c>
      <c r="G24" s="262">
        <f t="shared" si="6"/>
        <v>5292.7667519999995</v>
      </c>
      <c r="H24" s="263">
        <f>'IODA Weekly iTunes'!H24+'Orch Weekly Mgmt'!H24</f>
        <v>8821.2779200000004</v>
      </c>
      <c r="I24" s="263">
        <f>'IODA Weekly iTunes'!I24+'Orch Weekly Mgmt'!I24:I24</f>
        <v>8349.0473715317094</v>
      </c>
      <c r="J24" s="264">
        <f>H24-I24</f>
        <v>472.23054846829109</v>
      </c>
      <c r="K24" s="265">
        <f t="shared" si="5"/>
        <v>5.6561009592362162E-2</v>
      </c>
      <c r="L24" s="263">
        <f>'IODA Weekly iTunes'!M24+'Orch Weekly Mgmt'!M24</f>
        <v>25916.984786443158</v>
      </c>
      <c r="M24" s="263">
        <f>'IODA Weekly iTunes'!N24+'Orch Weekly Mgmt'!N24</f>
        <v>25564.489156007912</v>
      </c>
      <c r="N24" s="264">
        <f t="shared" si="1"/>
        <v>352.4956304352454</v>
      </c>
      <c r="O24" s="265">
        <f t="shared" si="2"/>
        <v>1.3788487158265996E-2</v>
      </c>
      <c r="Q24" s="235"/>
      <c r="R24" s="169"/>
      <c r="S24" s="169"/>
    </row>
    <row r="25" spans="1:19" s="3" customFormat="1" ht="11.25" x14ac:dyDescent="0.2">
      <c r="A25" s="267" t="s">
        <v>46</v>
      </c>
      <c r="B25" s="261">
        <f>'IODA Weekly iTunes'!B25+'Orch Weekly Mgmt'!B25</f>
        <v>5261.4007679999995</v>
      </c>
      <c r="C25" s="261">
        <f>'IODA Weekly iTunes'!C25+'Orch Weekly Mgmt'!C25</f>
        <v>5960.5859039999996</v>
      </c>
      <c r="D25" s="261">
        <f>'IODA Weekly iTunes'!D25+'Orch Weekly Mgmt'!D25</f>
        <v>5381.5816080000004</v>
      </c>
      <c r="E25" s="261">
        <f>'IODA Weekly iTunes'!E25+'Orch Weekly Mgmt'!E25</f>
        <v>0</v>
      </c>
      <c r="F25" s="261">
        <f>'IODA Weekly iTunes'!F25+'Orch Weekly Mgmt'!F25</f>
        <v>0</v>
      </c>
      <c r="G25" s="262">
        <f t="shared" si="6"/>
        <v>16603.56828</v>
      </c>
      <c r="H25" s="263">
        <f>'IODA Weekly iTunes'!H25+'Orch Weekly Mgmt'!H25</f>
        <v>27672.613799999999</v>
      </c>
      <c r="I25" s="263">
        <f>'IODA Weekly iTunes'!I25+'Orch Weekly Mgmt'!I25:I25</f>
        <v>29390.000539377888</v>
      </c>
      <c r="J25" s="264">
        <f>H25-I25</f>
        <v>-1717.3867393778892</v>
      </c>
      <c r="K25" s="265">
        <f t="shared" si="5"/>
        <v>-5.8434389515470281E-2</v>
      </c>
      <c r="L25" s="263">
        <f>'IODA Weekly iTunes'!M25+'Orch Weekly Mgmt'!M25</f>
        <v>87776.051579664985</v>
      </c>
      <c r="M25" s="263">
        <f>'IODA Weekly iTunes'!N25+'Orch Weekly Mgmt'!N25</f>
        <v>90034.499267196428</v>
      </c>
      <c r="N25" s="264">
        <f t="shared" si="1"/>
        <v>-2258.4476875314431</v>
      </c>
      <c r="O25" s="265">
        <f t="shared" si="2"/>
        <v>-2.5084247770724218E-2</v>
      </c>
      <c r="Q25" s="235"/>
      <c r="R25" s="169"/>
      <c r="S25" s="169"/>
    </row>
    <row r="26" spans="1:19" s="3" customFormat="1" ht="11.25" x14ac:dyDescent="0.2">
      <c r="A26" s="267" t="s">
        <v>49</v>
      </c>
      <c r="B26" s="261">
        <f>'IODA Weekly iTunes'!B26+'Orch Weekly Mgmt'!B26</f>
        <v>4496.5415039999998</v>
      </c>
      <c r="C26" s="261">
        <f>'IODA Weekly iTunes'!C26+'Orch Weekly Mgmt'!C26</f>
        <v>3896.7757920000004</v>
      </c>
      <c r="D26" s="261">
        <f>'IODA Weekly iTunes'!D26+'Orch Weekly Mgmt'!D26</f>
        <v>4257.1648079999995</v>
      </c>
      <c r="E26" s="261">
        <f>'IODA Weekly iTunes'!E26+'Orch Weekly Mgmt'!E26</f>
        <v>0</v>
      </c>
      <c r="F26" s="261">
        <f>'IODA Weekly iTunes'!F26+'Orch Weekly Mgmt'!F26</f>
        <v>0</v>
      </c>
      <c r="G26" s="262">
        <f t="shared" si="6"/>
        <v>12650.482104000001</v>
      </c>
      <c r="H26" s="263">
        <f>'IODA Weekly iTunes'!H26+'Orch Weekly Mgmt'!H26</f>
        <v>21084.136839999999</v>
      </c>
      <c r="I26" s="263">
        <f>'IODA Weekly iTunes'!I26+'Orch Weekly Mgmt'!I26:I26</f>
        <v>21091.788379239773</v>
      </c>
      <c r="J26" s="264">
        <f>H26-I26</f>
        <v>-7.651539239774138</v>
      </c>
      <c r="K26" s="265">
        <f t="shared" si="5"/>
        <v>-3.6277337427230189E-4</v>
      </c>
      <c r="L26" s="263">
        <f>'IODA Weekly iTunes'!M26+'Orch Weekly Mgmt'!M26</f>
        <v>62722.576810135688</v>
      </c>
      <c r="M26" s="263">
        <f>'IODA Weekly iTunes'!N26+'Orch Weekly Mgmt'!N26</f>
        <v>64597.330204898593</v>
      </c>
      <c r="N26" s="264">
        <f t="shared" si="1"/>
        <v>-1874.7533947629054</v>
      </c>
      <c r="O26" s="265">
        <f t="shared" si="2"/>
        <v>-2.9022149813565171E-2</v>
      </c>
      <c r="Q26" s="235"/>
      <c r="R26" s="169"/>
      <c r="S26" s="169"/>
    </row>
    <row r="27" spans="1:19" x14ac:dyDescent="0.2">
      <c r="A27" s="238" t="s">
        <v>12</v>
      </c>
      <c r="B27" s="242">
        <f>'IODA Weekly iTunes'!B27+'Orch Weekly Mgmt'!B27</f>
        <v>10447.622952000002</v>
      </c>
      <c r="C27" s="242">
        <f>'IODA Weekly iTunes'!C27+'Orch Weekly Mgmt'!C27</f>
        <v>9344.9909279999993</v>
      </c>
      <c r="D27" s="242">
        <f>'IODA Weekly iTunes'!D27+'Orch Weekly Mgmt'!D27</f>
        <v>8820.1479600000002</v>
      </c>
      <c r="E27" s="242">
        <f>'IODA Weekly iTunes'!E27+'Orch Weekly Mgmt'!E27</f>
        <v>0</v>
      </c>
      <c r="F27" s="242">
        <f>'IODA Weekly iTunes'!F27+'Orch Weekly Mgmt'!F27</f>
        <v>0</v>
      </c>
      <c r="G27" s="243">
        <f t="shared" si="3"/>
        <v>28612.761839999999</v>
      </c>
      <c r="H27" s="245">
        <f>'IODA Weekly iTunes'!H27+'Orch Weekly Mgmt'!H27</f>
        <v>47687.936400000006</v>
      </c>
      <c r="I27" s="245">
        <f>'IODA Weekly iTunes'!I27+'Orch Weekly Mgmt'!I27:I27</f>
        <v>41202.397915464622</v>
      </c>
      <c r="J27" s="246">
        <f t="shared" si="4"/>
        <v>6485.5384845353838</v>
      </c>
      <c r="K27" s="247">
        <f t="shared" si="5"/>
        <v>0.15740682126903946</v>
      </c>
      <c r="L27" s="245">
        <f>'IODA Weekly iTunes'!M27+'Orch Weekly Mgmt'!M27</f>
        <v>141049.95863181725</v>
      </c>
      <c r="M27" s="245">
        <f>'IODA Weekly iTunes'!N27+'Orch Weekly Mgmt'!N27</f>
        <v>126066.04245775423</v>
      </c>
      <c r="N27" s="246">
        <f t="shared" si="1"/>
        <v>14983.916174063022</v>
      </c>
      <c r="O27" s="247">
        <f t="shared" si="2"/>
        <v>0.11885767080444566</v>
      </c>
    </row>
    <row r="28" spans="1:19" s="3" customFormat="1" ht="11.25" x14ac:dyDescent="0.2">
      <c r="A28" s="267" t="s">
        <v>42</v>
      </c>
      <c r="B28" s="261">
        <f>'IODA Weekly iTunes'!B28+'Orch Weekly Mgmt'!B28</f>
        <v>8979.2804400000005</v>
      </c>
      <c r="C28" s="261">
        <f>'IODA Weekly iTunes'!C28+'Orch Weekly Mgmt'!C28</f>
        <v>7808.2751759999992</v>
      </c>
      <c r="D28" s="261">
        <f>'IODA Weekly iTunes'!D28+'Orch Weekly Mgmt'!D28</f>
        <v>7331.2359120000001</v>
      </c>
      <c r="E28" s="261">
        <f>'IODA Weekly iTunes'!E28+'Orch Weekly Mgmt'!E28</f>
        <v>0</v>
      </c>
      <c r="F28" s="261">
        <f>'IODA Weekly iTunes'!F28+'Orch Weekly Mgmt'!F28</f>
        <v>0</v>
      </c>
      <c r="G28" s="262">
        <f>SUM(B28:F28)</f>
        <v>24118.791527999998</v>
      </c>
      <c r="H28" s="263">
        <f>'IODA Weekly iTunes'!H28+'Orch Weekly Mgmt'!H28</f>
        <v>40197.985880000007</v>
      </c>
      <c r="I28" s="263">
        <f>'IODA Weekly iTunes'!I28+'Orch Weekly Mgmt'!I28:I28</f>
        <v>33607.205842035888</v>
      </c>
      <c r="J28" s="264">
        <f>H28-I28</f>
        <v>6590.7800379641194</v>
      </c>
      <c r="K28" s="265">
        <f t="shared" si="5"/>
        <v>0.19611210967501419</v>
      </c>
      <c r="L28" s="263">
        <f>'IODA Weekly iTunes'!M28+'Orch Weekly Mgmt'!M28</f>
        <v>114880.30491737784</v>
      </c>
      <c r="M28" s="263">
        <f>'IODA Weekly iTunes'!N28+'Orch Weekly Mgmt'!N28</f>
        <v>102843.89873825862</v>
      </c>
      <c r="N28" s="264">
        <f t="shared" si="1"/>
        <v>12036.406179119222</v>
      </c>
      <c r="O28" s="265">
        <f t="shared" si="2"/>
        <v>0.11703568541049093</v>
      </c>
      <c r="Q28" s="235"/>
      <c r="R28" s="169"/>
      <c r="S28" s="169"/>
    </row>
    <row r="29" spans="1:19" s="3" customFormat="1" ht="11.25" x14ac:dyDescent="0.2">
      <c r="A29" s="267" t="s">
        <v>41</v>
      </c>
      <c r="B29" s="261">
        <f>'IODA Weekly iTunes'!B29+'Orch Weekly Mgmt'!B29</f>
        <v>1468.3425119999999</v>
      </c>
      <c r="C29" s="261">
        <f>'IODA Weekly iTunes'!C29+'Orch Weekly Mgmt'!C29</f>
        <v>1536.7157520000001</v>
      </c>
      <c r="D29" s="261">
        <f>'IODA Weekly iTunes'!D29+'Orch Weekly Mgmt'!D29</f>
        <v>1488.9120479999999</v>
      </c>
      <c r="E29" s="261">
        <f>'IODA Weekly iTunes'!E29+'Orch Weekly Mgmt'!E29</f>
        <v>0</v>
      </c>
      <c r="F29" s="261">
        <f>'IODA Weekly iTunes'!F29+'Orch Weekly Mgmt'!F29</f>
        <v>0</v>
      </c>
      <c r="G29" s="262">
        <f>SUM(B29:F29)</f>
        <v>4493.9703120000004</v>
      </c>
      <c r="H29" s="263">
        <f>'IODA Weekly iTunes'!H29+'Orch Weekly Mgmt'!H29</f>
        <v>7489.9505200000012</v>
      </c>
      <c r="I29" s="263">
        <f>'IODA Weekly iTunes'!I29+'Orch Weekly Mgmt'!I29:I29</f>
        <v>7595.1920734287378</v>
      </c>
      <c r="J29" s="264">
        <f>H29-I29</f>
        <v>-105.24155342873655</v>
      </c>
      <c r="K29" s="265">
        <f t="shared" si="5"/>
        <v>-1.3856338643089352E-2</v>
      </c>
      <c r="L29" s="263">
        <f>'IODA Weekly iTunes'!M29+'Orch Weekly Mgmt'!M29</f>
        <v>26169.65371443941</v>
      </c>
      <c r="M29" s="263">
        <f>'IODA Weekly iTunes'!N29+'Orch Weekly Mgmt'!N29</f>
        <v>23222.143719495602</v>
      </c>
      <c r="N29" s="264">
        <f t="shared" si="1"/>
        <v>2947.5099949438081</v>
      </c>
      <c r="O29" s="265">
        <f t="shared" si="2"/>
        <v>0.12692669680057556</v>
      </c>
      <c r="Q29" s="235"/>
      <c r="R29" s="169"/>
      <c r="S29" s="169"/>
    </row>
    <row r="30" spans="1:19" x14ac:dyDescent="0.2">
      <c r="A30" s="238" t="s">
        <v>13</v>
      </c>
      <c r="B30" s="242">
        <f>'IODA Weekly iTunes'!B30+'Orch Weekly Mgmt'!B30</f>
        <v>36198.895004999998</v>
      </c>
      <c r="C30" s="242">
        <f>'IODA Weekly iTunes'!C30+'Orch Weekly Mgmt'!C30</f>
        <v>36775.754730000001</v>
      </c>
      <c r="D30" s="242">
        <f>'IODA Weekly iTunes'!D30+'Orch Weekly Mgmt'!D30</f>
        <v>35335.708784999995</v>
      </c>
      <c r="E30" s="242">
        <f>'IODA Weekly iTunes'!E30+'Orch Weekly Mgmt'!E30</f>
        <v>0</v>
      </c>
      <c r="F30" s="242">
        <f>'IODA Weekly iTunes'!F30+'Orch Weekly Mgmt'!F30</f>
        <v>0</v>
      </c>
      <c r="G30" s="243">
        <f t="shared" si="3"/>
        <v>108310.35851999999</v>
      </c>
      <c r="H30" s="245">
        <f>'IODA Weekly iTunes'!H30+'Orch Weekly Mgmt'!H30</f>
        <v>180517.26420000003</v>
      </c>
      <c r="I30" s="245">
        <f>'IODA Weekly iTunes'!I30+'Orch Weekly Mgmt'!I30:I30</f>
        <v>149398.22464072521</v>
      </c>
      <c r="J30" s="246">
        <f t="shared" si="4"/>
        <v>31119.039559274825</v>
      </c>
      <c r="K30" s="247">
        <f t="shared" si="5"/>
        <v>0.20829591271322195</v>
      </c>
      <c r="L30" s="245">
        <f>'IODA Weekly iTunes'!M30+'Orch Weekly Mgmt'!M30</f>
        <v>455135.44911619835</v>
      </c>
      <c r="M30" s="245">
        <f>'IODA Weekly iTunes'!N30+'Orch Weekly Mgmt'!N30</f>
        <v>457382.54092247848</v>
      </c>
      <c r="N30" s="246">
        <f t="shared" si="1"/>
        <v>-2247.0918062801356</v>
      </c>
      <c r="O30" s="247">
        <f t="shared" si="2"/>
        <v>-4.9129374325221431E-3</v>
      </c>
    </row>
    <row r="31" spans="1:19" x14ac:dyDescent="0.2">
      <c r="A31" s="238" t="s">
        <v>14</v>
      </c>
      <c r="B31" s="242">
        <f>'IODA Weekly iTunes'!B31+'Orch Weekly Mgmt'!B31</f>
        <v>112829.733372</v>
      </c>
      <c r="C31" s="242">
        <f>'IODA Weekly iTunes'!C31+'Orch Weekly Mgmt'!C31</f>
        <v>114140.97122799999</v>
      </c>
      <c r="D31" s="242">
        <f>'IODA Weekly iTunes'!D31+'Orch Weekly Mgmt'!D31</f>
        <v>109646.412952</v>
      </c>
      <c r="E31" s="242">
        <f>'IODA Weekly iTunes'!E31+'Orch Weekly Mgmt'!E31</f>
        <v>0</v>
      </c>
      <c r="F31" s="242">
        <f>'IODA Weekly iTunes'!F31+'Orch Weekly Mgmt'!F31</f>
        <v>0</v>
      </c>
      <c r="G31" s="243">
        <f t="shared" ref="G31:G62" si="7">SUM(B31:F31)</f>
        <v>336617.11755199998</v>
      </c>
      <c r="H31" s="245">
        <f>'IODA Weekly iTunes'!H31+'Orch Weekly Mgmt'!H31</f>
        <v>561028.52925333334</v>
      </c>
      <c r="I31" s="245">
        <f>'IODA Weekly iTunes'!I31+'Orch Weekly Mgmt'!I31:I31</f>
        <v>615003.65139575768</v>
      </c>
      <c r="J31" s="246">
        <f t="shared" si="4"/>
        <v>-53975.122142424341</v>
      </c>
      <c r="K31" s="247">
        <f t="shared" si="5"/>
        <v>-8.7763905173452547E-2</v>
      </c>
      <c r="L31" s="245">
        <f>'IODA Weekly iTunes'!M31+'Orch Weekly Mgmt'!M31</f>
        <v>1748766.6008134778</v>
      </c>
      <c r="M31" s="245">
        <f>'IODA Weekly iTunes'!N31+'Orch Weekly Mgmt'!N31</f>
        <v>1884585.3686483006</v>
      </c>
      <c r="N31" s="246">
        <f t="shared" si="1"/>
        <v>-135818.76783482288</v>
      </c>
      <c r="O31" s="247">
        <f t="shared" si="2"/>
        <v>-7.2068249119559641E-2</v>
      </c>
    </row>
    <row r="32" spans="1:19" s="3" customFormat="1" ht="11.25" x14ac:dyDescent="0.2">
      <c r="A32" s="260" t="s">
        <v>33</v>
      </c>
      <c r="B32" s="261">
        <f>'IODA Weekly iTunes'!B32+'Orch Weekly Mgmt'!B32</f>
        <v>104580.866416</v>
      </c>
      <c r="C32" s="261">
        <f>'IODA Weekly iTunes'!C32+'Orch Weekly Mgmt'!C32</f>
        <v>106085.95269599999</v>
      </c>
      <c r="D32" s="261">
        <f>'IODA Weekly iTunes'!D32+'Orch Weekly Mgmt'!D32</f>
        <v>101349.47438</v>
      </c>
      <c r="E32" s="261">
        <f>'IODA Weekly iTunes'!E32+'Orch Weekly Mgmt'!E32</f>
        <v>0</v>
      </c>
      <c r="F32" s="261">
        <f>'IODA Weekly iTunes'!F32+'Orch Weekly Mgmt'!F32</f>
        <v>0</v>
      </c>
      <c r="G32" s="262">
        <f t="shared" si="7"/>
        <v>312016.29349199997</v>
      </c>
      <c r="H32" s="263">
        <f>'IODA Weekly iTunes'!H32+'Orch Weekly Mgmt'!H32</f>
        <v>520027.15582000004</v>
      </c>
      <c r="I32" s="263">
        <f>'IODA Weekly iTunes'!I32+'Orch Weekly Mgmt'!I32:I32</f>
        <v>574036.0064912755</v>
      </c>
      <c r="J32" s="264">
        <f>H32-I32</f>
        <v>-54008.850671275461</v>
      </c>
      <c r="K32" s="265">
        <f t="shared" si="5"/>
        <v>-9.4086172401271345E-2</v>
      </c>
      <c r="L32" s="263">
        <f>'IODA Weekly iTunes'!M32+'Orch Weekly Mgmt'!M32</f>
        <v>1635369.5320823072</v>
      </c>
      <c r="M32" s="263">
        <f>'IODA Weekly iTunes'!N32+'Orch Weekly Mgmt'!N32</f>
        <v>1759141.024530588</v>
      </c>
      <c r="N32" s="264">
        <f t="shared" si="1"/>
        <v>-123771.4924482808</v>
      </c>
      <c r="O32" s="265">
        <f t="shared" si="2"/>
        <v>-7.0359050651614574E-2</v>
      </c>
      <c r="Q32" s="235"/>
      <c r="R32" s="169"/>
      <c r="S32" s="169"/>
    </row>
    <row r="33" spans="1:19" s="3" customFormat="1" ht="11.25" x14ac:dyDescent="0.2">
      <c r="A33" s="260" t="s">
        <v>45</v>
      </c>
      <c r="B33" s="261">
        <f>'IODA Weekly iTunes'!B33+'Orch Weekly Mgmt'!B33</f>
        <v>8248.8669559999998</v>
      </c>
      <c r="C33" s="261">
        <f>'IODA Weekly iTunes'!C33+'Orch Weekly Mgmt'!C33</f>
        <v>8055.0185320000001</v>
      </c>
      <c r="D33" s="261">
        <f>'IODA Weekly iTunes'!D33+'Orch Weekly Mgmt'!D33</f>
        <v>8296.9385719999991</v>
      </c>
      <c r="E33" s="261">
        <f>'IODA Weekly iTunes'!E33+'Orch Weekly Mgmt'!E33</f>
        <v>0</v>
      </c>
      <c r="F33" s="261">
        <f>'IODA Weekly iTunes'!F33+'Orch Weekly Mgmt'!F33</f>
        <v>0</v>
      </c>
      <c r="G33" s="262">
        <f t="shared" si="7"/>
        <v>24600.824059999999</v>
      </c>
      <c r="H33" s="263">
        <f>'IODA Weekly iTunes'!H33+'Orch Weekly Mgmt'!H33</f>
        <v>41001.373433333327</v>
      </c>
      <c r="I33" s="263">
        <f>'IODA Weekly iTunes'!I33+'Orch Weekly Mgmt'!I33:I33</f>
        <v>40967.644904482251</v>
      </c>
      <c r="J33" s="264">
        <f>H33-I33</f>
        <v>33.72852885107568</v>
      </c>
      <c r="K33" s="265">
        <f t="shared" si="5"/>
        <v>8.2329674868338498E-4</v>
      </c>
      <c r="L33" s="263">
        <f>'IODA Weekly iTunes'!M33+'Orch Weekly Mgmt'!M33</f>
        <v>113397.06873117061</v>
      </c>
      <c r="M33" s="263">
        <f>'IODA Weekly iTunes'!N33+'Orch Weekly Mgmt'!N33</f>
        <v>125444.34411771251</v>
      </c>
      <c r="N33" s="264">
        <f t="shared" si="1"/>
        <v>-12047.275386541893</v>
      </c>
      <c r="O33" s="265">
        <f t="shared" si="2"/>
        <v>-9.6036815938366729E-2</v>
      </c>
      <c r="Q33" s="235"/>
      <c r="R33" s="169"/>
      <c r="S33" s="169"/>
    </row>
    <row r="34" spans="1:19" x14ac:dyDescent="0.2">
      <c r="A34" s="239" t="s">
        <v>182</v>
      </c>
      <c r="B34" s="242">
        <f>'IODA Weekly iTunes'!B34+'Orch Weekly Mgmt'!B34</f>
        <v>32197.800014</v>
      </c>
      <c r="C34" s="242">
        <f>'IODA Weekly iTunes'!C34+'Orch Weekly Mgmt'!C34</f>
        <v>31480.750376</v>
      </c>
      <c r="D34" s="242">
        <f>'IODA Weekly iTunes'!D34+'Orch Weekly Mgmt'!D34</f>
        <v>28788.945524999999</v>
      </c>
      <c r="E34" s="242">
        <f>'IODA Weekly iTunes'!E34+'Orch Weekly Mgmt'!E34</f>
        <v>0</v>
      </c>
      <c r="F34" s="242">
        <f>'IODA Weekly iTunes'!F34+'Orch Weekly Mgmt'!F34</f>
        <v>0</v>
      </c>
      <c r="G34" s="243">
        <f t="shared" si="7"/>
        <v>92467.495915000007</v>
      </c>
      <c r="H34" s="245">
        <f>'IODA Weekly iTunes'!H34+'Orch Weekly Mgmt'!H34</f>
        <v>154112.49319166667</v>
      </c>
      <c r="I34" s="245">
        <f>'IODA Weekly iTunes'!I34+'Orch Weekly Mgmt'!I34:I34</f>
        <v>109500.97703872064</v>
      </c>
      <c r="J34" s="246">
        <f t="shared" si="4"/>
        <v>44611.516152946031</v>
      </c>
      <c r="K34" s="247">
        <f t="shared" si="5"/>
        <v>0.40740747123353022</v>
      </c>
      <c r="L34" s="245">
        <f>'IODA Weekly iTunes'!M34+'Orch Weekly Mgmt'!M34</f>
        <v>433128.14623490709</v>
      </c>
      <c r="M34" s="245">
        <f>'IODA Weekly iTunes'!N34+'Orch Weekly Mgmt'!N34</f>
        <v>334569.56182268233</v>
      </c>
      <c r="N34" s="246">
        <f t="shared" si="1"/>
        <v>98558.584412224765</v>
      </c>
      <c r="O34" s="247">
        <f t="shared" si="2"/>
        <v>0.29458323666771452</v>
      </c>
    </row>
    <row r="35" spans="1:19" x14ac:dyDescent="0.2">
      <c r="A35" s="239" t="s">
        <v>192</v>
      </c>
      <c r="B35" s="242">
        <f>'IODA Weekly iTunes'!B35+'Orch Weekly Mgmt'!B35</f>
        <v>8843.9646739999989</v>
      </c>
      <c r="C35" s="242">
        <f>'IODA Weekly iTunes'!C35+'Orch Weekly Mgmt'!C35</f>
        <v>9568.2879940000003</v>
      </c>
      <c r="D35" s="242">
        <f>'IODA Weekly iTunes'!D35+'Orch Weekly Mgmt'!D35</f>
        <v>10007.112725999999</v>
      </c>
      <c r="E35" s="242">
        <f>'IODA Weekly iTunes'!E35+'Orch Weekly Mgmt'!E35</f>
        <v>0</v>
      </c>
      <c r="F35" s="242">
        <f>'IODA Weekly iTunes'!F35+'Orch Weekly Mgmt'!F35</f>
        <v>0</v>
      </c>
      <c r="G35" s="243">
        <f t="shared" si="7"/>
        <v>28419.365394</v>
      </c>
      <c r="H35" s="245">
        <f>'IODA Weekly iTunes'!H35+'Orch Weekly Mgmt'!H35</f>
        <v>47365.608990000001</v>
      </c>
      <c r="I35" s="245">
        <f>'IODA Weekly iTunes'!I35+'Orch Weekly Mgmt'!I35:I35</f>
        <v>34489.143257145479</v>
      </c>
      <c r="J35" s="246">
        <f t="shared" si="4"/>
        <v>12876.465732854522</v>
      </c>
      <c r="K35" s="247">
        <f t="shared" si="5"/>
        <v>0.3733483791362886</v>
      </c>
      <c r="L35" s="245">
        <f>'IODA Weekly iTunes'!M35+'Orch Weekly Mgmt'!M35</f>
        <v>136738.019691558</v>
      </c>
      <c r="M35" s="245">
        <f>'IODA Weekly iTunes'!N35+'Orch Weekly Mgmt'!N35</f>
        <v>105392.72904235793</v>
      </c>
      <c r="N35" s="246">
        <f t="shared" si="1"/>
        <v>31345.290649200077</v>
      </c>
      <c r="O35" s="247">
        <f t="shared" si="2"/>
        <v>0.29741416636627971</v>
      </c>
    </row>
    <row r="36" spans="1:19" x14ac:dyDescent="0.2">
      <c r="A36" s="239" t="s">
        <v>88</v>
      </c>
      <c r="B36" s="242">
        <f>'IODA Weekly iTunes'!B36+'Orch Weekly Mgmt'!B36</f>
        <v>9358.3841520000024</v>
      </c>
      <c r="C36" s="242">
        <f>'IODA Weekly iTunes'!C36+'Orch Weekly Mgmt'!C36</f>
        <v>9370.3062959999988</v>
      </c>
      <c r="D36" s="242">
        <f>'IODA Weekly iTunes'!D36+'Orch Weekly Mgmt'!D36</f>
        <v>8946.3282480000016</v>
      </c>
      <c r="E36" s="242">
        <f>'IODA Weekly iTunes'!E36+'Orch Weekly Mgmt'!E36</f>
        <v>0</v>
      </c>
      <c r="F36" s="242">
        <f>'IODA Weekly iTunes'!F36+'Orch Weekly Mgmt'!F36</f>
        <v>0</v>
      </c>
      <c r="G36" s="243">
        <f t="shared" si="7"/>
        <v>27675.018696000003</v>
      </c>
      <c r="H36" s="245">
        <f>'IODA Weekly iTunes'!H36+'Orch Weekly Mgmt'!H36</f>
        <v>46125.031160000006</v>
      </c>
      <c r="I36" s="245">
        <f>'IODA Weekly iTunes'!I36+'Orch Weekly Mgmt'!I36:I36</f>
        <v>35990.621738407317</v>
      </c>
      <c r="J36" s="246">
        <f t="shared" si="4"/>
        <v>10134.409421592689</v>
      </c>
      <c r="K36" s="247">
        <f t="shared" si="5"/>
        <v>0.28158472768970744</v>
      </c>
      <c r="L36" s="245">
        <f>'IODA Weekly iTunes'!M36+'Orch Weekly Mgmt'!M36</f>
        <v>125430.32303071323</v>
      </c>
      <c r="M36" s="245">
        <f>'IODA Weekly iTunes'!N36+'Orch Weekly Mgmt'!N36</f>
        <v>110247.91775575164</v>
      </c>
      <c r="N36" s="246">
        <f t="shared" si="1"/>
        <v>15182.405274961595</v>
      </c>
      <c r="O36" s="247">
        <f t="shared" si="2"/>
        <v>0.13771149228049279</v>
      </c>
    </row>
    <row r="37" spans="1:19" s="3" customFormat="1" ht="11.25" x14ac:dyDescent="0.2">
      <c r="A37" s="260" t="s">
        <v>62</v>
      </c>
      <c r="B37" s="261">
        <f>'IODA Weekly iTunes'!B37+'Orch Weekly Mgmt'!B37</f>
        <v>213.62639999999999</v>
      </c>
      <c r="C37" s="261">
        <f>'IODA Weekly iTunes'!C37+'Orch Weekly Mgmt'!C37</f>
        <v>205.836072</v>
      </c>
      <c r="D37" s="261">
        <f>'IODA Weekly iTunes'!D37+'Orch Weekly Mgmt'!D37</f>
        <v>224.96011200000001</v>
      </c>
      <c r="E37" s="261">
        <f>'IODA Weekly iTunes'!E37+'Orch Weekly Mgmt'!E37</f>
        <v>0</v>
      </c>
      <c r="F37" s="261">
        <f>'IODA Weekly iTunes'!F37+'Orch Weekly Mgmt'!F37</f>
        <v>0</v>
      </c>
      <c r="G37" s="262">
        <f t="shared" si="7"/>
        <v>644.42258400000003</v>
      </c>
      <c r="H37" s="263">
        <f>'IODA Weekly iTunes'!H37+'Orch Weekly Mgmt'!H37</f>
        <v>1074.03764</v>
      </c>
      <c r="I37" s="263">
        <f>'IODA Weekly iTunes'!I37+'Orch Weekly Mgmt'!I37:I37</f>
        <v>624.69968072118104</v>
      </c>
      <c r="J37" s="264">
        <f t="shared" ref="J37:J48" si="8">H37-I37</f>
        <v>449.33795927881897</v>
      </c>
      <c r="K37" s="265">
        <f t="shared" si="5"/>
        <v>0.71928635974342625</v>
      </c>
      <c r="L37" s="263">
        <f>'IODA Weekly iTunes'!M37+'Orch Weekly Mgmt'!M37</f>
        <v>2539.5635363108058</v>
      </c>
      <c r="M37" s="263">
        <f>'IODA Weekly iTunes'!N37+'Orch Weekly Mgmt'!N37</f>
        <v>1911.0976403546256</v>
      </c>
      <c r="N37" s="264">
        <f t="shared" si="1"/>
        <v>628.46589595618025</v>
      </c>
      <c r="O37" s="265">
        <f t="shared" si="2"/>
        <v>0.32885075188495411</v>
      </c>
      <c r="Q37" s="235"/>
      <c r="R37" s="169"/>
      <c r="S37" s="169"/>
    </row>
    <row r="38" spans="1:19" s="3" customFormat="1" ht="11.25" x14ac:dyDescent="0.2">
      <c r="A38" s="260" t="s">
        <v>61</v>
      </c>
      <c r="B38" s="261">
        <f>'IODA Weekly iTunes'!B38+'Orch Weekly Mgmt'!B38</f>
        <v>196.29324000000003</v>
      </c>
      <c r="C38" s="261">
        <f>'IODA Weekly iTunes'!C38+'Orch Weekly Mgmt'!C38</f>
        <v>267.659808</v>
      </c>
      <c r="D38" s="261">
        <f>'IODA Weekly iTunes'!D38+'Orch Weekly Mgmt'!D38</f>
        <v>196.01181600000001</v>
      </c>
      <c r="E38" s="261">
        <f>'IODA Weekly iTunes'!E38+'Orch Weekly Mgmt'!E38</f>
        <v>0</v>
      </c>
      <c r="F38" s="261">
        <f>'IODA Weekly iTunes'!F38+'Orch Weekly Mgmt'!F38</f>
        <v>0</v>
      </c>
      <c r="G38" s="262">
        <f t="shared" si="7"/>
        <v>659.96486400000003</v>
      </c>
      <c r="H38" s="263">
        <f>'IODA Weekly iTunes'!H38+'Orch Weekly Mgmt'!H38</f>
        <v>1099.9414400000001</v>
      </c>
      <c r="I38" s="263">
        <f>'IODA Weekly iTunes'!I38+'Orch Weekly Mgmt'!I38:I38</f>
        <v>796.72694887983664</v>
      </c>
      <c r="J38" s="264">
        <f t="shared" si="8"/>
        <v>303.21449112016342</v>
      </c>
      <c r="K38" s="265">
        <f t="shared" si="5"/>
        <v>0.38057516636844002</v>
      </c>
      <c r="L38" s="263">
        <f>'IODA Weekly iTunes'!M38+'Orch Weekly Mgmt'!M38</f>
        <v>2902.4366081494732</v>
      </c>
      <c r="M38" s="263">
        <f>'IODA Weekly iTunes'!N38+'Orch Weekly Mgmt'!N38</f>
        <v>2436.6701384802363</v>
      </c>
      <c r="N38" s="264">
        <f t="shared" si="1"/>
        <v>465.76646966923681</v>
      </c>
      <c r="O38" s="265">
        <f t="shared" si="2"/>
        <v>0.1911487576072721</v>
      </c>
      <c r="Q38" s="235"/>
      <c r="R38" s="169"/>
      <c r="S38" s="169"/>
    </row>
    <row r="39" spans="1:19" s="3" customFormat="1" ht="11.25" x14ac:dyDescent="0.2">
      <c r="A39" s="260" t="s">
        <v>60</v>
      </c>
      <c r="B39" s="261">
        <f>'IODA Weekly iTunes'!B39+'Orch Weekly Mgmt'!B39</f>
        <v>3196.5672960000002</v>
      </c>
      <c r="C39" s="261">
        <f>'IODA Weekly iTunes'!C39+'Orch Weekly Mgmt'!C39</f>
        <v>3090.1506479999998</v>
      </c>
      <c r="D39" s="261">
        <f>'IODA Weekly iTunes'!D39+'Orch Weekly Mgmt'!D39</f>
        <v>2962.9597920000001</v>
      </c>
      <c r="E39" s="261">
        <f>'IODA Weekly iTunes'!E39+'Orch Weekly Mgmt'!E39</f>
        <v>0</v>
      </c>
      <c r="F39" s="261">
        <f>'IODA Weekly iTunes'!F39+'Orch Weekly Mgmt'!F39</f>
        <v>0</v>
      </c>
      <c r="G39" s="262">
        <f t="shared" si="7"/>
        <v>9249.6777359999996</v>
      </c>
      <c r="H39" s="263">
        <f>'IODA Weekly iTunes'!H39+'Orch Weekly Mgmt'!H39</f>
        <v>15416.129560000001</v>
      </c>
      <c r="I39" s="263">
        <f>'IODA Weekly iTunes'!I39+'Orch Weekly Mgmt'!I39:I39</f>
        <v>10832.370102144552</v>
      </c>
      <c r="J39" s="264">
        <f t="shared" si="8"/>
        <v>4583.759457855449</v>
      </c>
      <c r="K39" s="265">
        <f t="shared" si="5"/>
        <v>0.42315388180357438</v>
      </c>
      <c r="L39" s="263">
        <f>'IODA Weekly iTunes'!M39+'Orch Weekly Mgmt'!M39</f>
        <v>40403.503915316156</v>
      </c>
      <c r="M39" s="263">
        <f>'IODA Weekly iTunes'!N39+'Orch Weekly Mgmt'!N39</f>
        <v>33229.116868356112</v>
      </c>
      <c r="N39" s="264">
        <f t="shared" si="1"/>
        <v>7174.3870469600442</v>
      </c>
      <c r="O39" s="265">
        <f t="shared" si="2"/>
        <v>0.2159066422193173</v>
      </c>
      <c r="Q39" s="235"/>
      <c r="R39" s="169"/>
      <c r="S39" s="169"/>
    </row>
    <row r="40" spans="1:19" s="3" customFormat="1" ht="11.25" x14ac:dyDescent="0.2">
      <c r="A40" s="260" t="s">
        <v>59</v>
      </c>
      <c r="B40" s="261">
        <f>'IODA Weekly iTunes'!B40+'Orch Weekly Mgmt'!B40</f>
        <v>336.94128000000001</v>
      </c>
      <c r="C40" s="261">
        <f>'IODA Weekly iTunes'!C40+'Orch Weekly Mgmt'!C40</f>
        <v>254.43288000000001</v>
      </c>
      <c r="D40" s="261">
        <f>'IODA Weekly iTunes'!D40+'Orch Weekly Mgmt'!D40</f>
        <v>229.37335200000001</v>
      </c>
      <c r="E40" s="261">
        <f>'IODA Weekly iTunes'!E40+'Orch Weekly Mgmt'!E40</f>
        <v>0</v>
      </c>
      <c r="F40" s="261">
        <f>'IODA Weekly iTunes'!F40+'Orch Weekly Mgmt'!F40</f>
        <v>0</v>
      </c>
      <c r="G40" s="262">
        <f t="shared" si="7"/>
        <v>820.74751200000014</v>
      </c>
      <c r="H40" s="263">
        <f>'IODA Weekly iTunes'!H40+'Orch Weekly Mgmt'!H40</f>
        <v>1367.9125199999999</v>
      </c>
      <c r="I40" s="263">
        <f>'IODA Weekly iTunes'!I40+'Orch Weekly Mgmt'!I40:I40</f>
        <v>848.32536590802238</v>
      </c>
      <c r="J40" s="264">
        <f t="shared" si="8"/>
        <v>519.58715409197748</v>
      </c>
      <c r="K40" s="265">
        <f t="shared" si="5"/>
        <v>0.61248569826251364</v>
      </c>
      <c r="L40" s="263">
        <f>'IODA Weekly iTunes'!M40+'Orch Weekly Mgmt'!M40</f>
        <v>3338.8244356599052</v>
      </c>
      <c r="M40" s="263">
        <f>'IODA Weekly iTunes'!N40+'Orch Weekly Mgmt'!N40</f>
        <v>2595.7773394110172</v>
      </c>
      <c r="N40" s="264">
        <f t="shared" si="1"/>
        <v>743.04709624888801</v>
      </c>
      <c r="O40" s="265">
        <f t="shared" si="2"/>
        <v>0.28625224705039054</v>
      </c>
      <c r="Q40" s="235"/>
      <c r="R40" s="169"/>
      <c r="S40" s="169"/>
    </row>
    <row r="41" spans="1:19" s="3" customFormat="1" ht="11.25" x14ac:dyDescent="0.2">
      <c r="A41" s="260" t="s">
        <v>58</v>
      </c>
      <c r="B41" s="261">
        <f>'IODA Weekly iTunes'!B41+'Orch Weekly Mgmt'!B41</f>
        <v>939.47006400000009</v>
      </c>
      <c r="C41" s="261">
        <f>'IODA Weekly iTunes'!C41+'Orch Weekly Mgmt'!C41</f>
        <v>1100.265504</v>
      </c>
      <c r="D41" s="261">
        <f>'IODA Weekly iTunes'!D41+'Orch Weekly Mgmt'!D41</f>
        <v>940.25037599999996</v>
      </c>
      <c r="E41" s="261">
        <f>'IODA Weekly iTunes'!E41+'Orch Weekly Mgmt'!E41</f>
        <v>0</v>
      </c>
      <c r="F41" s="261">
        <f>'IODA Weekly iTunes'!F41+'Orch Weekly Mgmt'!F41</f>
        <v>0</v>
      </c>
      <c r="G41" s="262">
        <f t="shared" si="7"/>
        <v>2979.985944</v>
      </c>
      <c r="H41" s="263">
        <f>'IODA Weekly iTunes'!H41+'Orch Weekly Mgmt'!H41</f>
        <v>4966.6432400000003</v>
      </c>
      <c r="I41" s="263">
        <f>'IODA Weekly iTunes'!I41+'Orch Weekly Mgmt'!I41:I41</f>
        <v>3516.1871662744397</v>
      </c>
      <c r="J41" s="264">
        <f t="shared" si="8"/>
        <v>1450.4560737255606</v>
      </c>
      <c r="K41" s="265">
        <f t="shared" si="5"/>
        <v>0.4125082099262608</v>
      </c>
      <c r="L41" s="263">
        <f>'IODA Weekly iTunes'!M41+'Orch Weekly Mgmt'!M41</f>
        <v>13721.763349856132</v>
      </c>
      <c r="M41" s="263">
        <f>'IODA Weekly iTunes'!N41+'Orch Weekly Mgmt'!N41</f>
        <v>10775.745618370658</v>
      </c>
      <c r="N41" s="264">
        <f t="shared" si="1"/>
        <v>2946.0177314854736</v>
      </c>
      <c r="O41" s="265">
        <f t="shared" si="2"/>
        <v>0.27339339993912409</v>
      </c>
      <c r="Q41" s="235"/>
      <c r="R41" s="169"/>
      <c r="S41" s="169"/>
    </row>
    <row r="42" spans="1:19" s="3" customFormat="1" ht="11.25" x14ac:dyDescent="0.2">
      <c r="A42" s="260" t="s">
        <v>57</v>
      </c>
      <c r="B42" s="261">
        <f>'IODA Weekly iTunes'!B42+'Orch Weekly Mgmt'!B42</f>
        <v>402.33398399999999</v>
      </c>
      <c r="C42" s="261">
        <f>'IODA Weekly iTunes'!C42+'Orch Weekly Mgmt'!C42</f>
        <v>352.048632</v>
      </c>
      <c r="D42" s="261">
        <f>'IODA Weekly iTunes'!D42+'Orch Weekly Mgmt'!D42</f>
        <v>391.40961599999997</v>
      </c>
      <c r="E42" s="261">
        <f>'IODA Weekly iTunes'!E42+'Orch Weekly Mgmt'!E42</f>
        <v>0</v>
      </c>
      <c r="F42" s="261">
        <f>'IODA Weekly iTunes'!F42+'Orch Weekly Mgmt'!F42</f>
        <v>0</v>
      </c>
      <c r="G42" s="262">
        <f t="shared" si="7"/>
        <v>1145.792232</v>
      </c>
      <c r="H42" s="263">
        <f>'IODA Weekly iTunes'!H42+'Orch Weekly Mgmt'!H42</f>
        <v>1909.6537199999998</v>
      </c>
      <c r="I42" s="263">
        <f>'IODA Weekly iTunes'!I42+'Orch Weekly Mgmt'!I42:I42</f>
        <v>1220.8775529238781</v>
      </c>
      <c r="J42" s="264">
        <f t="shared" si="8"/>
        <v>688.77616707612174</v>
      </c>
      <c r="K42" s="265">
        <f t="shared" si="5"/>
        <v>0.5641648217927937</v>
      </c>
      <c r="L42" s="263">
        <f>'IODA Weekly iTunes'!M42+'Orch Weekly Mgmt'!M42</f>
        <v>4787.2899412896331</v>
      </c>
      <c r="M42" s="263">
        <f>'IODA Weekly iTunes'!N42+'Orch Weekly Mgmt'!N42</f>
        <v>3732.7534173058525</v>
      </c>
      <c r="N42" s="264">
        <f t="shared" si="1"/>
        <v>1054.5365239837806</v>
      </c>
      <c r="O42" s="265">
        <f t="shared" si="2"/>
        <v>0.28250902379319276</v>
      </c>
      <c r="Q42" s="235"/>
      <c r="R42" s="169"/>
      <c r="S42" s="169"/>
    </row>
    <row r="43" spans="1:19" s="3" customFormat="1" ht="11.25" x14ac:dyDescent="0.2">
      <c r="A43" s="260" t="s">
        <v>56</v>
      </c>
      <c r="B43" s="261">
        <f>'IODA Weekly iTunes'!B43+'Orch Weekly Mgmt'!B43</f>
        <v>107.44000800000001</v>
      </c>
      <c r="C43" s="261">
        <f>'IODA Weekly iTunes'!C43+'Orch Weekly Mgmt'!C43</f>
        <v>117.775944</v>
      </c>
      <c r="D43" s="261">
        <f>'IODA Weekly iTunes'!D43+'Orch Weekly Mgmt'!D43</f>
        <v>169.007904</v>
      </c>
      <c r="E43" s="261">
        <f>'IODA Weekly iTunes'!E43+'Orch Weekly Mgmt'!E43</f>
        <v>0</v>
      </c>
      <c r="F43" s="261">
        <f>'IODA Weekly iTunes'!F43+'Orch Weekly Mgmt'!F43</f>
        <v>0</v>
      </c>
      <c r="G43" s="262">
        <f t="shared" si="7"/>
        <v>394.22385600000001</v>
      </c>
      <c r="H43" s="263">
        <f>'IODA Weekly iTunes'!H43+'Orch Weekly Mgmt'!H43</f>
        <v>657.03976</v>
      </c>
      <c r="I43" s="263">
        <f>'IODA Weekly iTunes'!I43+'Orch Weekly Mgmt'!I43:I43</f>
        <v>463.43408558386238</v>
      </c>
      <c r="J43" s="264">
        <f t="shared" si="8"/>
        <v>193.60567441613762</v>
      </c>
      <c r="K43" s="265">
        <f t="shared" si="5"/>
        <v>0.41776313059109893</v>
      </c>
      <c r="L43" s="263">
        <f>'IODA Weekly iTunes'!M43+'Orch Weekly Mgmt'!M43</f>
        <v>1732.249389774094</v>
      </c>
      <c r="M43" s="263">
        <f>'IODA Weekly iTunes'!N43+'Orch Weekly Mgmt'!N43</f>
        <v>1417.9043573160263</v>
      </c>
      <c r="N43" s="264">
        <f t="shared" si="1"/>
        <v>314.34503245806764</v>
      </c>
      <c r="O43" s="265">
        <f t="shared" si="2"/>
        <v>0.22169692252945492</v>
      </c>
      <c r="Q43" s="235"/>
      <c r="R43" s="169"/>
      <c r="S43" s="169"/>
    </row>
    <row r="44" spans="1:19" s="3" customFormat="1" ht="11.25" x14ac:dyDescent="0.2">
      <c r="A44" s="260" t="s">
        <v>55</v>
      </c>
      <c r="B44" s="261">
        <f>'IODA Weekly iTunes'!B44+'Orch Weekly Mgmt'!B44</f>
        <v>178.44839999999999</v>
      </c>
      <c r="C44" s="261">
        <f>'IODA Weekly iTunes'!C44+'Orch Weekly Mgmt'!C44</f>
        <v>112.032336</v>
      </c>
      <c r="D44" s="261">
        <f>'IODA Weekly iTunes'!D44+'Orch Weekly Mgmt'!D44</f>
        <v>196.48511999999999</v>
      </c>
      <c r="E44" s="261">
        <f>'IODA Weekly iTunes'!E44+'Orch Weekly Mgmt'!E44</f>
        <v>0</v>
      </c>
      <c r="F44" s="261">
        <f>'IODA Weekly iTunes'!F44+'Orch Weekly Mgmt'!F44</f>
        <v>0</v>
      </c>
      <c r="G44" s="262">
        <f t="shared" si="7"/>
        <v>486.96585599999997</v>
      </c>
      <c r="H44" s="263">
        <f>'IODA Weekly iTunes'!H44+'Orch Weekly Mgmt'!H44</f>
        <v>811.60975999999982</v>
      </c>
      <c r="I44" s="263">
        <f>'IODA Weekly iTunes'!I44+'Orch Weekly Mgmt'!I44:I44</f>
        <v>546.80622180431658</v>
      </c>
      <c r="J44" s="264">
        <f t="shared" si="8"/>
        <v>264.80353819568325</v>
      </c>
      <c r="K44" s="265">
        <f t="shared" si="5"/>
        <v>0.48427308914280692</v>
      </c>
      <c r="L44" s="263">
        <f>'IODA Weekly iTunes'!M44+'Orch Weekly Mgmt'!M44</f>
        <v>2257.4483850734341</v>
      </c>
      <c r="M44" s="263">
        <f>'IODA Weekly iTunes'!N44+'Orch Weekly Mgmt'!N44</f>
        <v>1673.5944039662752</v>
      </c>
      <c r="N44" s="264">
        <f t="shared" si="1"/>
        <v>583.85398110715892</v>
      </c>
      <c r="O44" s="265">
        <f t="shared" si="2"/>
        <v>0.34886229287303727</v>
      </c>
      <c r="Q44" s="235"/>
      <c r="R44" s="169"/>
      <c r="S44" s="169"/>
    </row>
    <row r="45" spans="1:19" s="3" customFormat="1" ht="11.25" x14ac:dyDescent="0.2">
      <c r="A45" s="260" t="s">
        <v>54</v>
      </c>
      <c r="B45" s="261">
        <f>'IODA Weekly iTunes'!B45+'Orch Weekly Mgmt'!B45</f>
        <v>2452.7380800000001</v>
      </c>
      <c r="C45" s="261">
        <f>'IODA Weekly iTunes'!C45+'Orch Weekly Mgmt'!C45</f>
        <v>2457.611832</v>
      </c>
      <c r="D45" s="261">
        <f>'IODA Weekly iTunes'!D45+'Orch Weekly Mgmt'!D45</f>
        <v>2102.4675360000001</v>
      </c>
      <c r="E45" s="261">
        <f>'IODA Weekly iTunes'!E45+'Orch Weekly Mgmt'!E45</f>
        <v>0</v>
      </c>
      <c r="F45" s="261">
        <f>'IODA Weekly iTunes'!F45+'Orch Weekly Mgmt'!F45</f>
        <v>0</v>
      </c>
      <c r="G45" s="262">
        <f t="shared" si="7"/>
        <v>7012.8174479999998</v>
      </c>
      <c r="H45" s="263">
        <f>'IODA Weekly iTunes'!H45+'Orch Weekly Mgmt'!H45</f>
        <v>11688.02908</v>
      </c>
      <c r="I45" s="263">
        <f>'IODA Weekly iTunes'!I45+'Orch Weekly Mgmt'!I45:I45</f>
        <v>11257.151597036889</v>
      </c>
      <c r="J45" s="264">
        <f t="shared" si="8"/>
        <v>430.87748296311111</v>
      </c>
      <c r="K45" s="265">
        <f t="shared" si="5"/>
        <v>3.8275888820447863E-2</v>
      </c>
      <c r="L45" s="263">
        <f>'IODA Weekly iTunes'!M45+'Orch Weekly Mgmt'!M45</f>
        <v>33158.617654171059</v>
      </c>
      <c r="M45" s="263">
        <f>'IODA Weekly iTunes'!N45+'Orch Weekly Mgmt'!N45</f>
        <v>34461.498372897964</v>
      </c>
      <c r="N45" s="264">
        <f t="shared" si="1"/>
        <v>-1302.8807187269049</v>
      </c>
      <c r="O45" s="265">
        <f t="shared" si="2"/>
        <v>-3.7806850550397064E-2</v>
      </c>
      <c r="Q45" s="235"/>
      <c r="R45" s="169"/>
      <c r="S45" s="169"/>
    </row>
    <row r="46" spans="1:19" s="3" customFormat="1" ht="11.25" x14ac:dyDescent="0.2">
      <c r="A46" s="260" t="s">
        <v>53</v>
      </c>
      <c r="B46" s="261">
        <f>'IODA Weekly iTunes'!B46+'Orch Weekly Mgmt'!B46</f>
        <v>452.517</v>
      </c>
      <c r="C46" s="261">
        <f>'IODA Weekly iTunes'!C46+'Orch Weekly Mgmt'!C46</f>
        <v>566.34021599999994</v>
      </c>
      <c r="D46" s="261">
        <f>'IODA Weekly iTunes'!D46+'Orch Weekly Mgmt'!D46</f>
        <v>504.29901599999999</v>
      </c>
      <c r="E46" s="261">
        <f>'IODA Weekly iTunes'!E46+'Orch Weekly Mgmt'!E46</f>
        <v>0</v>
      </c>
      <c r="F46" s="261">
        <f>'IODA Weekly iTunes'!F46+'Orch Weekly Mgmt'!F46</f>
        <v>0</v>
      </c>
      <c r="G46" s="262">
        <f t="shared" si="7"/>
        <v>1523.1562319999998</v>
      </c>
      <c r="H46" s="263">
        <f>'IODA Weekly iTunes'!H46+'Orch Weekly Mgmt'!H46</f>
        <v>2538.5937200000003</v>
      </c>
      <c r="I46" s="263">
        <f>'IODA Weekly iTunes'!I46+'Orch Weekly Mgmt'!I46:I46</f>
        <v>2449.5305398215023</v>
      </c>
      <c r="J46" s="264">
        <f t="shared" si="8"/>
        <v>89.063180178497987</v>
      </c>
      <c r="K46" s="265">
        <f t="shared" si="5"/>
        <v>3.6359285475570366E-2</v>
      </c>
      <c r="L46" s="263">
        <f>'IODA Weekly iTunes'!M46+'Orch Weekly Mgmt'!M46</f>
        <v>7462.2496065904816</v>
      </c>
      <c r="M46" s="263">
        <f>'IODA Weekly iTunes'!N46+'Orch Weekly Mgmt'!N46</f>
        <v>7491.1662947410205</v>
      </c>
      <c r="N46" s="264">
        <f t="shared" si="1"/>
        <v>-28.916688150538903</v>
      </c>
      <c r="O46" s="265">
        <f t="shared" si="2"/>
        <v>-3.8601049573334283E-3</v>
      </c>
      <c r="Q46" s="235"/>
      <c r="R46" s="169"/>
      <c r="S46" s="169"/>
    </row>
    <row r="47" spans="1:19" s="3" customFormat="1" ht="11.25" x14ac:dyDescent="0.2">
      <c r="A47" s="260" t="s">
        <v>52</v>
      </c>
      <c r="B47" s="261">
        <f>'IODA Weekly iTunes'!B47+'Orch Weekly Mgmt'!B47</f>
        <v>748.26804000000004</v>
      </c>
      <c r="C47" s="261">
        <f>'IODA Weekly iTunes'!C47+'Orch Weekly Mgmt'!C47</f>
        <v>710.95377600000006</v>
      </c>
      <c r="D47" s="261">
        <f>'IODA Weekly iTunes'!D47+'Orch Weekly Mgmt'!D47</f>
        <v>799.90934400000003</v>
      </c>
      <c r="E47" s="261">
        <f>'IODA Weekly iTunes'!E47+'Orch Weekly Mgmt'!E47</f>
        <v>0</v>
      </c>
      <c r="F47" s="261">
        <f>'IODA Weekly iTunes'!F47+'Orch Weekly Mgmt'!F47</f>
        <v>0</v>
      </c>
      <c r="G47" s="262">
        <f t="shared" si="7"/>
        <v>2259.1311600000004</v>
      </c>
      <c r="H47" s="263">
        <f>'IODA Weekly iTunes'!H47+'Orch Weekly Mgmt'!H47</f>
        <v>3765.2186000000002</v>
      </c>
      <c r="I47" s="263">
        <f>'IODA Weekly iTunes'!I47+'Orch Weekly Mgmt'!I47:I47</f>
        <v>2708.7499218330854</v>
      </c>
      <c r="J47" s="264">
        <f t="shared" si="8"/>
        <v>1056.4686781669147</v>
      </c>
      <c r="K47" s="265">
        <f t="shared" si="5"/>
        <v>0.39002075077199205</v>
      </c>
      <c r="L47" s="263">
        <f>'IODA Weekly iTunes'!M47+'Orch Weekly Mgmt'!M47</f>
        <v>10698.32630404339</v>
      </c>
      <c r="M47" s="263">
        <f>'IODA Weekly iTunes'!N47+'Orch Weekly Mgmt'!N47</f>
        <v>8302.8303098911983</v>
      </c>
      <c r="N47" s="264">
        <f t="shared" si="1"/>
        <v>2395.495994152192</v>
      </c>
      <c r="O47" s="265">
        <f t="shared" si="2"/>
        <v>0.28851559103868796</v>
      </c>
      <c r="Q47" s="235"/>
      <c r="R47" s="169"/>
      <c r="S47" s="169"/>
    </row>
    <row r="48" spans="1:19" s="3" customFormat="1" ht="11.25" x14ac:dyDescent="0.2">
      <c r="A48" s="260" t="s">
        <v>90</v>
      </c>
      <c r="B48" s="261">
        <f>'IODA Weekly iTunes'!B48+'Orch Weekly Mgmt'!B48</f>
        <v>133.74036000000001</v>
      </c>
      <c r="C48" s="261">
        <f>'IODA Weekly iTunes'!C48+'Orch Weekly Mgmt'!C48</f>
        <v>135.19864799999999</v>
      </c>
      <c r="D48" s="261">
        <f>'IODA Weekly iTunes'!D48+'Orch Weekly Mgmt'!D48</f>
        <v>229.19426399999998</v>
      </c>
      <c r="E48" s="261">
        <f>'IODA Weekly iTunes'!E48+'Orch Weekly Mgmt'!E48</f>
        <v>0</v>
      </c>
      <c r="F48" s="261">
        <f>'IODA Weekly iTunes'!F48+'Orch Weekly Mgmt'!F48</f>
        <v>0</v>
      </c>
      <c r="G48" s="262">
        <f t="shared" si="7"/>
        <v>498.13327199999998</v>
      </c>
      <c r="H48" s="263">
        <f>'IODA Weekly iTunes'!H48+'Orch Weekly Mgmt'!H48</f>
        <v>830.2221199999999</v>
      </c>
      <c r="I48" s="263">
        <f>'IODA Weekly iTunes'!I48+'Orch Weekly Mgmt'!I48:I48</f>
        <v>725.76255547575499</v>
      </c>
      <c r="J48" s="264">
        <f t="shared" si="8"/>
        <v>104.45956452424491</v>
      </c>
      <c r="K48" s="265">
        <f t="shared" si="5"/>
        <v>0.14393077148457889</v>
      </c>
      <c r="L48" s="263">
        <f>'IODA Weekly iTunes'!M48+'Orch Weekly Mgmt'!M48</f>
        <v>2428.0499044786638</v>
      </c>
      <c r="M48" s="263">
        <f>'IODA Weekly iTunes'!N48+'Orch Weekly Mgmt'!N48</f>
        <v>2219.7629946606467</v>
      </c>
      <c r="N48" s="264">
        <f t="shared" si="1"/>
        <v>208.28690981801719</v>
      </c>
      <c r="O48" s="265">
        <f t="shared" si="2"/>
        <v>9.3832949877542995E-2</v>
      </c>
      <c r="Q48" s="235"/>
      <c r="R48" s="169"/>
      <c r="S48" s="169"/>
    </row>
    <row r="49" spans="1:19" x14ac:dyDescent="0.2">
      <c r="A49" s="239" t="s">
        <v>95</v>
      </c>
      <c r="B49" s="242">
        <f>'IODA Weekly iTunes'!B49+'Orch Weekly Mgmt'!B49</f>
        <v>57995.42</v>
      </c>
      <c r="C49" s="242">
        <f>'IODA Weekly iTunes'!C49+'Orch Weekly Mgmt'!C49</f>
        <v>56240.340000000011</v>
      </c>
      <c r="D49" s="242">
        <f>'IODA Weekly iTunes'!D49+'Orch Weekly Mgmt'!D49</f>
        <v>58717.040000000008</v>
      </c>
      <c r="E49" s="242">
        <f>'IODA Weekly iTunes'!E49+'Orch Weekly Mgmt'!E49</f>
        <v>0</v>
      </c>
      <c r="F49" s="242">
        <f>'IODA Weekly iTunes'!F49+'Orch Weekly Mgmt'!F49</f>
        <v>0</v>
      </c>
      <c r="G49" s="243">
        <f t="shared" si="7"/>
        <v>172952.80000000002</v>
      </c>
      <c r="H49" s="245">
        <f>'IODA Weekly iTunes'!H49+'Orch Weekly Mgmt'!H49</f>
        <v>288254.66666666669</v>
      </c>
      <c r="I49" s="245">
        <f>'IODA Weekly iTunes'!I49+'Orch Weekly Mgmt'!I49:I49</f>
        <v>233062.24983589636</v>
      </c>
      <c r="J49" s="246">
        <f t="shared" si="4"/>
        <v>55192.416830770322</v>
      </c>
      <c r="K49" s="247">
        <f t="shared" si="5"/>
        <v>0.23681405662921545</v>
      </c>
      <c r="L49" s="245">
        <f>'IODA Weekly iTunes'!M49+'Orch Weekly Mgmt'!M49</f>
        <v>850309.86666820478</v>
      </c>
      <c r="M49" s="245">
        <f>'IODA Weekly iTunes'!N49+'Orch Weekly Mgmt'!N49</f>
        <v>714535.53139619459</v>
      </c>
      <c r="N49" s="246">
        <f t="shared" si="1"/>
        <v>135774.33527201018</v>
      </c>
      <c r="O49" s="247">
        <f t="shared" si="2"/>
        <v>0.1900176118697815</v>
      </c>
    </row>
    <row r="50" spans="1:19" s="3" customFormat="1" ht="11.25" x14ac:dyDescent="0.2">
      <c r="A50" s="260" t="s">
        <v>128</v>
      </c>
      <c r="B50" s="261">
        <f>'IODA Weekly iTunes'!B50+'Orch Weekly Mgmt'!B50</f>
        <v>1893.19</v>
      </c>
      <c r="C50" s="261">
        <f>'IODA Weekly iTunes'!C50+'Orch Weekly Mgmt'!C50</f>
        <v>1896.48</v>
      </c>
      <c r="D50" s="261">
        <f>'IODA Weekly iTunes'!D50+'Orch Weekly Mgmt'!D50</f>
        <v>1784.43</v>
      </c>
      <c r="E50" s="261">
        <f>'IODA Weekly iTunes'!E50+'Orch Weekly Mgmt'!E50</f>
        <v>0</v>
      </c>
      <c r="F50" s="261">
        <f>'IODA Weekly iTunes'!F50+'Orch Weekly Mgmt'!F50</f>
        <v>0</v>
      </c>
      <c r="G50" s="262">
        <f t="shared" si="7"/>
        <v>5574.1</v>
      </c>
      <c r="H50" s="263">
        <f>'IODA Weekly iTunes'!H50+'Orch Weekly Mgmt'!H50</f>
        <v>9290.1666666666679</v>
      </c>
      <c r="I50" s="263">
        <f>'IODA Weekly iTunes'!I50+'Orch Weekly Mgmt'!I50:I50</f>
        <v>11115.431630209987</v>
      </c>
      <c r="J50" s="264">
        <f t="shared" ref="J50:J81" si="9">H50-I50</f>
        <v>-1825.264963543319</v>
      </c>
      <c r="K50" s="265">
        <f t="shared" si="5"/>
        <v>-0.16420999420144308</v>
      </c>
      <c r="L50" s="263">
        <f>'IODA Weekly iTunes'!M50+'Orch Weekly Mgmt'!M50</f>
        <v>36360.266642848641</v>
      </c>
      <c r="M50" s="263">
        <f>'IODA Weekly iTunes'!N50+'Orch Weekly Mgmt'!N50</f>
        <v>33980.075066830163</v>
      </c>
      <c r="N50" s="264">
        <f t="shared" si="1"/>
        <v>2380.1915760184784</v>
      </c>
      <c r="O50" s="265">
        <f t="shared" si="2"/>
        <v>7.0046683868038764E-2</v>
      </c>
      <c r="Q50" s="235"/>
      <c r="R50" s="169"/>
      <c r="S50" s="169"/>
    </row>
    <row r="51" spans="1:19" s="3" customFormat="1" ht="11.25" x14ac:dyDescent="0.2">
      <c r="A51" s="260" t="s">
        <v>134</v>
      </c>
      <c r="B51" s="261">
        <f>'IODA Weekly iTunes'!B51+'Orch Weekly Mgmt'!B51</f>
        <v>1.83</v>
      </c>
      <c r="C51" s="261">
        <f>'IODA Weekly iTunes'!C51+'Orch Weekly Mgmt'!C51</f>
        <v>22.57</v>
      </c>
      <c r="D51" s="261">
        <f>'IODA Weekly iTunes'!D51+'Orch Weekly Mgmt'!D51</f>
        <v>15.86</v>
      </c>
      <c r="E51" s="261">
        <f>'IODA Weekly iTunes'!E51+'Orch Weekly Mgmt'!E51</f>
        <v>0</v>
      </c>
      <c r="F51" s="261">
        <f>'IODA Weekly iTunes'!F51+'Orch Weekly Mgmt'!F51</f>
        <v>0</v>
      </c>
      <c r="G51" s="262">
        <f t="shared" si="7"/>
        <v>40.26</v>
      </c>
      <c r="H51" s="263">
        <f>'IODA Weekly iTunes'!H51+'Orch Weekly Mgmt'!H51</f>
        <v>85.908333333333331</v>
      </c>
      <c r="I51" s="263">
        <f>'IODA Weekly iTunes'!I51+'Orch Weekly Mgmt'!I51:I51</f>
        <v>51.672216444855927</v>
      </c>
      <c r="J51" s="264">
        <f t="shared" si="9"/>
        <v>34.236116888477405</v>
      </c>
      <c r="K51" s="265">
        <f t="shared" si="5"/>
        <v>0.66256335113888232</v>
      </c>
      <c r="L51" s="263">
        <f>'IODA Weekly iTunes'!M51+'Orch Weekly Mgmt'!M51</f>
        <v>191.50499966939287</v>
      </c>
      <c r="M51" s="263">
        <f>'IODA Weekly iTunes'!N51+'Orch Weekly Mgmt'!N51</f>
        <v>158.11770785253668</v>
      </c>
      <c r="N51" s="264">
        <f t="shared" si="1"/>
        <v>33.387291816856191</v>
      </c>
      <c r="O51" s="265">
        <f t="shared" si="2"/>
        <v>0.21115466616802817</v>
      </c>
      <c r="Q51" s="235"/>
      <c r="R51" s="169"/>
      <c r="S51" s="169"/>
    </row>
    <row r="52" spans="1:19" s="3" customFormat="1" ht="11.25" x14ac:dyDescent="0.2">
      <c r="A52" s="260" t="s">
        <v>136</v>
      </c>
      <c r="B52" s="261">
        <f>'IODA Weekly iTunes'!B52+'Orch Weekly Mgmt'!B52</f>
        <v>34.769999999999996</v>
      </c>
      <c r="C52" s="261">
        <f>'IODA Weekly iTunes'!C52+'Orch Weekly Mgmt'!C52</f>
        <v>61</v>
      </c>
      <c r="D52" s="261">
        <f>'IODA Weekly iTunes'!D52+'Orch Weekly Mgmt'!D52</f>
        <v>25.62</v>
      </c>
      <c r="E52" s="261">
        <f>'IODA Weekly iTunes'!E52+'Orch Weekly Mgmt'!E52</f>
        <v>0</v>
      </c>
      <c r="F52" s="261">
        <f>'IODA Weekly iTunes'!F52+'Orch Weekly Mgmt'!F52</f>
        <v>0</v>
      </c>
      <c r="G52" s="262">
        <f t="shared" si="7"/>
        <v>121.39</v>
      </c>
      <c r="H52" s="263">
        <f>'IODA Weekly iTunes'!H52+'Orch Weekly Mgmt'!H52</f>
        <v>202.31666666666666</v>
      </c>
      <c r="I52" s="263">
        <f>'IODA Weekly iTunes'!I52+'Orch Weekly Mgmt'!I52:I52</f>
        <v>155.3765170593295</v>
      </c>
      <c r="J52" s="264">
        <f t="shared" si="9"/>
        <v>46.940149607337162</v>
      </c>
      <c r="K52" s="265">
        <f t="shared" si="5"/>
        <v>0.30210581686171645</v>
      </c>
      <c r="L52" s="263">
        <f>'IODA Weekly iTunes'!M52+'Orch Weekly Mgmt'!M52</f>
        <v>565.53666550318394</v>
      </c>
      <c r="M52" s="263">
        <f>'IODA Weekly iTunes'!N52+'Orch Weekly Mgmt'!N52</f>
        <v>475.24652338613134</v>
      </c>
      <c r="N52" s="264">
        <f t="shared" si="1"/>
        <v>90.290142117052596</v>
      </c>
      <c r="O52" s="265">
        <f t="shared" si="2"/>
        <v>0.18998590767952464</v>
      </c>
      <c r="Q52" s="235"/>
      <c r="R52" s="169"/>
      <c r="S52" s="169"/>
    </row>
    <row r="53" spans="1:19" s="3" customFormat="1" ht="11.25" x14ac:dyDescent="0.2">
      <c r="A53" s="260" t="s">
        <v>138</v>
      </c>
      <c r="B53" s="261">
        <f>'IODA Weekly iTunes'!B53+'Orch Weekly Mgmt'!B53</f>
        <v>42817.98</v>
      </c>
      <c r="C53" s="261">
        <f>'IODA Weekly iTunes'!C53+'Orch Weekly Mgmt'!C53</f>
        <v>41454.21</v>
      </c>
      <c r="D53" s="261">
        <f>'IODA Weekly iTunes'!D53+'Orch Weekly Mgmt'!D53</f>
        <v>43466.559999999998</v>
      </c>
      <c r="E53" s="261">
        <f>'IODA Weekly iTunes'!E53+'Orch Weekly Mgmt'!E53</f>
        <v>0</v>
      </c>
      <c r="F53" s="261">
        <f>'IODA Weekly iTunes'!F53+'Orch Weekly Mgmt'!F53</f>
        <v>0</v>
      </c>
      <c r="G53" s="262">
        <f t="shared" si="7"/>
        <v>127738.75</v>
      </c>
      <c r="H53" s="263">
        <f>'IODA Weekly iTunes'!H53+'Orch Weekly Mgmt'!H53</f>
        <v>212897.91666666666</v>
      </c>
      <c r="I53" s="263">
        <f>'IODA Weekly iTunes'!I53+'Orch Weekly Mgmt'!I53:I53</f>
        <v>164793.29256908764</v>
      </c>
      <c r="J53" s="264">
        <f t="shared" si="9"/>
        <v>48104.624097579013</v>
      </c>
      <c r="K53" s="265">
        <f t="shared" si="5"/>
        <v>0.29190887170005247</v>
      </c>
      <c r="L53" s="263">
        <f>'IODA Weekly iTunes'!M53+'Orch Weekly Mgmt'!M53</f>
        <v>609972.54640285193</v>
      </c>
      <c r="M53" s="263">
        <f>'IODA Weekly iTunes'!N53+'Orch Weekly Mgmt'!N53</f>
        <v>505569.82255892875</v>
      </c>
      <c r="N53" s="264">
        <f t="shared" si="1"/>
        <v>104402.72384392319</v>
      </c>
      <c r="O53" s="265">
        <f t="shared" si="2"/>
        <v>0.20650505466384736</v>
      </c>
      <c r="Q53" s="235"/>
      <c r="R53" s="169"/>
      <c r="S53" s="169"/>
    </row>
    <row r="54" spans="1:19" s="3" customFormat="1" ht="11.25" x14ac:dyDescent="0.2">
      <c r="A54" s="260" t="s">
        <v>144</v>
      </c>
      <c r="B54" s="261">
        <f>'IODA Weekly iTunes'!B54+'Orch Weekly Mgmt'!B54</f>
        <v>4665.76</v>
      </c>
      <c r="C54" s="261">
        <f>'IODA Weekly iTunes'!C54+'Orch Weekly Mgmt'!C54</f>
        <v>4383.6499999999996</v>
      </c>
      <c r="D54" s="261">
        <f>'IODA Weekly iTunes'!D54+'Orch Weekly Mgmt'!D54</f>
        <v>4090.63</v>
      </c>
      <c r="E54" s="261">
        <f>'IODA Weekly iTunes'!E54+'Orch Weekly Mgmt'!E54</f>
        <v>0</v>
      </c>
      <c r="F54" s="261">
        <f>'IODA Weekly iTunes'!F54+'Orch Weekly Mgmt'!F54</f>
        <v>0</v>
      </c>
      <c r="G54" s="262">
        <f t="shared" si="7"/>
        <v>13140.04</v>
      </c>
      <c r="H54" s="263">
        <f>'IODA Weekly iTunes'!H54+'Orch Weekly Mgmt'!H54</f>
        <v>21900.066666666669</v>
      </c>
      <c r="I54" s="263">
        <f>'IODA Weekly iTunes'!I54+'Orch Weekly Mgmt'!I54:I54</f>
        <v>17593.453942063195</v>
      </c>
      <c r="J54" s="264">
        <f t="shared" si="9"/>
        <v>4306.6127246034739</v>
      </c>
      <c r="K54" s="265">
        <f t="shared" si="5"/>
        <v>0.24478494892393113</v>
      </c>
      <c r="L54" s="263">
        <f>'IODA Weekly iTunes'!M54+'Orch Weekly Mgmt'!M54</f>
        <v>65767.876618091264</v>
      </c>
      <c r="M54" s="263">
        <f>'IODA Weekly iTunes'!N54+'Orch Weekly Mgmt'!N54</f>
        <v>53848.135456555246</v>
      </c>
      <c r="N54" s="264">
        <f t="shared" si="1"/>
        <v>11919.741161536018</v>
      </c>
      <c r="O54" s="265">
        <f t="shared" si="2"/>
        <v>0.22135847528375208</v>
      </c>
      <c r="Q54" s="235"/>
      <c r="R54" s="169"/>
      <c r="S54" s="169"/>
    </row>
    <row r="55" spans="1:19" s="3" customFormat="1" ht="11.25" x14ac:dyDescent="0.2">
      <c r="A55" s="260" t="s">
        <v>145</v>
      </c>
      <c r="B55" s="261">
        <f>'IODA Weekly iTunes'!B55+'Orch Weekly Mgmt'!B55</f>
        <v>4159.59</v>
      </c>
      <c r="C55" s="261">
        <f>'IODA Weekly iTunes'!C55+'Orch Weekly Mgmt'!C55</f>
        <v>3962.5600000000004</v>
      </c>
      <c r="D55" s="261">
        <f>'IODA Weekly iTunes'!D55+'Orch Weekly Mgmt'!D55</f>
        <v>4218.3500000000004</v>
      </c>
      <c r="E55" s="261">
        <f>'IODA Weekly iTunes'!E55+'Orch Weekly Mgmt'!E55</f>
        <v>0</v>
      </c>
      <c r="F55" s="261">
        <f>'IODA Weekly iTunes'!F55+'Orch Weekly Mgmt'!F55</f>
        <v>0</v>
      </c>
      <c r="G55" s="262">
        <f t="shared" si="7"/>
        <v>12340.5</v>
      </c>
      <c r="H55" s="263">
        <f>'IODA Weekly iTunes'!H55+'Orch Weekly Mgmt'!H55</f>
        <v>20567.5</v>
      </c>
      <c r="I55" s="263">
        <f>'IODA Weekly iTunes'!I55+'Orch Weekly Mgmt'!I55:I55</f>
        <v>18481.187330882072</v>
      </c>
      <c r="J55" s="264">
        <f t="shared" si="9"/>
        <v>2086.3126691179277</v>
      </c>
      <c r="K55" s="265">
        <f t="shared" si="5"/>
        <v>0.11288845417586879</v>
      </c>
      <c r="L55" s="263">
        <f>'IODA Weekly iTunes'!M55+'Orch Weekly Mgmt'!M55</f>
        <v>64684.020132124424</v>
      </c>
      <c r="M55" s="263">
        <f>'IODA Weekly iTunes'!N55+'Orch Weekly Mgmt'!N55</f>
        <v>56626.395810846254</v>
      </c>
      <c r="N55" s="264">
        <f t="shared" si="1"/>
        <v>8057.6243212781701</v>
      </c>
      <c r="O55" s="265">
        <f t="shared" si="2"/>
        <v>0.14229449368795616</v>
      </c>
      <c r="Q55" s="235"/>
      <c r="R55" s="169"/>
      <c r="S55" s="169"/>
    </row>
    <row r="56" spans="1:19" s="3" customFormat="1" ht="11.25" x14ac:dyDescent="0.2">
      <c r="A56" s="260" t="s">
        <v>146</v>
      </c>
      <c r="B56" s="261">
        <f>'IODA Weekly iTunes'!B56+'Orch Weekly Mgmt'!B56</f>
        <v>584.27</v>
      </c>
      <c r="C56" s="261">
        <f>'IODA Weekly iTunes'!C56+'Orch Weekly Mgmt'!C56</f>
        <v>694.01</v>
      </c>
      <c r="D56" s="261">
        <f>'IODA Weekly iTunes'!D56+'Orch Weekly Mgmt'!D56</f>
        <v>740.21</v>
      </c>
      <c r="E56" s="261">
        <f>'IODA Weekly iTunes'!E56+'Orch Weekly Mgmt'!E56</f>
        <v>0</v>
      </c>
      <c r="F56" s="261">
        <f>'IODA Weekly iTunes'!F56+'Orch Weekly Mgmt'!F56</f>
        <v>0</v>
      </c>
      <c r="G56" s="262">
        <f t="shared" si="7"/>
        <v>2018.49</v>
      </c>
      <c r="H56" s="263">
        <f>'IODA Weekly iTunes'!H56+'Orch Weekly Mgmt'!H56</f>
        <v>3364.15</v>
      </c>
      <c r="I56" s="263">
        <f>'IODA Weekly iTunes'!I56+'Orch Weekly Mgmt'!I56:I56</f>
        <v>3227.5543053495558</v>
      </c>
      <c r="J56" s="264">
        <f t="shared" si="9"/>
        <v>136.59569465044433</v>
      </c>
      <c r="K56" s="265">
        <f t="shared" si="5"/>
        <v>4.2321733959376565E-2</v>
      </c>
      <c r="L56" s="263">
        <f>'IODA Weekly iTunes'!M56+'Orch Weekly Mgmt'!M56</f>
        <v>10916.100031578539</v>
      </c>
      <c r="M56" s="263">
        <f>'IODA Weekly iTunes'!N56+'Orch Weekly Mgmt'!N56</f>
        <v>9875.7171624844832</v>
      </c>
      <c r="N56" s="264">
        <f t="shared" si="1"/>
        <v>1040.3828690940554</v>
      </c>
      <c r="O56" s="265">
        <f t="shared" si="2"/>
        <v>0.10534757648246795</v>
      </c>
      <c r="Q56" s="235"/>
      <c r="R56" s="169"/>
      <c r="S56" s="169"/>
    </row>
    <row r="57" spans="1:19" s="3" customFormat="1" ht="11.25" x14ac:dyDescent="0.2">
      <c r="A57" s="260" t="s">
        <v>148</v>
      </c>
      <c r="B57" s="261">
        <f>'IODA Weekly iTunes'!B57+'Orch Weekly Mgmt'!B57</f>
        <v>370.87</v>
      </c>
      <c r="C57" s="261">
        <f>'IODA Weekly iTunes'!C57+'Orch Weekly Mgmt'!C57</f>
        <v>426.86</v>
      </c>
      <c r="D57" s="261">
        <f>'IODA Weekly iTunes'!D57+'Orch Weekly Mgmt'!D57</f>
        <v>500.89</v>
      </c>
      <c r="E57" s="261">
        <f>'IODA Weekly iTunes'!E57+'Orch Weekly Mgmt'!E57</f>
        <v>0</v>
      </c>
      <c r="F57" s="261">
        <f>'IODA Weekly iTunes'!F57+'Orch Weekly Mgmt'!F57</f>
        <v>0</v>
      </c>
      <c r="G57" s="262">
        <f t="shared" si="7"/>
        <v>1298.6199999999999</v>
      </c>
      <c r="H57" s="263">
        <f>'IODA Weekly iTunes'!H57+'Orch Weekly Mgmt'!H57</f>
        <v>2164.3666666666668</v>
      </c>
      <c r="I57" s="263">
        <f>'IODA Weekly iTunes'!I57+'Orch Weekly Mgmt'!I57:I57</f>
        <v>1372.0431629082971</v>
      </c>
      <c r="J57" s="264">
        <f t="shared" si="9"/>
        <v>792.32350375836972</v>
      </c>
      <c r="K57" s="265">
        <f t="shared" si="5"/>
        <v>0.57747709778961676</v>
      </c>
      <c r="L57" s="263">
        <f>'IODA Weekly iTunes'!M57+'Orch Weekly Mgmt'!M57</f>
        <v>5411.6166763822257</v>
      </c>
      <c r="M57" s="263">
        <f>'IODA Weekly iTunes'!N57+'Orch Weekly Mgmt'!N57</f>
        <v>4202.2654165814311</v>
      </c>
      <c r="N57" s="264">
        <f t="shared" si="1"/>
        <v>1209.3512598007947</v>
      </c>
      <c r="O57" s="265">
        <f t="shared" si="2"/>
        <v>0.2877855489633992</v>
      </c>
      <c r="Q57" s="235"/>
      <c r="R57" s="169"/>
      <c r="S57" s="169"/>
    </row>
    <row r="58" spans="1:19" s="3" customFormat="1" ht="11.25" x14ac:dyDescent="0.2">
      <c r="A58" s="260" t="s">
        <v>149</v>
      </c>
      <c r="B58" s="261">
        <f>'IODA Weekly iTunes'!B58+'Orch Weekly Mgmt'!B58</f>
        <v>789.23</v>
      </c>
      <c r="C58" s="261">
        <f>'IODA Weekly iTunes'!C58+'Orch Weekly Mgmt'!C58</f>
        <v>807.69</v>
      </c>
      <c r="D58" s="261">
        <f>'IODA Weekly iTunes'!D58+'Orch Weekly Mgmt'!D58</f>
        <v>884.65000000000009</v>
      </c>
      <c r="E58" s="261">
        <f>'IODA Weekly iTunes'!E58+'Orch Weekly Mgmt'!E58</f>
        <v>0</v>
      </c>
      <c r="F58" s="261">
        <f>'IODA Weekly iTunes'!F58+'Orch Weekly Mgmt'!F58</f>
        <v>0</v>
      </c>
      <c r="G58" s="262">
        <f t="shared" si="7"/>
        <v>2481.5700000000002</v>
      </c>
      <c r="H58" s="263">
        <f>'IODA Weekly iTunes'!H58+'Orch Weekly Mgmt'!H58</f>
        <v>4135.9500000000007</v>
      </c>
      <c r="I58" s="263">
        <f>'IODA Weekly iTunes'!I58+'Orch Weekly Mgmt'!I58:I58</f>
        <v>3950.1119156238301</v>
      </c>
      <c r="J58" s="264">
        <f t="shared" si="9"/>
        <v>185.83808437617063</v>
      </c>
      <c r="K58" s="265">
        <f t="shared" si="5"/>
        <v>4.7046283332157629E-2</v>
      </c>
      <c r="L58" s="263">
        <f>'IODA Weekly iTunes'!M58+'Orch Weekly Mgmt'!M58</f>
        <v>13849.910045814513</v>
      </c>
      <c r="M58" s="263">
        <f>'IODA Weekly iTunes'!N58+'Orch Weekly Mgmt'!N58</f>
        <v>12089.741650766735</v>
      </c>
      <c r="N58" s="264">
        <f t="shared" si="1"/>
        <v>1760.1683950477782</v>
      </c>
      <c r="O58" s="265">
        <f t="shared" si="2"/>
        <v>0.14559189483888996</v>
      </c>
      <c r="Q58" s="235"/>
      <c r="R58" s="169"/>
      <c r="S58" s="169"/>
    </row>
    <row r="59" spans="1:19" s="3" customFormat="1" ht="11.25" x14ac:dyDescent="0.2">
      <c r="A59" s="260" t="s">
        <v>150</v>
      </c>
      <c r="B59" s="261">
        <f>'IODA Weekly iTunes'!B59+'Orch Weekly Mgmt'!B59</f>
        <v>65.31</v>
      </c>
      <c r="C59" s="261">
        <f>'IODA Weekly iTunes'!C59+'Orch Weekly Mgmt'!C59</f>
        <v>118.47</v>
      </c>
      <c r="D59" s="261">
        <f>'IODA Weekly iTunes'!D59+'Orch Weekly Mgmt'!D59</f>
        <v>183.18</v>
      </c>
      <c r="E59" s="261">
        <f>'IODA Weekly iTunes'!E59+'Orch Weekly Mgmt'!E59</f>
        <v>0</v>
      </c>
      <c r="F59" s="261">
        <f>'IODA Weekly iTunes'!F59+'Orch Weekly Mgmt'!F59</f>
        <v>0</v>
      </c>
      <c r="G59" s="262">
        <f t="shared" si="7"/>
        <v>366.96000000000004</v>
      </c>
      <c r="H59" s="263">
        <f>'IODA Weekly iTunes'!H59+'Orch Weekly Mgmt'!H59</f>
        <v>611.59999999999991</v>
      </c>
      <c r="I59" s="263">
        <f>'IODA Weekly iTunes'!I59+'Orch Weekly Mgmt'!I59:I59</f>
        <v>611.11167164059111</v>
      </c>
      <c r="J59" s="264">
        <f t="shared" si="9"/>
        <v>0.48832835940879704</v>
      </c>
      <c r="K59" s="265">
        <f t="shared" si="5"/>
        <v>7.9908203699960456E-4</v>
      </c>
      <c r="L59" s="263">
        <f>'IODA Weekly iTunes'!M59+'Orch Weekly Mgmt'!M59</f>
        <v>1926.3600049376487</v>
      </c>
      <c r="M59" s="263">
        <f>'IODA Weekly iTunes'!N59+'Orch Weekly Mgmt'!N59</f>
        <v>1869.7749832896784</v>
      </c>
      <c r="N59" s="264">
        <f t="shared" si="1"/>
        <v>56.585021647970279</v>
      </c>
      <c r="O59" s="265">
        <f t="shared" si="2"/>
        <v>3.0263011407081031E-2</v>
      </c>
      <c r="Q59" s="235"/>
      <c r="R59" s="169"/>
      <c r="S59" s="169"/>
    </row>
    <row r="60" spans="1:19" s="3" customFormat="1" ht="11.25" x14ac:dyDescent="0.2">
      <c r="A60" s="260" t="s">
        <v>155</v>
      </c>
      <c r="B60" s="261">
        <f>'IODA Weekly iTunes'!B60+'Orch Weekly Mgmt'!B60</f>
        <v>267.74</v>
      </c>
      <c r="C60" s="261">
        <f>'IODA Weekly iTunes'!C60+'Orch Weekly Mgmt'!C60</f>
        <v>264.45999999999998</v>
      </c>
      <c r="D60" s="261">
        <f>'IODA Weekly iTunes'!D60+'Orch Weekly Mgmt'!D60</f>
        <v>331.63</v>
      </c>
      <c r="E60" s="261">
        <f>'IODA Weekly iTunes'!E60+'Orch Weekly Mgmt'!E60</f>
        <v>0</v>
      </c>
      <c r="F60" s="261">
        <f>'IODA Weekly iTunes'!F60+'Orch Weekly Mgmt'!F60</f>
        <v>0</v>
      </c>
      <c r="G60" s="262">
        <f t="shared" si="7"/>
        <v>863.83</v>
      </c>
      <c r="H60" s="263">
        <f>'IODA Weekly iTunes'!H60+'Orch Weekly Mgmt'!H60</f>
        <v>1439.7166666666667</v>
      </c>
      <c r="I60" s="263">
        <f>'IODA Weekly iTunes'!I60+'Orch Weekly Mgmt'!I60:I60</f>
        <v>1430.607112120013</v>
      </c>
      <c r="J60" s="264">
        <f t="shared" si="9"/>
        <v>9.109554546653726</v>
      </c>
      <c r="K60" s="265">
        <f t="shared" si="5"/>
        <v>6.3676144690447542E-3</v>
      </c>
      <c r="L60" s="263">
        <f>'IODA Weekly iTunes'!M60+'Orch Weekly Mgmt'!M60</f>
        <v>4871.6566744128868</v>
      </c>
      <c r="M60" s="263">
        <f>'IODA Weekly iTunes'!N60+'Orch Weekly Mgmt'!N60</f>
        <v>4376.3125275714247</v>
      </c>
      <c r="N60" s="264">
        <f t="shared" si="1"/>
        <v>495.34414684146213</v>
      </c>
      <c r="O60" s="265">
        <f t="shared" si="2"/>
        <v>0.11318756229604714</v>
      </c>
      <c r="Q60" s="235"/>
      <c r="R60" s="169"/>
      <c r="S60" s="169"/>
    </row>
    <row r="61" spans="1:19" s="3" customFormat="1" ht="11.25" x14ac:dyDescent="0.2">
      <c r="A61" s="260" t="s">
        <v>157</v>
      </c>
      <c r="B61" s="261">
        <f>'IODA Weekly iTunes'!B61+'Orch Weekly Mgmt'!B61</f>
        <v>119.28</v>
      </c>
      <c r="C61" s="261">
        <f>'IODA Weekly iTunes'!C61+'Orch Weekly Mgmt'!C61</f>
        <v>104.50999999999999</v>
      </c>
      <c r="D61" s="261">
        <f>'IODA Weekly iTunes'!D61+'Orch Weekly Mgmt'!D61</f>
        <v>170.68</v>
      </c>
      <c r="E61" s="261">
        <f>'IODA Weekly iTunes'!E61+'Orch Weekly Mgmt'!E61</f>
        <v>0</v>
      </c>
      <c r="F61" s="261">
        <f>'IODA Weekly iTunes'!F61+'Orch Weekly Mgmt'!F61</f>
        <v>0</v>
      </c>
      <c r="G61" s="262">
        <f t="shared" si="7"/>
        <v>394.47</v>
      </c>
      <c r="H61" s="263">
        <f>'IODA Weekly iTunes'!H61+'Orch Weekly Mgmt'!H61</f>
        <v>657.44999999999993</v>
      </c>
      <c r="I61" s="263">
        <f>'IODA Weekly iTunes'!I61+'Orch Weekly Mgmt'!I61:I61</f>
        <v>774.9096395512845</v>
      </c>
      <c r="J61" s="264">
        <f t="shared" si="9"/>
        <v>-117.45963955128457</v>
      </c>
      <c r="K61" s="265">
        <f t="shared" si="5"/>
        <v>-0.15157849839021256</v>
      </c>
      <c r="L61" s="263">
        <f>'IODA Weekly iTunes'!M61+'Orch Weekly Mgmt'!M61</f>
        <v>2394.2500055551527</v>
      </c>
      <c r="M61" s="263">
        <f>'IODA Weekly iTunes'!N61+'Orch Weekly Mgmt'!N61</f>
        <v>2370.7200628966898</v>
      </c>
      <c r="N61" s="264">
        <f t="shared" si="1"/>
        <v>23.529942658462915</v>
      </c>
      <c r="O61" s="265">
        <f t="shared" si="2"/>
        <v>9.9252303242047916E-3</v>
      </c>
      <c r="Q61" s="235"/>
      <c r="R61" s="169"/>
      <c r="S61" s="169"/>
    </row>
    <row r="62" spans="1:19" s="3" customFormat="1" ht="11.25" x14ac:dyDescent="0.2">
      <c r="A62" s="260" t="s">
        <v>174</v>
      </c>
      <c r="B62" s="261">
        <f>'IODA Weekly iTunes'!B62+'Orch Weekly Mgmt'!B62</f>
        <v>79.569999999999993</v>
      </c>
      <c r="C62" s="261">
        <f>'IODA Weekly iTunes'!C62+'Orch Weekly Mgmt'!C62</f>
        <v>50.92</v>
      </c>
      <c r="D62" s="261">
        <f>'IODA Weekly iTunes'!D62+'Orch Weekly Mgmt'!D62</f>
        <v>63.800000000000004</v>
      </c>
      <c r="E62" s="261">
        <f>'IODA Weekly iTunes'!E62+'Orch Weekly Mgmt'!E62</f>
        <v>0</v>
      </c>
      <c r="F62" s="261">
        <f>'IODA Weekly iTunes'!F62+'Orch Weekly Mgmt'!F62</f>
        <v>0</v>
      </c>
      <c r="G62" s="262">
        <f t="shared" si="7"/>
        <v>194.29000000000002</v>
      </c>
      <c r="H62" s="263">
        <f>'IODA Weekly iTunes'!H62+'Orch Weekly Mgmt'!H62</f>
        <v>323.81666666666666</v>
      </c>
      <c r="I62" s="263">
        <f>'IODA Weekly iTunes'!I62+'Orch Weekly Mgmt'!I62:I62</f>
        <v>350.97773459946563</v>
      </c>
      <c r="J62" s="264">
        <f t="shared" si="9"/>
        <v>-27.161067932798971</v>
      </c>
      <c r="K62" s="265">
        <f t="shared" si="5"/>
        <v>-7.738686889581492E-2</v>
      </c>
      <c r="L62" s="263">
        <f>'IODA Weekly iTunes'!M62+'Orch Weekly Mgmt'!M62</f>
        <v>1185.1166702548662</v>
      </c>
      <c r="M62" s="263">
        <f>'IODA Weekly iTunes'!N62+'Orch Weekly Mgmt'!N62</f>
        <v>1073.7707800358637</v>
      </c>
      <c r="N62" s="264">
        <f t="shared" si="1"/>
        <v>111.34589021900251</v>
      </c>
      <c r="O62" s="265">
        <f t="shared" si="2"/>
        <v>0.1036961447351767</v>
      </c>
      <c r="Q62" s="235"/>
      <c r="R62" s="169"/>
      <c r="S62" s="169"/>
    </row>
    <row r="63" spans="1:19" s="3" customFormat="1" ht="11.25" x14ac:dyDescent="0.2">
      <c r="A63" s="260" t="s">
        <v>177</v>
      </c>
      <c r="B63" s="261">
        <f>'IODA Weekly iTunes'!B63+'Orch Weekly Mgmt'!B63</f>
        <v>270.72000000000003</v>
      </c>
      <c r="C63" s="261">
        <f>'IODA Weekly iTunes'!C63+'Orch Weekly Mgmt'!C63</f>
        <v>386.35</v>
      </c>
      <c r="D63" s="261">
        <f>'IODA Weekly iTunes'!D63+'Orch Weekly Mgmt'!D63</f>
        <v>307.91000000000003</v>
      </c>
      <c r="E63" s="261">
        <f>'IODA Weekly iTunes'!E63+'Orch Weekly Mgmt'!E63</f>
        <v>0</v>
      </c>
      <c r="F63" s="261">
        <f>'IODA Weekly iTunes'!F63+'Orch Weekly Mgmt'!F63</f>
        <v>0</v>
      </c>
      <c r="G63" s="262">
        <f t="shared" ref="G63:G94" si="10">SUM(B63:F63)</f>
        <v>964.98</v>
      </c>
      <c r="H63" s="263">
        <f>'IODA Weekly iTunes'!H63+'Orch Weekly Mgmt'!H63</f>
        <v>1608.3000000000002</v>
      </c>
      <c r="I63" s="263">
        <f>'IODA Weekly iTunes'!I63+'Orch Weekly Mgmt'!I63:I63</f>
        <v>1603.4858366322605</v>
      </c>
      <c r="J63" s="264">
        <f t="shared" si="9"/>
        <v>4.8141633677396385</v>
      </c>
      <c r="K63" s="265">
        <f t="shared" si="5"/>
        <v>3.0023111260219426E-3</v>
      </c>
      <c r="L63" s="263">
        <f>'IODA Weekly iTunes'!M63+'Orch Weekly Mgmt'!M63</f>
        <v>5352.6900076746952</v>
      </c>
      <c r="M63" s="263">
        <f>'IODA Weekly iTunes'!N63+'Orch Weekly Mgmt'!N63</f>
        <v>4908.8739081253161</v>
      </c>
      <c r="N63" s="264">
        <f t="shared" si="1"/>
        <v>443.81609954937903</v>
      </c>
      <c r="O63" s="265">
        <f t="shared" si="2"/>
        <v>9.0410979759484394E-2</v>
      </c>
      <c r="Q63" s="235"/>
      <c r="R63" s="169"/>
      <c r="S63" s="169"/>
    </row>
    <row r="64" spans="1:19" s="3" customFormat="1" ht="11.25" x14ac:dyDescent="0.2">
      <c r="A64" s="260" t="s">
        <v>179</v>
      </c>
      <c r="B64" s="261">
        <f>'IODA Weekly iTunes'!B64+'Orch Weekly Mgmt'!B64</f>
        <v>169.66</v>
      </c>
      <c r="C64" s="261">
        <f>'IODA Weekly iTunes'!C64+'Orch Weekly Mgmt'!C64</f>
        <v>173.98000000000002</v>
      </c>
      <c r="D64" s="261">
        <f>'IODA Weekly iTunes'!D64+'Orch Weekly Mgmt'!D64</f>
        <v>184.87</v>
      </c>
      <c r="E64" s="261">
        <f>'IODA Weekly iTunes'!E64+'Orch Weekly Mgmt'!E64</f>
        <v>0</v>
      </c>
      <c r="F64" s="261">
        <f>'IODA Weekly iTunes'!F64+'Orch Weekly Mgmt'!F64</f>
        <v>0</v>
      </c>
      <c r="G64" s="262">
        <f t="shared" si="10"/>
        <v>528.51</v>
      </c>
      <c r="H64" s="263">
        <f>'IODA Weekly iTunes'!H64+'Orch Weekly Mgmt'!H64</f>
        <v>880.85000000000014</v>
      </c>
      <c r="I64" s="263">
        <f>'IODA Weekly iTunes'!I64+'Orch Weekly Mgmt'!I64:I64</f>
        <v>795.87982213912983</v>
      </c>
      <c r="J64" s="264">
        <f t="shared" si="9"/>
        <v>84.970177860870308</v>
      </c>
      <c r="K64" s="265">
        <f t="shared" si="5"/>
        <v>0.10676257331476416</v>
      </c>
      <c r="L64" s="263">
        <f>'IODA Weekly iTunes'!M64+'Orch Weekly Mgmt'!M64</f>
        <v>2766.3700051665282</v>
      </c>
      <c r="M64" s="263">
        <f>'IODA Weekly iTunes'!N64+'Orch Weekly Mgmt'!N64</f>
        <v>2434.1618557239017</v>
      </c>
      <c r="N64" s="264">
        <f t="shared" si="1"/>
        <v>332.20814944262656</v>
      </c>
      <c r="O64" s="265">
        <f t="shared" si="2"/>
        <v>0.13647742801549667</v>
      </c>
      <c r="Q64" s="235"/>
      <c r="R64" s="169"/>
      <c r="S64" s="169"/>
    </row>
    <row r="65" spans="1:19" s="3" customFormat="1" ht="11.25" x14ac:dyDescent="0.2">
      <c r="A65" s="260" t="s">
        <v>180</v>
      </c>
      <c r="B65" s="261">
        <f>'IODA Weekly iTunes'!B65+'Orch Weekly Mgmt'!B65</f>
        <v>1343.9</v>
      </c>
      <c r="C65" s="261">
        <f>'IODA Weekly iTunes'!C65+'Orch Weekly Mgmt'!C65</f>
        <v>1296.0700000000002</v>
      </c>
      <c r="D65" s="261">
        <f>'IODA Weekly iTunes'!D65+'Orch Weekly Mgmt'!D65</f>
        <v>1446.46</v>
      </c>
      <c r="E65" s="261">
        <f>'IODA Weekly iTunes'!E65+'Orch Weekly Mgmt'!E65</f>
        <v>0</v>
      </c>
      <c r="F65" s="261">
        <f>'IODA Weekly iTunes'!F65+'Orch Weekly Mgmt'!F65</f>
        <v>0</v>
      </c>
      <c r="G65" s="262">
        <f t="shared" si="10"/>
        <v>4086.4300000000003</v>
      </c>
      <c r="H65" s="263">
        <f>'IODA Weekly iTunes'!H65+'Orch Weekly Mgmt'!H65</f>
        <v>6810.7166666666672</v>
      </c>
      <c r="I65" s="263">
        <f>'IODA Weekly iTunes'!I65+'Orch Weekly Mgmt'!I65:I65</f>
        <v>4896.3421693742766</v>
      </c>
      <c r="J65" s="264">
        <f t="shared" si="9"/>
        <v>1914.3744972923905</v>
      </c>
      <c r="K65" s="265">
        <f t="shared" si="5"/>
        <v>0.39098053834277602</v>
      </c>
      <c r="L65" s="263">
        <f>'IODA Weekly iTunes'!M65+'Orch Weekly Mgmt'!M65</f>
        <v>19484.856741038955</v>
      </c>
      <c r="M65" s="263">
        <f>'IODA Weekly iTunes'!N65+'Orch Weekly Mgmt'!N65</f>
        <v>14984.429540959301</v>
      </c>
      <c r="N65" s="264">
        <f t="shared" si="1"/>
        <v>4500.4272000796536</v>
      </c>
      <c r="O65" s="265">
        <f t="shared" si="2"/>
        <v>0.30034024236811463</v>
      </c>
      <c r="Q65" s="235"/>
      <c r="R65" s="169"/>
      <c r="S65" s="169"/>
    </row>
    <row r="66" spans="1:19" s="3" customFormat="1" ht="11.25" x14ac:dyDescent="0.2">
      <c r="A66" s="260" t="s">
        <v>197</v>
      </c>
      <c r="B66" s="261">
        <f>'IODA Weekly iTunes'!B66+'Orch Weekly Mgmt'!B66</f>
        <v>361.75</v>
      </c>
      <c r="C66" s="261">
        <f>'IODA Weekly iTunes'!C66+'Orch Weekly Mgmt'!C66</f>
        <v>136.55000000000001</v>
      </c>
      <c r="D66" s="261">
        <f>'IODA Weekly iTunes'!D66+'Orch Weekly Mgmt'!D66</f>
        <v>301.31</v>
      </c>
      <c r="E66" s="261">
        <f>'IODA Weekly iTunes'!E66+'Orch Weekly Mgmt'!E66</f>
        <v>0</v>
      </c>
      <c r="F66" s="261">
        <f>'IODA Weekly iTunes'!F66+'Orch Weekly Mgmt'!F66</f>
        <v>0</v>
      </c>
      <c r="G66" s="262">
        <f t="shared" si="10"/>
        <v>799.61</v>
      </c>
      <c r="H66" s="263">
        <f>'IODA Weekly iTunes'!H66+'Orch Weekly Mgmt'!H66</f>
        <v>1332.6833333333334</v>
      </c>
      <c r="I66" s="263">
        <f>'IODA Weekly iTunes'!I66+'Orch Weekly Mgmt'!I66:I66</f>
        <v>1858.81226021064</v>
      </c>
      <c r="J66" s="264">
        <f t="shared" si="9"/>
        <v>-526.12892687730664</v>
      </c>
      <c r="K66" s="265">
        <f t="shared" si="5"/>
        <v>-0.28304575891794787</v>
      </c>
      <c r="L66" s="263">
        <f>'IODA Weekly iTunes'!M66+'Orch Weekly Mgmt'!M66</f>
        <v>4638.1633443792653</v>
      </c>
      <c r="M66" s="263">
        <f>'IODA Weekly iTunes'!N66+'Orch Weekly Mgmt'!N66</f>
        <v>5691.9703833605254</v>
      </c>
      <c r="N66" s="264">
        <f t="shared" si="1"/>
        <v>-1053.8070389812601</v>
      </c>
      <c r="O66" s="265">
        <f t="shared" si="2"/>
        <v>-0.18513923439620833</v>
      </c>
      <c r="Q66" s="235"/>
      <c r="R66" s="169"/>
      <c r="S66" s="169"/>
    </row>
    <row r="67" spans="1:19" x14ac:dyDescent="0.2">
      <c r="A67" s="239" t="s">
        <v>100</v>
      </c>
      <c r="B67" s="242">
        <f>'IODA Weekly iTunes'!B67+'Orch Weekly Mgmt'!B67</f>
        <v>7895.2182170000015</v>
      </c>
      <c r="C67" s="242">
        <f>'IODA Weekly iTunes'!C67+'Orch Weekly Mgmt'!C67</f>
        <v>9238.2730929999998</v>
      </c>
      <c r="D67" s="242">
        <f>'IODA Weekly iTunes'!D67+'Orch Weekly Mgmt'!D67</f>
        <v>8437.3072580000007</v>
      </c>
      <c r="E67" s="242">
        <f>'IODA Weekly iTunes'!E67+'Orch Weekly Mgmt'!E67</f>
        <v>0</v>
      </c>
      <c r="F67" s="242">
        <f>'IODA Weekly iTunes'!F67+'Orch Weekly Mgmt'!F67</f>
        <v>0</v>
      </c>
      <c r="G67" s="243">
        <f t="shared" si="10"/>
        <v>25570.798568000002</v>
      </c>
      <c r="H67" s="245">
        <f>'IODA Weekly iTunes'!H67+'Orch Weekly Mgmt'!H67</f>
        <v>42617.99761333334</v>
      </c>
      <c r="I67" s="245">
        <f>'IODA Weekly iTunes'!I67+'Orch Weekly Mgmt'!I67:I67</f>
        <v>76808.549002460102</v>
      </c>
      <c r="J67" s="246">
        <f t="shared" si="9"/>
        <v>-34190.551389126762</v>
      </c>
      <c r="K67" s="247">
        <f>J67/I67</f>
        <v>-0.44513992040172079</v>
      </c>
      <c r="L67" s="245">
        <f>'IODA Weekly iTunes'!M67+'Orch Weekly Mgmt'!M67</f>
        <v>183879.30947070586</v>
      </c>
      <c r="M67" s="245">
        <f>'IODA Weekly iTunes'!N67+'Orch Weekly Mgmt'!N67</f>
        <v>234897.116807599</v>
      </c>
      <c r="N67" s="246">
        <f t="shared" si="1"/>
        <v>-51017.807336893136</v>
      </c>
      <c r="O67" s="247">
        <f t="shared" si="2"/>
        <v>-0.21719213939386545</v>
      </c>
    </row>
    <row r="68" spans="1:19" s="3" customFormat="1" ht="11.25" x14ac:dyDescent="0.2">
      <c r="A68" s="260" t="s">
        <v>139</v>
      </c>
      <c r="B68" s="261">
        <f>'IODA Weekly iTunes'!B68+'Orch Weekly Mgmt'!B68</f>
        <v>33.14</v>
      </c>
      <c r="C68" s="261">
        <f>'IODA Weekly iTunes'!C68+'Orch Weekly Mgmt'!C68</f>
        <v>48.36</v>
      </c>
      <c r="D68" s="261">
        <f>'IODA Weekly iTunes'!D68+'Orch Weekly Mgmt'!D68</f>
        <v>32.72</v>
      </c>
      <c r="E68" s="261">
        <f>'IODA Weekly iTunes'!E68+'Orch Weekly Mgmt'!E68</f>
        <v>0</v>
      </c>
      <c r="F68" s="261">
        <f>'IODA Weekly iTunes'!F68+'Orch Weekly Mgmt'!F68</f>
        <v>0</v>
      </c>
      <c r="G68" s="262">
        <f t="shared" si="10"/>
        <v>114.22</v>
      </c>
      <c r="H68" s="263">
        <f>'IODA Weekly iTunes'!H68+'Orch Weekly Mgmt'!H68</f>
        <v>190.36666666666667</v>
      </c>
      <c r="I68" s="263">
        <f>'IODA Weekly iTunes'!I68+'Orch Weekly Mgmt'!I68:I68</f>
        <v>157.87657763790574</v>
      </c>
      <c r="J68" s="264">
        <f t="shared" si="9"/>
        <v>32.490089028760934</v>
      </c>
      <c r="K68" s="265">
        <f t="shared" ref="K68:K80" si="11">J68/I68</f>
        <v>0.20579423189219267</v>
      </c>
      <c r="L68" s="263">
        <f>'IODA Weekly iTunes'!M68+'Orch Weekly Mgmt'!M68</f>
        <v>458.26666366259269</v>
      </c>
      <c r="M68" s="263">
        <f>'IODA Weekly iTunes'!N68+'Orch Weekly Mgmt'!N68</f>
        <v>483.09424472147862</v>
      </c>
      <c r="N68" s="264">
        <f t="shared" si="1"/>
        <v>-24.827581058885926</v>
      </c>
      <c r="O68" s="265">
        <f t="shared" si="2"/>
        <v>-5.1392831378481704E-2</v>
      </c>
      <c r="Q68" s="235"/>
      <c r="R68" s="169"/>
      <c r="S68" s="169"/>
    </row>
    <row r="69" spans="1:19" s="3" customFormat="1" ht="11.25" x14ac:dyDescent="0.2">
      <c r="A69" s="260" t="s">
        <v>141</v>
      </c>
      <c r="B69" s="261">
        <f>'IODA Weekly iTunes'!B69+'Orch Weekly Mgmt'!B69</f>
        <v>3.1</v>
      </c>
      <c r="C69" s="261">
        <f>'IODA Weekly iTunes'!C69+'Orch Weekly Mgmt'!C69</f>
        <v>4.34</v>
      </c>
      <c r="D69" s="261">
        <f>'IODA Weekly iTunes'!D69+'Orch Weekly Mgmt'!D69</f>
        <v>8.68</v>
      </c>
      <c r="E69" s="261">
        <f>'IODA Weekly iTunes'!E69+'Orch Weekly Mgmt'!E69</f>
        <v>0</v>
      </c>
      <c r="F69" s="261">
        <f>'IODA Weekly iTunes'!F69+'Orch Weekly Mgmt'!F69</f>
        <v>0</v>
      </c>
      <c r="G69" s="262">
        <f t="shared" si="10"/>
        <v>16.119999999999997</v>
      </c>
      <c r="H69" s="263">
        <f>'IODA Weekly iTunes'!H69+'Orch Weekly Mgmt'!H69</f>
        <v>26.866666666666667</v>
      </c>
      <c r="I69" s="263">
        <f>'IODA Weekly iTunes'!I69+'Orch Weekly Mgmt'!I69:I69</f>
        <v>56.622337970348241</v>
      </c>
      <c r="J69" s="264">
        <f t="shared" si="9"/>
        <v>-29.755671303681574</v>
      </c>
      <c r="K69" s="265">
        <f t="shared" si="11"/>
        <v>-0.52551117403989756</v>
      </c>
      <c r="L69" s="263">
        <f>'IODA Weekly iTunes'!M69+'Orch Weekly Mgmt'!M69</f>
        <v>195.08999778032319</v>
      </c>
      <c r="M69" s="263">
        <f>'IODA Weekly iTunes'!N69+'Orch Weekly Mgmt'!N69</f>
        <v>173.2507959505115</v>
      </c>
      <c r="N69" s="264">
        <f t="shared" ref="N69:N125" si="12">L69-M69</f>
        <v>21.839201829811685</v>
      </c>
      <c r="O69" s="265">
        <f t="shared" ref="O69:O124" si="13">N69/M69</f>
        <v>0.12605541988996102</v>
      </c>
      <c r="Q69" s="235"/>
      <c r="R69" s="169"/>
      <c r="S69" s="169"/>
    </row>
    <row r="70" spans="1:19" s="3" customFormat="1" ht="11.25" x14ac:dyDescent="0.2">
      <c r="A70" s="260" t="s">
        <v>158</v>
      </c>
      <c r="B70" s="261">
        <f>'IODA Weekly iTunes'!B70+'Orch Weekly Mgmt'!B70</f>
        <v>1534.1404790000001</v>
      </c>
      <c r="C70" s="261">
        <f>'IODA Weekly iTunes'!C70+'Orch Weekly Mgmt'!C70</f>
        <v>1539.000802</v>
      </c>
      <c r="D70" s="261">
        <f>'IODA Weekly iTunes'!D70+'Orch Weekly Mgmt'!D70</f>
        <v>1341.4170060000001</v>
      </c>
      <c r="E70" s="261">
        <f>'IODA Weekly iTunes'!E70+'Orch Weekly Mgmt'!E70</f>
        <v>0</v>
      </c>
      <c r="F70" s="261">
        <f>'IODA Weekly iTunes'!F70+'Orch Weekly Mgmt'!F70</f>
        <v>0</v>
      </c>
      <c r="G70" s="262">
        <f t="shared" si="10"/>
        <v>4414.5582869999998</v>
      </c>
      <c r="H70" s="263">
        <f>'IODA Weekly iTunes'!H70+'Orch Weekly Mgmt'!H70</f>
        <v>7357.5971449999997</v>
      </c>
      <c r="I70" s="263">
        <f>'IODA Weekly iTunes'!I70+'Orch Weekly Mgmt'!I70:I70</f>
        <v>8038.2542195531341</v>
      </c>
      <c r="J70" s="264">
        <f t="shared" si="9"/>
        <v>-680.65707455313441</v>
      </c>
      <c r="K70" s="265">
        <f t="shared" si="11"/>
        <v>-8.4677226666634811E-2</v>
      </c>
      <c r="L70" s="263">
        <f>'IODA Weekly iTunes'!M70+'Orch Weekly Mgmt'!M70</f>
        <v>20054.555164971847</v>
      </c>
      <c r="M70" s="263">
        <f>'IODA Weekly iTunes'!N70+'Orch Weekly Mgmt'!N70</f>
        <v>24620.428266164883</v>
      </c>
      <c r="N70" s="264">
        <f t="shared" si="12"/>
        <v>-4565.8731011930358</v>
      </c>
      <c r="O70" s="265">
        <f t="shared" si="13"/>
        <v>-0.18545059622166599</v>
      </c>
      <c r="Q70" s="235"/>
      <c r="R70" s="169"/>
      <c r="S70" s="169"/>
    </row>
    <row r="71" spans="1:19" s="3" customFormat="1" ht="11.25" x14ac:dyDescent="0.2">
      <c r="A71" s="260" t="s">
        <v>203</v>
      </c>
      <c r="B71" s="261">
        <f>'IODA Weekly iTunes'!B71+'Orch Weekly Mgmt'!B71</f>
        <v>0</v>
      </c>
      <c r="C71" s="261">
        <f>'IODA Weekly iTunes'!C71+'Orch Weekly Mgmt'!C71</f>
        <v>6.2</v>
      </c>
      <c r="D71" s="261">
        <f>'IODA Weekly iTunes'!D71+'Orch Weekly Mgmt'!D71</f>
        <v>0</v>
      </c>
      <c r="E71" s="261">
        <f>'IODA Weekly iTunes'!E71+'Orch Weekly Mgmt'!E71</f>
        <v>0</v>
      </c>
      <c r="F71" s="261">
        <f>'IODA Weekly iTunes'!F71+'Orch Weekly Mgmt'!F71</f>
        <v>0</v>
      </c>
      <c r="G71" s="262">
        <f t="shared" si="10"/>
        <v>6.2</v>
      </c>
      <c r="H71" s="263">
        <f>'IODA Weekly iTunes'!H71+'Orch Weekly Mgmt'!H71</f>
        <v>31</v>
      </c>
      <c r="I71" s="263">
        <f>'IODA Weekly iTunes'!I71+'Orch Weekly Mgmt'!I71:I71</f>
        <v>30.350646094830736</v>
      </c>
      <c r="J71" s="264">
        <f t="shared" si="9"/>
        <v>0.64935390516926361</v>
      </c>
      <c r="K71" s="265">
        <f t="shared" si="11"/>
        <v>2.139506036017666E-2</v>
      </c>
      <c r="L71" s="263">
        <f>'IODA Weekly iTunes'!M71+'Orch Weekly Mgmt'!M71</f>
        <v>133.74666659037266</v>
      </c>
      <c r="M71" s="263">
        <f>'IODA Weekly iTunes'!N71+'Orch Weekly Mgmt'!N71</f>
        <v>92.730507169315871</v>
      </c>
      <c r="N71" s="264">
        <f t="shared" si="12"/>
        <v>41.016159421056784</v>
      </c>
      <c r="O71" s="265">
        <f t="shared" si="13"/>
        <v>0.44231570249223068</v>
      </c>
      <c r="Q71" s="235"/>
      <c r="R71" s="169"/>
      <c r="S71" s="169"/>
    </row>
    <row r="72" spans="1:19" s="3" customFormat="1" ht="11.25" x14ac:dyDescent="0.2">
      <c r="A72" s="260" t="s">
        <v>165</v>
      </c>
      <c r="B72" s="261">
        <f>'IODA Weekly iTunes'!B72+'Orch Weekly Mgmt'!B72</f>
        <v>29.14</v>
      </c>
      <c r="C72" s="261">
        <f>'IODA Weekly iTunes'!C72+'Orch Weekly Mgmt'!C72</f>
        <v>33.479999999999997</v>
      </c>
      <c r="D72" s="261">
        <f>'IODA Weekly iTunes'!D72+'Orch Weekly Mgmt'!D72</f>
        <v>76.760000000000005</v>
      </c>
      <c r="E72" s="261">
        <f>'IODA Weekly iTunes'!E72+'Orch Weekly Mgmt'!E72</f>
        <v>0</v>
      </c>
      <c r="F72" s="261">
        <f>'IODA Weekly iTunes'!F72+'Orch Weekly Mgmt'!F72</f>
        <v>0</v>
      </c>
      <c r="G72" s="262">
        <f t="shared" si="10"/>
        <v>139.38</v>
      </c>
      <c r="H72" s="263">
        <f>'IODA Weekly iTunes'!H72+'Orch Weekly Mgmt'!H72</f>
        <v>232.3</v>
      </c>
      <c r="I72" s="263">
        <f>'IODA Weekly iTunes'!I72+'Orch Weekly Mgmt'!I72:I72</f>
        <v>254.63700218979398</v>
      </c>
      <c r="J72" s="264">
        <f t="shared" si="9"/>
        <v>-22.337002189793964</v>
      </c>
      <c r="K72" s="265">
        <f t="shared" si="11"/>
        <v>-8.7720959631566245E-2</v>
      </c>
      <c r="L72" s="263">
        <f>'IODA Weekly iTunes'!M72+'Orch Weekly Mgmt'!M72</f>
        <v>782.13999609947234</v>
      </c>
      <c r="M72" s="263">
        <f>'IODA Weekly iTunes'!N72+'Orch Weekly Mgmt'!N72</f>
        <v>779.67024030961682</v>
      </c>
      <c r="N72" s="264">
        <f t="shared" si="12"/>
        <v>2.469755789855526</v>
      </c>
      <c r="O72" s="265">
        <f t="shared" si="13"/>
        <v>3.1676927785197432E-3</v>
      </c>
      <c r="Q72" s="235"/>
      <c r="R72" s="169"/>
      <c r="S72" s="169"/>
    </row>
    <row r="73" spans="1:19" s="3" customFormat="1" ht="11.25" x14ac:dyDescent="0.2">
      <c r="A73" s="260" t="s">
        <v>166</v>
      </c>
      <c r="B73" s="261">
        <f>'IODA Weekly iTunes'!B73+'Orch Weekly Mgmt'!B73</f>
        <v>802.28</v>
      </c>
      <c r="C73" s="261">
        <f>'IODA Weekly iTunes'!C73+'Orch Weekly Mgmt'!C73</f>
        <v>854.48</v>
      </c>
      <c r="D73" s="261">
        <f>'IODA Weekly iTunes'!D73+'Orch Weekly Mgmt'!D73</f>
        <v>854.03</v>
      </c>
      <c r="E73" s="261">
        <f>'IODA Weekly iTunes'!E73+'Orch Weekly Mgmt'!E73</f>
        <v>0</v>
      </c>
      <c r="F73" s="261">
        <f>'IODA Weekly iTunes'!F73+'Orch Weekly Mgmt'!F73</f>
        <v>0</v>
      </c>
      <c r="G73" s="262">
        <f t="shared" si="10"/>
        <v>2510.79</v>
      </c>
      <c r="H73" s="263">
        <f>'IODA Weekly iTunes'!H73+'Orch Weekly Mgmt'!H73</f>
        <v>4184.6500000000005</v>
      </c>
      <c r="I73" s="263">
        <f>'IODA Weekly iTunes'!I73+'Orch Weekly Mgmt'!I73:I73</f>
        <v>4570.8266723553252</v>
      </c>
      <c r="J73" s="264">
        <f t="shared" si="9"/>
        <v>-386.17667235532463</v>
      </c>
      <c r="K73" s="265">
        <f t="shared" si="11"/>
        <v>-8.4487271129957256E-2</v>
      </c>
      <c r="L73" s="263">
        <f>'IODA Weekly iTunes'!M73+'Orch Weekly Mgmt'!M73</f>
        <v>12788.289918744569</v>
      </c>
      <c r="M73" s="263">
        <f>'IODA Weekly iTunes'!N73+'Orch Weekly Mgmt'!N73</f>
        <v>14000.446533696519</v>
      </c>
      <c r="N73" s="264">
        <f t="shared" si="12"/>
        <v>-1212.1566149519495</v>
      </c>
      <c r="O73" s="265">
        <f t="shared" si="13"/>
        <v>-8.6579853866411316E-2</v>
      </c>
      <c r="Q73" s="235"/>
      <c r="R73" s="169"/>
      <c r="S73" s="169"/>
    </row>
    <row r="74" spans="1:19" s="3" customFormat="1" ht="11.25" x14ac:dyDescent="0.2">
      <c r="A74" s="260" t="s">
        <v>170</v>
      </c>
      <c r="B74" s="261">
        <f>'IODA Weekly iTunes'!B74+'Orch Weekly Mgmt'!B74</f>
        <v>3.1</v>
      </c>
      <c r="C74" s="261">
        <f>'IODA Weekly iTunes'!C74+'Orch Weekly Mgmt'!C74</f>
        <v>4.9000000000000004</v>
      </c>
      <c r="D74" s="261">
        <f>'IODA Weekly iTunes'!D74+'Orch Weekly Mgmt'!D74</f>
        <v>8.68</v>
      </c>
      <c r="E74" s="261">
        <f>'IODA Weekly iTunes'!E74+'Orch Weekly Mgmt'!E74</f>
        <v>0</v>
      </c>
      <c r="F74" s="261">
        <f>'IODA Weekly iTunes'!F74+'Orch Weekly Mgmt'!F74</f>
        <v>0</v>
      </c>
      <c r="G74" s="262">
        <f t="shared" si="10"/>
        <v>16.68</v>
      </c>
      <c r="H74" s="263">
        <f>'IODA Weekly iTunes'!H74+'Orch Weekly Mgmt'!H74</f>
        <v>31.366666666666667</v>
      </c>
      <c r="I74" s="263">
        <f>'IODA Weekly iTunes'!I74+'Orch Weekly Mgmt'!I74:I74</f>
        <v>45.090638352445218</v>
      </c>
      <c r="J74" s="264">
        <f t="shared" si="9"/>
        <v>-13.723971685778551</v>
      </c>
      <c r="K74" s="265">
        <f t="shared" si="11"/>
        <v>-0.30436410277687531</v>
      </c>
      <c r="L74" s="263">
        <f>'IODA Weekly iTunes'!M74+'Orch Weekly Mgmt'!M74</f>
        <v>147.15333246390037</v>
      </c>
      <c r="M74" s="263">
        <f>'IODA Weekly iTunes'!N74+'Orch Weekly Mgmt'!N74</f>
        <v>137.90243447354533</v>
      </c>
      <c r="N74" s="264">
        <f t="shared" si="12"/>
        <v>9.2508979903550426</v>
      </c>
      <c r="O74" s="265">
        <f t="shared" si="13"/>
        <v>6.708292007803314E-2</v>
      </c>
      <c r="Q74" s="235"/>
      <c r="R74" s="169"/>
      <c r="S74" s="169"/>
    </row>
    <row r="75" spans="1:19" s="3" customFormat="1" ht="11.25" x14ac:dyDescent="0.2">
      <c r="A75" s="260" t="s">
        <v>181</v>
      </c>
      <c r="B75" s="261">
        <f>'IODA Weekly iTunes'!B75+'Orch Weekly Mgmt'!B75</f>
        <v>1364.38</v>
      </c>
      <c r="C75" s="261">
        <f>'IODA Weekly iTunes'!C75+'Orch Weekly Mgmt'!C75</f>
        <v>2018.7800000000002</v>
      </c>
      <c r="D75" s="261">
        <f>'IODA Weekly iTunes'!D75+'Orch Weekly Mgmt'!D75</f>
        <v>1669.37</v>
      </c>
      <c r="E75" s="261">
        <f>'IODA Weekly iTunes'!E75+'Orch Weekly Mgmt'!E75</f>
        <v>0</v>
      </c>
      <c r="F75" s="261">
        <f>'IODA Weekly iTunes'!F75+'Orch Weekly Mgmt'!F75</f>
        <v>0</v>
      </c>
      <c r="G75" s="262">
        <f t="shared" si="10"/>
        <v>5052.5300000000007</v>
      </c>
      <c r="H75" s="263">
        <f>'IODA Weekly iTunes'!H75+'Orch Weekly Mgmt'!H75</f>
        <v>8420.8833333333332</v>
      </c>
      <c r="I75" s="263">
        <f>'IODA Weekly iTunes'!I75+'Orch Weekly Mgmt'!I75:I75</f>
        <v>8682.2310401195846</v>
      </c>
      <c r="J75" s="264">
        <f t="shared" si="9"/>
        <v>-261.34770678625136</v>
      </c>
      <c r="K75" s="265">
        <f t="shared" si="11"/>
        <v>-3.010144576648489E-2</v>
      </c>
      <c r="L75" s="263">
        <f>'IODA Weekly iTunes'!M75+'Orch Weekly Mgmt'!M75</f>
        <v>24578.193292387332</v>
      </c>
      <c r="M75" s="263">
        <f>'IODA Weekly iTunes'!N75+'Orch Weekly Mgmt'!N75</f>
        <v>26549.525826101744</v>
      </c>
      <c r="N75" s="264">
        <f t="shared" si="12"/>
        <v>-1971.3325337144124</v>
      </c>
      <c r="O75" s="265">
        <f t="shared" si="13"/>
        <v>-7.4251139045817843E-2</v>
      </c>
      <c r="Q75" s="235"/>
      <c r="R75" s="169"/>
      <c r="S75" s="169"/>
    </row>
    <row r="76" spans="1:19" s="3" customFormat="1" ht="11.25" x14ac:dyDescent="0.2">
      <c r="A76" s="260" t="s">
        <v>184</v>
      </c>
      <c r="B76" s="261">
        <f>'IODA Weekly iTunes'!B76+'Orch Weekly Mgmt'!B76</f>
        <v>1760.0244579999999</v>
      </c>
      <c r="C76" s="261">
        <f>'IODA Weekly iTunes'!C76+'Orch Weekly Mgmt'!C76</f>
        <v>2106.8942430000002</v>
      </c>
      <c r="D76" s="261">
        <f>'IODA Weekly iTunes'!D76+'Orch Weekly Mgmt'!D76</f>
        <v>1933.9098839999999</v>
      </c>
      <c r="E76" s="261">
        <f>'IODA Weekly iTunes'!E76+'Orch Weekly Mgmt'!E76</f>
        <v>0</v>
      </c>
      <c r="F76" s="261">
        <f>'IODA Weekly iTunes'!F76+'Orch Weekly Mgmt'!F76</f>
        <v>0</v>
      </c>
      <c r="G76" s="262">
        <f t="shared" si="10"/>
        <v>5800.8285850000002</v>
      </c>
      <c r="H76" s="263">
        <f>'IODA Weekly iTunes'!H76+'Orch Weekly Mgmt'!H76</f>
        <v>9668.0476416666661</v>
      </c>
      <c r="I76" s="263">
        <f>'IODA Weekly iTunes'!I76+'Orch Weekly Mgmt'!I76:I76</f>
        <v>10683.094694238736</v>
      </c>
      <c r="J76" s="264">
        <f t="shared" si="9"/>
        <v>-1015.0470525720702</v>
      </c>
      <c r="K76" s="265">
        <f t="shared" si="11"/>
        <v>-9.5014326992671219E-2</v>
      </c>
      <c r="L76" s="263">
        <f>'IODA Weekly iTunes'!M76+'Orch Weekly Mgmt'!M76</f>
        <v>27759.226758839635</v>
      </c>
      <c r="M76" s="263">
        <f>'IODA Weekly iTunes'!N76+'Orch Weekly Mgmt'!N76</f>
        <v>32707.532611482762</v>
      </c>
      <c r="N76" s="264">
        <f t="shared" si="12"/>
        <v>-4948.3058526431269</v>
      </c>
      <c r="O76" s="265">
        <f t="shared" si="13"/>
        <v>-0.15128948769758027</v>
      </c>
      <c r="Q76" s="235"/>
      <c r="R76" s="169"/>
      <c r="S76" s="169"/>
    </row>
    <row r="77" spans="1:19" s="3" customFormat="1" ht="11.25" x14ac:dyDescent="0.2">
      <c r="A77" s="260" t="s">
        <v>186</v>
      </c>
      <c r="B77" s="261">
        <f>'IODA Weekly iTunes'!B77+'Orch Weekly Mgmt'!B77</f>
        <v>97.96</v>
      </c>
      <c r="C77" s="261">
        <f>'IODA Weekly iTunes'!C77+'Orch Weekly Mgmt'!C77</f>
        <v>121.28</v>
      </c>
      <c r="D77" s="261">
        <f>'IODA Weekly iTunes'!D77+'Orch Weekly Mgmt'!D77</f>
        <v>62.62</v>
      </c>
      <c r="E77" s="261">
        <f>'IODA Weekly iTunes'!E77+'Orch Weekly Mgmt'!E77</f>
        <v>0</v>
      </c>
      <c r="F77" s="261">
        <f>'IODA Weekly iTunes'!F77+'Orch Weekly Mgmt'!F77</f>
        <v>0</v>
      </c>
      <c r="G77" s="262">
        <f t="shared" si="10"/>
        <v>281.86</v>
      </c>
      <c r="H77" s="263">
        <f>'IODA Weekly iTunes'!H77+'Orch Weekly Mgmt'!H77</f>
        <v>469.76666666666665</v>
      </c>
      <c r="I77" s="263">
        <f>'IODA Weekly iTunes'!I77+'Orch Weekly Mgmt'!I77:I77</f>
        <v>393.37583710443619</v>
      </c>
      <c r="J77" s="264">
        <f t="shared" si="9"/>
        <v>76.390829562230465</v>
      </c>
      <c r="K77" s="265">
        <f t="shared" si="11"/>
        <v>0.19419298888444358</v>
      </c>
      <c r="L77" s="263">
        <f>'IODA Weekly iTunes'!M77+'Orch Weekly Mgmt'!M77</f>
        <v>1141.6966567794484</v>
      </c>
      <c r="M77" s="263">
        <f>'IODA Weekly iTunes'!N77+'Orch Weekly Mgmt'!N77</f>
        <v>1203.9262957290277</v>
      </c>
      <c r="N77" s="264">
        <f t="shared" si="12"/>
        <v>-62.229638949579339</v>
      </c>
      <c r="O77" s="265">
        <f t="shared" si="13"/>
        <v>-5.1688910833114325E-2</v>
      </c>
      <c r="Q77" s="235"/>
      <c r="R77" s="169"/>
      <c r="S77" s="169"/>
    </row>
    <row r="78" spans="1:19" s="3" customFormat="1" ht="11.25" x14ac:dyDescent="0.2">
      <c r="A78" s="260" t="s">
        <v>188</v>
      </c>
      <c r="B78" s="261">
        <f>'IODA Weekly iTunes'!B78+'Orch Weekly Mgmt'!B78</f>
        <v>1270.9632799999999</v>
      </c>
      <c r="C78" s="261">
        <f>'IODA Weekly iTunes'!C78+'Orch Weekly Mgmt'!C78</f>
        <v>1366.148048</v>
      </c>
      <c r="D78" s="261">
        <f>'IODA Weekly iTunes'!D78+'Orch Weekly Mgmt'!D78</f>
        <v>1226.6703680000001</v>
      </c>
      <c r="E78" s="261">
        <f>'IODA Weekly iTunes'!E78+'Orch Weekly Mgmt'!E78</f>
        <v>0</v>
      </c>
      <c r="F78" s="261">
        <f>'IODA Weekly iTunes'!F78+'Orch Weekly Mgmt'!F78</f>
        <v>0</v>
      </c>
      <c r="G78" s="262">
        <f t="shared" si="10"/>
        <v>3863.781696</v>
      </c>
      <c r="H78" s="263">
        <f>'IODA Weekly iTunes'!H78+'Orch Weekly Mgmt'!H78</f>
        <v>6439.63616</v>
      </c>
      <c r="I78" s="263">
        <f>'IODA Weekly iTunes'!I78+'Orch Weekly Mgmt'!I78:I78</f>
        <v>5620.5546331354271</v>
      </c>
      <c r="J78" s="264">
        <f t="shared" si="9"/>
        <v>819.08152686457288</v>
      </c>
      <c r="K78" s="265">
        <f t="shared" si="11"/>
        <v>0.14572966198669404</v>
      </c>
      <c r="L78" s="263">
        <f>'IODA Weekly iTunes'!M78+'Orch Weekly Mgmt'!M78</f>
        <v>16754.020429952772</v>
      </c>
      <c r="M78" s="263">
        <f>'IODA Weekly iTunes'!N78+'Orch Weekly Mgmt'!N78</f>
        <v>17221.107157680603</v>
      </c>
      <c r="N78" s="264">
        <f t="shared" si="12"/>
        <v>-467.08672772783029</v>
      </c>
      <c r="O78" s="265">
        <f t="shared" si="13"/>
        <v>-2.7122920927851606E-2</v>
      </c>
      <c r="Q78" s="235"/>
      <c r="R78" s="169"/>
      <c r="S78" s="169"/>
    </row>
    <row r="79" spans="1:19" s="3" customFormat="1" ht="11.25" x14ac:dyDescent="0.2">
      <c r="A79" s="260" t="s">
        <v>190</v>
      </c>
      <c r="B79" s="261">
        <f>'IODA Weekly iTunes'!B79+'Orch Weekly Mgmt'!B79</f>
        <v>964.13</v>
      </c>
      <c r="C79" s="261">
        <f>'IODA Weekly iTunes'!C79+'Orch Weekly Mgmt'!C79</f>
        <v>1013.01</v>
      </c>
      <c r="D79" s="261">
        <f>'IODA Weekly iTunes'!D79+'Orch Weekly Mgmt'!D79</f>
        <v>1075.52</v>
      </c>
      <c r="E79" s="261">
        <f>'IODA Weekly iTunes'!E79+'Orch Weekly Mgmt'!E79</f>
        <v>0</v>
      </c>
      <c r="F79" s="261">
        <f>'IODA Weekly iTunes'!F79+'Orch Weekly Mgmt'!F79</f>
        <v>0</v>
      </c>
      <c r="G79" s="262">
        <f t="shared" si="10"/>
        <v>3052.66</v>
      </c>
      <c r="H79" s="263">
        <f>'IODA Weekly iTunes'!H79+'Orch Weekly Mgmt'!H79</f>
        <v>5087.7666666666673</v>
      </c>
      <c r="I79" s="263">
        <f>'IODA Weekly iTunes'!I79+'Orch Weekly Mgmt'!I79:I79</f>
        <v>37819.701638478102</v>
      </c>
      <c r="J79" s="264">
        <f t="shared" si="9"/>
        <v>-32731.934971811435</v>
      </c>
      <c r="K79" s="265">
        <f t="shared" si="11"/>
        <v>-0.86547311464006027</v>
      </c>
      <c r="L79" s="263">
        <f>'IODA Weekly iTunes'!M79+'Orch Weekly Mgmt'!M79</f>
        <v>77766.277270869425</v>
      </c>
      <c r="M79" s="263">
        <f>'IODA Weekly iTunes'!N79+'Orch Weekly Mgmt'!N79</f>
        <v>115532.84649736634</v>
      </c>
      <c r="N79" s="264">
        <f t="shared" si="12"/>
        <v>-37766.569226496911</v>
      </c>
      <c r="O79" s="265">
        <f t="shared" si="13"/>
        <v>-0.32689032055795347</v>
      </c>
      <c r="Q79" s="235"/>
      <c r="R79" s="169"/>
      <c r="S79" s="169"/>
    </row>
    <row r="80" spans="1:19" s="3" customFormat="1" ht="11.25" x14ac:dyDescent="0.2">
      <c r="A80" s="260" t="s">
        <v>198</v>
      </c>
      <c r="B80" s="261">
        <f>'IODA Weekly iTunes'!B80+'Orch Weekly Mgmt'!B80</f>
        <v>32.86</v>
      </c>
      <c r="C80" s="261">
        <f>'IODA Weekly iTunes'!C80+'Orch Weekly Mgmt'!C80</f>
        <v>121.4</v>
      </c>
      <c r="D80" s="261">
        <f>'IODA Weekly iTunes'!D80+'Orch Weekly Mgmt'!D80</f>
        <v>146.93</v>
      </c>
      <c r="E80" s="261">
        <f>'IODA Weekly iTunes'!E80+'Orch Weekly Mgmt'!E80</f>
        <v>0</v>
      </c>
      <c r="F80" s="261">
        <f>'IODA Weekly iTunes'!F80+'Orch Weekly Mgmt'!F80</f>
        <v>0</v>
      </c>
      <c r="G80" s="262">
        <f t="shared" si="10"/>
        <v>301.19</v>
      </c>
      <c r="H80" s="263">
        <f>'IODA Weekly iTunes'!H80+'Orch Weekly Mgmt'!H80</f>
        <v>501.98333333333335</v>
      </c>
      <c r="I80" s="263">
        <f>'IODA Weekly iTunes'!I80+'Orch Weekly Mgmt'!I80:I80</f>
        <v>455.93306523002542</v>
      </c>
      <c r="J80" s="264">
        <f t="shared" si="9"/>
        <v>46.050268103307928</v>
      </c>
      <c r="K80" s="265">
        <f t="shared" si="11"/>
        <v>0.1010022558466446</v>
      </c>
      <c r="L80" s="263">
        <f>'IODA Weekly iTunes'!M80+'Orch Weekly Mgmt'!M80</f>
        <v>1427.8133215149255</v>
      </c>
      <c r="M80" s="263">
        <f>'IODA Weekly iTunes'!N80+'Orch Weekly Mgmt'!N80</f>
        <v>1394.6553967526629</v>
      </c>
      <c r="N80" s="264">
        <f t="shared" si="12"/>
        <v>33.15792476226261</v>
      </c>
      <c r="O80" s="265">
        <f t="shared" si="13"/>
        <v>2.3774994768935777E-2</v>
      </c>
      <c r="Q80" s="235"/>
      <c r="R80" s="169"/>
      <c r="S80" s="169"/>
    </row>
    <row r="81" spans="1:19" x14ac:dyDescent="0.2">
      <c r="A81" s="239" t="s">
        <v>26</v>
      </c>
      <c r="B81" s="242">
        <f>'IODA Weekly iTunes'!B81+'Orch Weekly Mgmt'!B81</f>
        <v>14613.436689999999</v>
      </c>
      <c r="C81" s="242">
        <f>'IODA Weekly iTunes'!C81+'Orch Weekly Mgmt'!C81</f>
        <v>14679.489294999999</v>
      </c>
      <c r="D81" s="242">
        <f>'IODA Weekly iTunes'!D81+'Orch Weekly Mgmt'!D81</f>
        <v>13849.827103000001</v>
      </c>
      <c r="E81" s="242">
        <f>'IODA Weekly iTunes'!E81+'Orch Weekly Mgmt'!E81</f>
        <v>0</v>
      </c>
      <c r="F81" s="242">
        <f>'IODA Weekly iTunes'!F81+'Orch Weekly Mgmt'!F81</f>
        <v>0</v>
      </c>
      <c r="G81" s="243">
        <f t="shared" si="10"/>
        <v>43142.753087999998</v>
      </c>
      <c r="H81" s="245">
        <f>'IODA Weekly iTunes'!H81+'Orch Weekly Mgmt'!H81</f>
        <v>71904.588480000006</v>
      </c>
      <c r="I81" s="245">
        <f>'IODA Weekly iTunes'!I81+'Orch Weekly Mgmt'!I81:I81</f>
        <v>54749.030040592566</v>
      </c>
      <c r="J81" s="246">
        <f t="shared" si="9"/>
        <v>17155.558439407439</v>
      </c>
      <c r="K81" s="247">
        <v>0</v>
      </c>
      <c r="L81" s="245">
        <f>'IODA Weekly iTunes'!M81+'Orch Weekly Mgmt'!M81</f>
        <v>212322.6126011131</v>
      </c>
      <c r="M81" s="245">
        <f>'IODA Weekly iTunes'!N81+'Orch Weekly Mgmt'!N81</f>
        <v>167464.19640756468</v>
      </c>
      <c r="N81" s="246">
        <f t="shared" si="12"/>
        <v>44858.416193548415</v>
      </c>
      <c r="O81" s="247">
        <f t="shared" si="13"/>
        <v>0.26786869764313437</v>
      </c>
    </row>
    <row r="82" spans="1:19" s="3" customFormat="1" ht="11.25" x14ac:dyDescent="0.2">
      <c r="A82" s="260" t="s">
        <v>126</v>
      </c>
      <c r="B82" s="261">
        <f>'IODA Weekly iTunes'!B82+'Orch Weekly Mgmt'!B82</f>
        <v>0.61</v>
      </c>
      <c r="C82" s="261">
        <f>'IODA Weekly iTunes'!C82+'Orch Weekly Mgmt'!C82</f>
        <v>3.6599999999999997</v>
      </c>
      <c r="D82" s="261">
        <f>'IODA Weekly iTunes'!D82+'Orch Weekly Mgmt'!D82</f>
        <v>0</v>
      </c>
      <c r="E82" s="261">
        <f>'IODA Weekly iTunes'!E82+'Orch Weekly Mgmt'!E82</f>
        <v>0</v>
      </c>
      <c r="F82" s="261">
        <f>'IODA Weekly iTunes'!F82+'Orch Weekly Mgmt'!F82</f>
        <v>0</v>
      </c>
      <c r="G82" s="262">
        <f t="shared" si="10"/>
        <v>4.2699999999999996</v>
      </c>
      <c r="H82" s="263">
        <f>'IODA Weekly iTunes'!H82+'Orch Weekly Mgmt'!H82</f>
        <v>12.2</v>
      </c>
      <c r="I82" s="263">
        <f>'IODA Weekly iTunes'!I82+'Orch Weekly Mgmt'!I82:I82</f>
        <v>8.792456831486632</v>
      </c>
      <c r="J82" s="264">
        <f t="shared" ref="J82:J113" si="14">H82-I82</f>
        <v>3.4075431685133672</v>
      </c>
      <c r="K82" s="265">
        <f t="shared" ref="K82:K125" si="15">J82/I82</f>
        <v>0.38755301661654201</v>
      </c>
      <c r="L82" s="263">
        <f>'IODA Weekly iTunes'!M82+'Orch Weekly Mgmt'!M82</f>
        <v>53.539999675750721</v>
      </c>
      <c r="M82" s="263">
        <f>'IODA Weekly iTunes'!N82+'Orch Weekly Mgmt'!N82</f>
        <v>26.917830533011823</v>
      </c>
      <c r="N82" s="264">
        <f t="shared" si="12"/>
        <v>26.622169142738898</v>
      </c>
      <c r="O82" s="265">
        <f t="shared" si="13"/>
        <v>0.9890161508405988</v>
      </c>
      <c r="Q82" s="235"/>
      <c r="R82" s="169"/>
      <c r="S82" s="169"/>
    </row>
    <row r="83" spans="1:19" s="3" customFormat="1" ht="11.25" x14ac:dyDescent="0.2">
      <c r="A83" s="260" t="s">
        <v>127</v>
      </c>
      <c r="B83" s="261">
        <f>'IODA Weekly iTunes'!B83+'Orch Weekly Mgmt'!B83</f>
        <v>9.15</v>
      </c>
      <c r="C83" s="261">
        <f>'IODA Weekly iTunes'!C83+'Orch Weekly Mgmt'!C83</f>
        <v>27.45</v>
      </c>
      <c r="D83" s="261">
        <f>'IODA Weekly iTunes'!D83+'Orch Weekly Mgmt'!D83</f>
        <v>3.05</v>
      </c>
      <c r="E83" s="261">
        <f>'IODA Weekly iTunes'!E83+'Orch Weekly Mgmt'!E83</f>
        <v>0</v>
      </c>
      <c r="F83" s="261">
        <f>'IODA Weekly iTunes'!F83+'Orch Weekly Mgmt'!F83</f>
        <v>0</v>
      </c>
      <c r="G83" s="262">
        <f t="shared" si="10"/>
        <v>39.65</v>
      </c>
      <c r="H83" s="263">
        <f>'IODA Weekly iTunes'!H83+'Orch Weekly Mgmt'!H83</f>
        <v>72.183333333333323</v>
      </c>
      <c r="I83" s="263">
        <f>'IODA Weekly iTunes'!I83+'Orch Weekly Mgmt'!I83:I83</f>
        <v>39.225567900880819</v>
      </c>
      <c r="J83" s="264">
        <f t="shared" si="14"/>
        <v>32.957765432452504</v>
      </c>
      <c r="K83" s="265">
        <f t="shared" si="15"/>
        <v>0.8402113008467732</v>
      </c>
      <c r="L83" s="263">
        <f>'IODA Weekly iTunes'!M83+'Orch Weekly Mgmt'!M83</f>
        <v>152.1116675694783</v>
      </c>
      <c r="M83" s="263">
        <f>'IODA Weekly iTunes'!N83+'Orch Weekly Mgmt'!N83</f>
        <v>120.10041646763236</v>
      </c>
      <c r="N83" s="264">
        <f t="shared" si="12"/>
        <v>32.011251101845943</v>
      </c>
      <c r="O83" s="265">
        <f t="shared" si="13"/>
        <v>0.26653738632516005</v>
      </c>
      <c r="Q83" s="235"/>
      <c r="R83" s="169"/>
      <c r="S83" s="169"/>
    </row>
    <row r="84" spans="1:19" s="3" customFormat="1" ht="11.25" x14ac:dyDescent="0.2">
      <c r="A84" s="260" t="s">
        <v>129</v>
      </c>
      <c r="B84" s="261">
        <f>'IODA Weekly iTunes'!B84+'Orch Weekly Mgmt'!B84</f>
        <v>35.22</v>
      </c>
      <c r="C84" s="261">
        <f>'IODA Weekly iTunes'!C84+'Orch Weekly Mgmt'!C84</f>
        <v>53.400000000000006</v>
      </c>
      <c r="D84" s="261">
        <f>'IODA Weekly iTunes'!D84+'Orch Weekly Mgmt'!D84</f>
        <v>16.32</v>
      </c>
      <c r="E84" s="261">
        <f>'IODA Weekly iTunes'!E84+'Orch Weekly Mgmt'!E84</f>
        <v>0</v>
      </c>
      <c r="F84" s="261">
        <f>'IODA Weekly iTunes'!F84+'Orch Weekly Mgmt'!F84</f>
        <v>0</v>
      </c>
      <c r="G84" s="262">
        <f t="shared" si="10"/>
        <v>104.94</v>
      </c>
      <c r="H84" s="263">
        <f>'IODA Weekly iTunes'!H84+'Orch Weekly Mgmt'!H84</f>
        <v>174.90000000000003</v>
      </c>
      <c r="I84" s="263">
        <f>'IODA Weekly iTunes'!I84+'Orch Weekly Mgmt'!I84:I84</f>
        <v>101.46759390292112</v>
      </c>
      <c r="J84" s="264">
        <f t="shared" si="14"/>
        <v>73.432406097078911</v>
      </c>
      <c r="K84" s="265">
        <f t="shared" si="15"/>
        <v>0.72370303929090096</v>
      </c>
      <c r="L84" s="263">
        <f>'IODA Weekly iTunes'!M84+'Orch Weekly Mgmt'!M84</f>
        <v>450.45000314116481</v>
      </c>
      <c r="M84" s="263">
        <f>'IODA Weekly iTunes'!N84+'Orch Weekly Mgmt'!N84</f>
        <v>310.33442191538984</v>
      </c>
      <c r="N84" s="264">
        <f t="shared" si="12"/>
        <v>140.11558122577497</v>
      </c>
      <c r="O84" s="265">
        <f t="shared" si="13"/>
        <v>0.45149867797770865</v>
      </c>
      <c r="Q84" s="235"/>
      <c r="R84" s="169"/>
      <c r="S84" s="169"/>
    </row>
    <row r="85" spans="1:19" s="3" customFormat="1" ht="11.25" x14ac:dyDescent="0.2">
      <c r="A85" s="260" t="s">
        <v>130</v>
      </c>
      <c r="B85" s="261">
        <f>'IODA Weekly iTunes'!B85+'Orch Weekly Mgmt'!B85</f>
        <v>230.94</v>
      </c>
      <c r="C85" s="261">
        <f>'IODA Weekly iTunes'!C85+'Orch Weekly Mgmt'!C85</f>
        <v>256.29000000000002</v>
      </c>
      <c r="D85" s="261">
        <f>'IODA Weekly iTunes'!D85+'Orch Weekly Mgmt'!D85</f>
        <v>139.02000000000001</v>
      </c>
      <c r="E85" s="261">
        <f>'IODA Weekly iTunes'!E85+'Orch Weekly Mgmt'!E85</f>
        <v>0</v>
      </c>
      <c r="F85" s="261">
        <f>'IODA Weekly iTunes'!F85+'Orch Weekly Mgmt'!F85</f>
        <v>0</v>
      </c>
      <c r="G85" s="262">
        <f t="shared" si="10"/>
        <v>626.25</v>
      </c>
      <c r="H85" s="263">
        <f>'IODA Weekly iTunes'!H85+'Orch Weekly Mgmt'!H85</f>
        <v>1043.75</v>
      </c>
      <c r="I85" s="263">
        <f>'IODA Weekly iTunes'!I85+'Orch Weekly Mgmt'!I85:I85</f>
        <v>558.66480040339673</v>
      </c>
      <c r="J85" s="264">
        <f t="shared" si="14"/>
        <v>485.08519959660327</v>
      </c>
      <c r="K85" s="265">
        <f t="shared" si="15"/>
        <v>0.86829383065898613</v>
      </c>
      <c r="L85" s="263">
        <f>'IODA Weekly iTunes'!M85+'Orch Weekly Mgmt'!M85</f>
        <v>2515.7900209724903</v>
      </c>
      <c r="M85" s="263">
        <f>'IODA Weekly iTunes'!N85+'Orch Weekly Mgmt'!N85</f>
        <v>1707.6773346386381</v>
      </c>
      <c r="N85" s="264">
        <f t="shared" si="12"/>
        <v>808.11268633385225</v>
      </c>
      <c r="O85" s="265">
        <f t="shared" si="13"/>
        <v>0.4732232898698378</v>
      </c>
      <c r="Q85" s="235"/>
      <c r="R85" s="169"/>
      <c r="S85" s="169"/>
    </row>
    <row r="86" spans="1:19" s="3" customFormat="1" ht="11.25" x14ac:dyDescent="0.2">
      <c r="A86" s="260" t="s">
        <v>131</v>
      </c>
      <c r="B86" s="261">
        <f>'IODA Weekly iTunes'!B86+'Orch Weekly Mgmt'!B86</f>
        <v>29.55</v>
      </c>
      <c r="C86" s="261">
        <f>'IODA Weekly iTunes'!C86+'Orch Weekly Mgmt'!C86</f>
        <v>22.57</v>
      </c>
      <c r="D86" s="261">
        <f>'IODA Weekly iTunes'!D86+'Orch Weekly Mgmt'!D86</f>
        <v>29.12</v>
      </c>
      <c r="E86" s="261">
        <f>'IODA Weekly iTunes'!E86+'Orch Weekly Mgmt'!E86</f>
        <v>0</v>
      </c>
      <c r="F86" s="261">
        <f>'IODA Weekly iTunes'!F86+'Orch Weekly Mgmt'!F86</f>
        <v>0</v>
      </c>
      <c r="G86" s="262">
        <f t="shared" si="10"/>
        <v>81.240000000000009</v>
      </c>
      <c r="H86" s="263">
        <f>'IODA Weekly iTunes'!H86+'Orch Weekly Mgmt'!H86</f>
        <v>135.39999999999998</v>
      </c>
      <c r="I86" s="263">
        <f>'IODA Weekly iTunes'!I86+'Orch Weekly Mgmt'!I86:I86</f>
        <v>123.10328496382922</v>
      </c>
      <c r="J86" s="264">
        <f t="shared" si="14"/>
        <v>12.296715036170752</v>
      </c>
      <c r="K86" s="265">
        <f t="shared" si="15"/>
        <v>9.9889414322159073E-2</v>
      </c>
      <c r="L86" s="263">
        <f>'IODA Weekly iTunes'!M86+'Orch Weekly Mgmt'!M86</f>
        <v>409.30000092983244</v>
      </c>
      <c r="M86" s="263">
        <f>'IODA Weekly iTunes'!N86+'Orch Weekly Mgmt'!N86</f>
        <v>376.82282548509966</v>
      </c>
      <c r="N86" s="264">
        <f t="shared" si="12"/>
        <v>32.477175444732779</v>
      </c>
      <c r="O86" s="265">
        <f t="shared" si="13"/>
        <v>8.6186858248099921E-2</v>
      </c>
      <c r="Q86" s="235"/>
      <c r="R86" s="169"/>
      <c r="S86" s="169"/>
    </row>
    <row r="87" spans="1:19" s="3" customFormat="1" ht="11.25" x14ac:dyDescent="0.2">
      <c r="A87" s="260" t="s">
        <v>132</v>
      </c>
      <c r="B87" s="261">
        <f>'IODA Weekly iTunes'!B87+'Orch Weekly Mgmt'!B87</f>
        <v>17.440000000000001</v>
      </c>
      <c r="C87" s="261">
        <f>'IODA Weekly iTunes'!C87+'Orch Weekly Mgmt'!C87</f>
        <v>14.139999999999999</v>
      </c>
      <c r="D87" s="261">
        <f>'IODA Weekly iTunes'!D87+'Orch Weekly Mgmt'!D87</f>
        <v>9.33</v>
      </c>
      <c r="E87" s="261">
        <f>'IODA Weekly iTunes'!E87+'Orch Weekly Mgmt'!E87</f>
        <v>0</v>
      </c>
      <c r="F87" s="261">
        <f>'IODA Weekly iTunes'!F87+'Orch Weekly Mgmt'!F87</f>
        <v>0</v>
      </c>
      <c r="G87" s="262">
        <f t="shared" si="10"/>
        <v>40.909999999999997</v>
      </c>
      <c r="H87" s="263">
        <f>'IODA Weekly iTunes'!H87+'Orch Weekly Mgmt'!H87</f>
        <v>68.183333333333337</v>
      </c>
      <c r="I87" s="263">
        <f>'IODA Weekly iTunes'!I87+'Orch Weekly Mgmt'!I87:I87</f>
        <v>95.955906233781604</v>
      </c>
      <c r="J87" s="264">
        <f t="shared" si="14"/>
        <v>-27.772572900448267</v>
      </c>
      <c r="K87" s="265">
        <f t="shared" si="15"/>
        <v>-0.28943057275478928</v>
      </c>
      <c r="L87" s="263">
        <f>'IODA Weekly iTunes'!M87+'Orch Weekly Mgmt'!M87</f>
        <v>292.52333622773494</v>
      </c>
      <c r="M87" s="263">
        <f>'IODA Weekly iTunes'!N87+'Orch Weekly Mgmt'!N87</f>
        <v>293.52150809937331</v>
      </c>
      <c r="N87" s="264">
        <f t="shared" si="12"/>
        <v>-0.99817187163836252</v>
      </c>
      <c r="O87" s="265">
        <f t="shared" si="13"/>
        <v>-3.4006771023417678E-3</v>
      </c>
      <c r="Q87" s="235"/>
      <c r="R87" s="169"/>
      <c r="S87" s="169"/>
    </row>
    <row r="88" spans="1:19" s="3" customFormat="1" ht="11.25" x14ac:dyDescent="0.2">
      <c r="A88" s="260" t="s">
        <v>133</v>
      </c>
      <c r="B88" s="261">
        <f>'IODA Weekly iTunes'!B88+'Orch Weekly Mgmt'!B88</f>
        <v>93.27</v>
      </c>
      <c r="C88" s="261">
        <f>'IODA Weekly iTunes'!C88+'Orch Weekly Mgmt'!C88</f>
        <v>88.56</v>
      </c>
      <c r="D88" s="261">
        <f>'IODA Weekly iTunes'!D88+'Orch Weekly Mgmt'!D88</f>
        <v>59.730000000000004</v>
      </c>
      <c r="E88" s="261">
        <f>'IODA Weekly iTunes'!E88+'Orch Weekly Mgmt'!E88</f>
        <v>0</v>
      </c>
      <c r="F88" s="261">
        <f>'IODA Weekly iTunes'!F88+'Orch Weekly Mgmt'!F88</f>
        <v>0</v>
      </c>
      <c r="G88" s="262">
        <f t="shared" si="10"/>
        <v>241.56</v>
      </c>
      <c r="H88" s="263">
        <f>'IODA Weekly iTunes'!H88+'Orch Weekly Mgmt'!H88</f>
        <v>402.6</v>
      </c>
      <c r="I88" s="263">
        <f>'IODA Weekly iTunes'!I88+'Orch Weekly Mgmt'!I88:I88</f>
        <v>234.56544668485273</v>
      </c>
      <c r="J88" s="264">
        <f t="shared" si="14"/>
        <v>168.03455331514729</v>
      </c>
      <c r="K88" s="265">
        <f t="shared" si="15"/>
        <v>0.71636532869612235</v>
      </c>
      <c r="L88" s="263">
        <f>'IODA Weekly iTunes'!M88+'Orch Weekly Mgmt'!M88</f>
        <v>1292.6700149536127</v>
      </c>
      <c r="M88" s="263">
        <f>'IODA Weekly iTunes'!N88+'Orch Weekly Mgmt'!N88</f>
        <v>716.89310416489479</v>
      </c>
      <c r="N88" s="264">
        <f t="shared" si="12"/>
        <v>575.77691078871794</v>
      </c>
      <c r="O88" s="265">
        <f t="shared" si="13"/>
        <v>0.8031558783919921</v>
      </c>
      <c r="Q88" s="235"/>
      <c r="R88" s="169"/>
      <c r="S88" s="169"/>
    </row>
    <row r="89" spans="1:19" s="3" customFormat="1" ht="11.25" x14ac:dyDescent="0.2">
      <c r="A89" s="260" t="s">
        <v>135</v>
      </c>
      <c r="B89" s="261">
        <f>'IODA Weekly iTunes'!B89+'Orch Weekly Mgmt'!B89</f>
        <v>94.47999999999999</v>
      </c>
      <c r="C89" s="261">
        <f>'IODA Weekly iTunes'!C89+'Orch Weekly Mgmt'!C89</f>
        <v>27.880000000000003</v>
      </c>
      <c r="D89" s="261">
        <f>'IODA Weekly iTunes'!D89+'Orch Weekly Mgmt'!D89</f>
        <v>41.68</v>
      </c>
      <c r="E89" s="261">
        <f>'IODA Weekly iTunes'!E89+'Orch Weekly Mgmt'!E89</f>
        <v>0</v>
      </c>
      <c r="F89" s="261">
        <f>'IODA Weekly iTunes'!F89+'Orch Weekly Mgmt'!F89</f>
        <v>0</v>
      </c>
      <c r="G89" s="262">
        <f t="shared" si="10"/>
        <v>164.04</v>
      </c>
      <c r="H89" s="263">
        <f>'IODA Weekly iTunes'!H89+'Orch Weekly Mgmt'!H89</f>
        <v>273.39999999999998</v>
      </c>
      <c r="I89" s="263">
        <f>'IODA Weekly iTunes'!I89+'Orch Weekly Mgmt'!I89:I89</f>
        <v>141.07463300714261</v>
      </c>
      <c r="J89" s="264">
        <f t="shared" si="14"/>
        <v>132.32536699285737</v>
      </c>
      <c r="K89" s="265">
        <f t="shared" si="15"/>
        <v>0.93798129523510965</v>
      </c>
      <c r="L89" s="263">
        <f>'IODA Weekly iTunes'!M89+'Orch Weekly Mgmt'!M89</f>
        <v>609.07000055313097</v>
      </c>
      <c r="M89" s="263">
        <f>'IODA Weekly iTunes'!N89+'Orch Weekly Mgmt'!N89</f>
        <v>431.63609940162144</v>
      </c>
      <c r="N89" s="264">
        <f t="shared" si="12"/>
        <v>177.43390115150953</v>
      </c>
      <c r="O89" s="265">
        <f t="shared" si="13"/>
        <v>0.41107289542623227</v>
      </c>
      <c r="Q89" s="235"/>
      <c r="R89" s="169"/>
      <c r="S89" s="169"/>
    </row>
    <row r="90" spans="1:19" s="3" customFormat="1" ht="11.25" x14ac:dyDescent="0.2">
      <c r="A90" s="260" t="s">
        <v>137</v>
      </c>
      <c r="B90" s="261">
        <f>'IODA Weekly iTunes'!B90+'Orch Weekly Mgmt'!B90</f>
        <v>22.41</v>
      </c>
      <c r="C90" s="261">
        <f>'IODA Weekly iTunes'!C90+'Orch Weekly Mgmt'!C90</f>
        <v>28.94</v>
      </c>
      <c r="D90" s="261">
        <f>'IODA Weekly iTunes'!D90+'Orch Weekly Mgmt'!D90</f>
        <v>72.34</v>
      </c>
      <c r="E90" s="261">
        <f>'IODA Weekly iTunes'!E90+'Orch Weekly Mgmt'!E90</f>
        <v>0</v>
      </c>
      <c r="F90" s="261">
        <f>'IODA Weekly iTunes'!F90+'Orch Weekly Mgmt'!F90</f>
        <v>0</v>
      </c>
      <c r="G90" s="262">
        <f t="shared" si="10"/>
        <v>123.69</v>
      </c>
      <c r="H90" s="263">
        <f>'IODA Weekly iTunes'!H90+'Orch Weekly Mgmt'!H90</f>
        <v>206.15</v>
      </c>
      <c r="I90" s="263">
        <f>'IODA Weekly iTunes'!I90+'Orch Weekly Mgmt'!I90:I90</f>
        <v>192.61936557389157</v>
      </c>
      <c r="J90" s="264">
        <f t="shared" si="14"/>
        <v>13.530634426108435</v>
      </c>
      <c r="K90" s="265">
        <f t="shared" si="15"/>
        <v>7.0245452142338655E-2</v>
      </c>
      <c r="L90" s="263">
        <f>'IODA Weekly iTunes'!M90+'Orch Weekly Mgmt'!M90</f>
        <v>736.25999810695657</v>
      </c>
      <c r="M90" s="263">
        <f>'IODA Weekly iTunes'!N90+'Orch Weekly Mgmt'!N90</f>
        <v>589.30758723059705</v>
      </c>
      <c r="N90" s="264">
        <f t="shared" si="12"/>
        <v>146.95241087635952</v>
      </c>
      <c r="O90" s="265">
        <f t="shared" si="13"/>
        <v>0.24936453230977459</v>
      </c>
      <c r="Q90" s="235"/>
      <c r="R90" s="169"/>
      <c r="S90" s="169"/>
    </row>
    <row r="91" spans="1:19" s="3" customFormat="1" ht="11.25" x14ac:dyDescent="0.2">
      <c r="A91" s="260" t="s">
        <v>140</v>
      </c>
      <c r="B91" s="261">
        <f>'IODA Weekly iTunes'!B91+'Orch Weekly Mgmt'!B91</f>
        <v>45.14</v>
      </c>
      <c r="C91" s="261">
        <f>'IODA Weekly iTunes'!C91+'Orch Weekly Mgmt'!C91</f>
        <v>22.82</v>
      </c>
      <c r="D91" s="261">
        <f>'IODA Weekly iTunes'!D91+'Orch Weekly Mgmt'!D91</f>
        <v>4.88</v>
      </c>
      <c r="E91" s="261">
        <f>'IODA Weekly iTunes'!E91+'Orch Weekly Mgmt'!E91</f>
        <v>0</v>
      </c>
      <c r="F91" s="261">
        <f>'IODA Weekly iTunes'!F91+'Orch Weekly Mgmt'!F91</f>
        <v>0</v>
      </c>
      <c r="G91" s="262">
        <f t="shared" si="10"/>
        <v>72.84</v>
      </c>
      <c r="H91" s="263">
        <f>'IODA Weekly iTunes'!H91+'Orch Weekly Mgmt'!H91</f>
        <v>121.39999999999998</v>
      </c>
      <c r="I91" s="263">
        <f>'IODA Weekly iTunes'!I91+'Orch Weekly Mgmt'!I91:I91</f>
        <v>66.449340055090957</v>
      </c>
      <c r="J91" s="264">
        <f t="shared" si="14"/>
        <v>54.95065994490902</v>
      </c>
      <c r="K91" s="265">
        <f t="shared" si="15"/>
        <v>0.82695569134849556</v>
      </c>
      <c r="L91" s="263">
        <f>'IODA Weekly iTunes'!M91+'Orch Weekly Mgmt'!M91</f>
        <v>296.32333491643271</v>
      </c>
      <c r="M91" s="263">
        <f>'IODA Weekly iTunes'!N91+'Orch Weekly Mgmt'!N91</f>
        <v>203.4308099627612</v>
      </c>
      <c r="N91" s="264">
        <f t="shared" si="12"/>
        <v>92.892524953671511</v>
      </c>
      <c r="O91" s="265">
        <f t="shared" si="13"/>
        <v>0.45662957823682582</v>
      </c>
      <c r="Q91" s="235"/>
      <c r="R91" s="169"/>
      <c r="S91" s="169"/>
    </row>
    <row r="92" spans="1:19" s="3" customFormat="1" ht="11.25" x14ac:dyDescent="0.2">
      <c r="A92" s="260" t="s">
        <v>142</v>
      </c>
      <c r="B92" s="261">
        <f>'IODA Weekly iTunes'!B92+'Orch Weekly Mgmt'!B92</f>
        <v>1.83</v>
      </c>
      <c r="C92" s="261">
        <f>'IODA Weekly iTunes'!C92+'Orch Weekly Mgmt'!C92</f>
        <v>6.1</v>
      </c>
      <c r="D92" s="261">
        <f>'IODA Weekly iTunes'!D92+'Orch Weekly Mgmt'!D92</f>
        <v>0</v>
      </c>
      <c r="E92" s="261">
        <f>'IODA Weekly iTunes'!E92+'Orch Weekly Mgmt'!E92</f>
        <v>0</v>
      </c>
      <c r="F92" s="261">
        <f>'IODA Weekly iTunes'!F92+'Orch Weekly Mgmt'!F92</f>
        <v>0</v>
      </c>
      <c r="G92" s="262">
        <f t="shared" si="10"/>
        <v>7.93</v>
      </c>
      <c r="H92" s="263">
        <f>'IODA Weekly iTunes'!H92+'Orch Weekly Mgmt'!H92</f>
        <v>19.824999999999999</v>
      </c>
      <c r="I92" s="263">
        <f>'IODA Weekly iTunes'!I92+'Orch Weekly Mgmt'!I92:I92</f>
        <v>7.3863337127347153</v>
      </c>
      <c r="J92" s="264">
        <f t="shared" si="14"/>
        <v>12.438666287265285</v>
      </c>
      <c r="K92" s="265">
        <f t="shared" si="15"/>
        <v>1.6840108734621462</v>
      </c>
      <c r="L92" s="263">
        <f>'IODA Weekly iTunes'!M92+'Orch Weekly Mgmt'!M92</f>
        <v>103.8016663511594</v>
      </c>
      <c r="M92" s="263">
        <f>'IODA Weekly iTunes'!N92+'Orch Weekly Mgmt'!N92</f>
        <v>22.584497323901886</v>
      </c>
      <c r="N92" s="264">
        <f t="shared" si="12"/>
        <v>81.217169027257512</v>
      </c>
      <c r="O92" s="265">
        <f t="shared" si="13"/>
        <v>3.5961468551838354</v>
      </c>
      <c r="Q92" s="235"/>
      <c r="R92" s="169"/>
      <c r="S92" s="169"/>
    </row>
    <row r="93" spans="1:19" s="3" customFormat="1" ht="11.25" x14ac:dyDescent="0.2">
      <c r="A93" s="260" t="s">
        <v>143</v>
      </c>
      <c r="B93" s="261">
        <f>'IODA Weekly iTunes'!B93+'Orch Weekly Mgmt'!B93</f>
        <v>22.41</v>
      </c>
      <c r="C93" s="261">
        <f>'IODA Weekly iTunes'!C93+'Orch Weekly Mgmt'!C93</f>
        <v>59.78</v>
      </c>
      <c r="D93" s="261">
        <f>'IODA Weekly iTunes'!D93+'Orch Weekly Mgmt'!D93</f>
        <v>25.009999999999998</v>
      </c>
      <c r="E93" s="261">
        <f>'IODA Weekly iTunes'!E93+'Orch Weekly Mgmt'!E93</f>
        <v>0</v>
      </c>
      <c r="F93" s="261">
        <f>'IODA Weekly iTunes'!F93+'Orch Weekly Mgmt'!F93</f>
        <v>0</v>
      </c>
      <c r="G93" s="262">
        <f t="shared" si="10"/>
        <v>107.19999999999999</v>
      </c>
      <c r="H93" s="263">
        <f>'IODA Weekly iTunes'!H93+'Orch Weekly Mgmt'!H93</f>
        <v>178.66666666666666</v>
      </c>
      <c r="I93" s="263">
        <f>'IODA Weekly iTunes'!I93+'Orch Weekly Mgmt'!I93:I93</f>
        <v>127.40646705742657</v>
      </c>
      <c r="J93" s="264">
        <f t="shared" si="14"/>
        <v>51.26019960924009</v>
      </c>
      <c r="K93" s="265">
        <f t="shared" si="15"/>
        <v>0.40233593155153824</v>
      </c>
      <c r="L93" s="263">
        <f>'IODA Weekly iTunes'!M93+'Orch Weekly Mgmt'!M93</f>
        <v>453.61666754881537</v>
      </c>
      <c r="M93" s="263">
        <f>'IODA Weekly iTunes'!N93+'Orch Weekly Mgmt'!N93</f>
        <v>389.98088947710772</v>
      </c>
      <c r="N93" s="264">
        <f t="shared" si="12"/>
        <v>63.635778071707648</v>
      </c>
      <c r="O93" s="265">
        <f t="shared" si="13"/>
        <v>0.16317665759732858</v>
      </c>
      <c r="Q93" s="235"/>
      <c r="R93" s="169"/>
      <c r="S93" s="169"/>
    </row>
    <row r="94" spans="1:19" s="3" customFormat="1" ht="11.25" x14ac:dyDescent="0.2">
      <c r="A94" s="260" t="s">
        <v>147</v>
      </c>
      <c r="B94" s="261">
        <f>'IODA Weekly iTunes'!B94+'Orch Weekly Mgmt'!B94</f>
        <v>0.61</v>
      </c>
      <c r="C94" s="261">
        <f>'IODA Weekly iTunes'!C94+'Orch Weekly Mgmt'!C94</f>
        <v>0.61</v>
      </c>
      <c r="D94" s="261">
        <f>'IODA Weekly iTunes'!D94+'Orch Weekly Mgmt'!D94</f>
        <v>3.66</v>
      </c>
      <c r="E94" s="261">
        <f>'IODA Weekly iTunes'!E94+'Orch Weekly Mgmt'!E94</f>
        <v>0</v>
      </c>
      <c r="F94" s="261">
        <f>'IODA Weekly iTunes'!F94+'Orch Weekly Mgmt'!F94</f>
        <v>0</v>
      </c>
      <c r="G94" s="262">
        <f t="shared" si="10"/>
        <v>4.88</v>
      </c>
      <c r="H94" s="263">
        <f>'IODA Weekly iTunes'!H94+'Orch Weekly Mgmt'!H94</f>
        <v>12.2</v>
      </c>
      <c r="I94" s="263">
        <f>'IODA Weekly iTunes'!I94+'Orch Weekly Mgmt'!I94:I94</f>
        <v>11.116397845373056</v>
      </c>
      <c r="J94" s="264">
        <f t="shared" si="14"/>
        <v>1.0836021546269432</v>
      </c>
      <c r="K94" s="265">
        <f t="shared" si="15"/>
        <v>9.7477813379805184E-2</v>
      </c>
      <c r="L94" s="263">
        <f>'IODA Weekly iTunes'!M94+'Orch Weekly Mgmt'!M94</f>
        <v>71.490000637372361</v>
      </c>
      <c r="M94" s="263">
        <f>'IODA Weekly iTunes'!N94+'Orch Weekly Mgmt'!N94</f>
        <v>33.96163624009634</v>
      </c>
      <c r="N94" s="264">
        <f t="shared" si="12"/>
        <v>37.528364397276022</v>
      </c>
      <c r="O94" s="265">
        <f t="shared" si="13"/>
        <v>1.1050222707753012</v>
      </c>
      <c r="Q94" s="235"/>
      <c r="R94" s="169"/>
      <c r="S94" s="169"/>
    </row>
    <row r="95" spans="1:19" s="3" customFormat="1" ht="11.25" x14ac:dyDescent="0.2">
      <c r="A95" s="260" t="s">
        <v>151</v>
      </c>
      <c r="B95" s="261">
        <f>'IODA Weekly iTunes'!B95+'Orch Weekly Mgmt'!B95</f>
        <v>7.93</v>
      </c>
      <c r="C95" s="261">
        <f>'IODA Weekly iTunes'!C95+'Orch Weekly Mgmt'!C95</f>
        <v>0</v>
      </c>
      <c r="D95" s="261">
        <f>'IODA Weekly iTunes'!D95+'Orch Weekly Mgmt'!D95</f>
        <v>1.22</v>
      </c>
      <c r="E95" s="261">
        <f>'IODA Weekly iTunes'!E95+'Orch Weekly Mgmt'!E95</f>
        <v>0</v>
      </c>
      <c r="F95" s="261">
        <f>'IODA Weekly iTunes'!F95+'Orch Weekly Mgmt'!F95</f>
        <v>0</v>
      </c>
      <c r="G95" s="262">
        <f t="shared" ref="G95:G125" si="16">SUM(B95:F95)</f>
        <v>9.15</v>
      </c>
      <c r="H95" s="263">
        <f>'IODA Weekly iTunes'!H95+'Orch Weekly Mgmt'!H95</f>
        <v>38.125</v>
      </c>
      <c r="I95" s="263">
        <f>'IODA Weekly iTunes'!I95+'Orch Weekly Mgmt'!I95:I95</f>
        <v>16.043153550600803</v>
      </c>
      <c r="J95" s="264">
        <f t="shared" si="14"/>
        <v>22.081846449399197</v>
      </c>
      <c r="K95" s="265">
        <f t="shared" si="15"/>
        <v>1.3764031105076751</v>
      </c>
      <c r="L95" s="263">
        <f>'IODA Weekly iTunes'!M95+'Orch Weekly Mgmt'!M95</f>
        <v>72.488333185513824</v>
      </c>
      <c r="M95" s="263">
        <f>'IODA Weekly iTunes'!N95+'Orch Weekly Mgmt'!N95</f>
        <v>49.032871990989129</v>
      </c>
      <c r="N95" s="264">
        <f t="shared" si="12"/>
        <v>23.455461194524695</v>
      </c>
      <c r="O95" s="265">
        <f t="shared" si="13"/>
        <v>0.47836196906506218</v>
      </c>
      <c r="Q95" s="235"/>
      <c r="R95" s="169"/>
      <c r="S95" s="169"/>
    </row>
    <row r="96" spans="1:19" s="3" customFormat="1" ht="11.25" x14ac:dyDescent="0.2">
      <c r="A96" s="260" t="s">
        <v>152</v>
      </c>
      <c r="B96" s="261">
        <f>'IODA Weekly iTunes'!B96+'Orch Weekly Mgmt'!B96</f>
        <v>0</v>
      </c>
      <c r="C96" s="261">
        <f>'IODA Weekly iTunes'!C96+'Orch Weekly Mgmt'!C96</f>
        <v>0</v>
      </c>
      <c r="D96" s="261">
        <f>'IODA Weekly iTunes'!D96+'Orch Weekly Mgmt'!D96</f>
        <v>0</v>
      </c>
      <c r="E96" s="261">
        <f>'IODA Weekly iTunes'!E96+'Orch Weekly Mgmt'!E96</f>
        <v>0</v>
      </c>
      <c r="F96" s="261">
        <f>'IODA Weekly iTunes'!F96+'Orch Weekly Mgmt'!F96</f>
        <v>0</v>
      </c>
      <c r="G96" s="262">
        <f t="shared" si="16"/>
        <v>0</v>
      </c>
      <c r="H96" s="263">
        <f>'IODA Weekly iTunes'!H96+'Orch Weekly Mgmt'!H96</f>
        <v>0</v>
      </c>
      <c r="I96" s="263">
        <f>'IODA Weekly iTunes'!I96+'Orch Weekly Mgmt'!I96:I96</f>
        <v>0.15024059276233129</v>
      </c>
      <c r="J96" s="264">
        <f t="shared" si="14"/>
        <v>-0.15024059276233129</v>
      </c>
      <c r="K96" s="265">
        <f t="shared" si="15"/>
        <v>-1</v>
      </c>
      <c r="L96" s="263">
        <f>'IODA Weekly iTunes'!M96+'Orch Weekly Mgmt'!M96</f>
        <v>0</v>
      </c>
      <c r="M96" s="263">
        <f>'IODA Weekly iTunes'!N96+'Orch Weekly Mgmt'!N96</f>
        <v>0.45878772102197313</v>
      </c>
      <c r="N96" s="264">
        <f t="shared" si="12"/>
        <v>-0.45878772102197313</v>
      </c>
      <c r="O96" s="265">
        <f t="shared" si="13"/>
        <v>-1</v>
      </c>
      <c r="Q96" s="235"/>
      <c r="R96" s="169"/>
      <c r="S96" s="169"/>
    </row>
    <row r="97" spans="1:19" s="3" customFormat="1" ht="11.25" x14ac:dyDescent="0.2">
      <c r="A97" s="260" t="s">
        <v>153</v>
      </c>
      <c r="B97" s="261">
        <f>'IODA Weekly iTunes'!B97+'Orch Weekly Mgmt'!B97</f>
        <v>9.76</v>
      </c>
      <c r="C97" s="261">
        <f>'IODA Weekly iTunes'!C97+'Orch Weekly Mgmt'!C97</f>
        <v>32.33</v>
      </c>
      <c r="D97" s="261">
        <f>'IODA Weekly iTunes'!D97+'Orch Weekly Mgmt'!D97</f>
        <v>38.86</v>
      </c>
      <c r="E97" s="261">
        <f>'IODA Weekly iTunes'!E97+'Orch Weekly Mgmt'!E97</f>
        <v>0</v>
      </c>
      <c r="F97" s="261">
        <f>'IODA Weekly iTunes'!F97+'Orch Weekly Mgmt'!F97</f>
        <v>0</v>
      </c>
      <c r="G97" s="262">
        <f t="shared" si="16"/>
        <v>80.949999999999989</v>
      </c>
      <c r="H97" s="263">
        <f>'IODA Weekly iTunes'!H97+'Orch Weekly Mgmt'!H97</f>
        <v>134.91666666666666</v>
      </c>
      <c r="I97" s="263">
        <f>'IODA Weekly iTunes'!I97+'Orch Weekly Mgmt'!I97:I97</f>
        <v>182.27346139044747</v>
      </c>
      <c r="J97" s="264">
        <f t="shared" si="14"/>
        <v>-47.356794723780808</v>
      </c>
      <c r="K97" s="265">
        <f t="shared" si="15"/>
        <v>-0.25981179247119224</v>
      </c>
      <c r="L97" s="263">
        <f>'IODA Weekly iTunes'!M97+'Orch Weekly Mgmt'!M97</f>
        <v>523.3516647617023</v>
      </c>
      <c r="M97" s="263">
        <f>'IODA Weekly iTunes'!N97+'Orch Weekly Mgmt'!N97</f>
        <v>557.8265147535709</v>
      </c>
      <c r="N97" s="264">
        <f t="shared" si="12"/>
        <v>-34.474849991868609</v>
      </c>
      <c r="O97" s="265">
        <f t="shared" si="13"/>
        <v>-6.1802099900357808E-2</v>
      </c>
      <c r="Q97" s="235"/>
      <c r="R97" s="169"/>
      <c r="S97" s="169"/>
    </row>
    <row r="98" spans="1:19" s="3" customFormat="1" ht="11.25" x14ac:dyDescent="0.2">
      <c r="A98" s="260" t="s">
        <v>154</v>
      </c>
      <c r="B98" s="261">
        <f>'IODA Weekly iTunes'!B98+'Orch Weekly Mgmt'!B98</f>
        <v>0.61</v>
      </c>
      <c r="C98" s="261">
        <f>'IODA Weekly iTunes'!C98+'Orch Weekly Mgmt'!C98</f>
        <v>3.66</v>
      </c>
      <c r="D98" s="261">
        <f>'IODA Weekly iTunes'!D98+'Orch Weekly Mgmt'!D98</f>
        <v>0</v>
      </c>
      <c r="E98" s="261">
        <f>'IODA Weekly iTunes'!E98+'Orch Weekly Mgmt'!E98</f>
        <v>0</v>
      </c>
      <c r="F98" s="261">
        <f>'IODA Weekly iTunes'!F98+'Orch Weekly Mgmt'!F98</f>
        <v>0</v>
      </c>
      <c r="G98" s="262">
        <f t="shared" si="16"/>
        <v>4.2700000000000005</v>
      </c>
      <c r="H98" s="263">
        <f>'IODA Weekly iTunes'!H98+'Orch Weekly Mgmt'!H98</f>
        <v>13.725</v>
      </c>
      <c r="I98" s="263">
        <f>'IODA Weekly iTunes'!I98+'Orch Weekly Mgmt'!I98:I98</f>
        <v>11.261690712071609</v>
      </c>
      <c r="J98" s="264">
        <f t="shared" si="14"/>
        <v>2.4633092879283911</v>
      </c>
      <c r="K98" s="265">
        <f t="shared" si="15"/>
        <v>0.21873352331439236</v>
      </c>
      <c r="L98" s="263">
        <f>'IODA Weekly iTunes'!M98+'Orch Weekly Mgmt'!M98</f>
        <v>74.92833298047384</v>
      </c>
      <c r="M98" s="263">
        <f>'IODA Weekly iTunes'!N98+'Orch Weekly Mgmt'!N98</f>
        <v>34.494939513743951</v>
      </c>
      <c r="N98" s="264">
        <f t="shared" si="12"/>
        <v>40.433393466729889</v>
      </c>
      <c r="O98" s="265">
        <f t="shared" si="13"/>
        <v>1.1721543518178907</v>
      </c>
      <c r="Q98" s="235"/>
      <c r="R98" s="169"/>
      <c r="S98" s="169"/>
    </row>
    <row r="99" spans="1:19" s="3" customFormat="1" ht="11.25" x14ac:dyDescent="0.2">
      <c r="A99" s="260" t="s">
        <v>156</v>
      </c>
      <c r="B99" s="261">
        <f>'IODA Weekly iTunes'!B99+'Orch Weekly Mgmt'!B99</f>
        <v>0</v>
      </c>
      <c r="C99" s="261">
        <f>'IODA Weekly iTunes'!C99+'Orch Weekly Mgmt'!C99</f>
        <v>0</v>
      </c>
      <c r="D99" s="261">
        <f>'IODA Weekly iTunes'!D99+'Orch Weekly Mgmt'!D99</f>
        <v>0</v>
      </c>
      <c r="E99" s="261">
        <f>'IODA Weekly iTunes'!E99+'Orch Weekly Mgmt'!E99</f>
        <v>0</v>
      </c>
      <c r="F99" s="261">
        <f>'IODA Weekly iTunes'!F99+'Orch Weekly Mgmt'!F99</f>
        <v>0</v>
      </c>
      <c r="G99" s="262">
        <f t="shared" si="16"/>
        <v>0</v>
      </c>
      <c r="H99" s="263">
        <f>'IODA Weekly iTunes'!H99+'Orch Weekly Mgmt'!H99</f>
        <v>0</v>
      </c>
      <c r="I99" s="263">
        <f>'IODA Weekly iTunes'!I99+'Orch Weekly Mgmt'!I99:I99</f>
        <v>6.9406855135296749E-2</v>
      </c>
      <c r="J99" s="264">
        <f t="shared" si="14"/>
        <v>-6.9406855135296749E-2</v>
      </c>
      <c r="K99" s="265">
        <f t="shared" si="15"/>
        <v>-1</v>
      </c>
      <c r="L99" s="263">
        <f>'IODA Weekly iTunes'!M99+'Orch Weekly Mgmt'!M99</f>
        <v>0</v>
      </c>
      <c r="M99" s="263">
        <f>'IODA Weekly iTunes'!N99+'Orch Weekly Mgmt'!N99</f>
        <v>0.21326258500816708</v>
      </c>
      <c r="N99" s="264">
        <f t="shared" si="12"/>
        <v>-0.21326258500816708</v>
      </c>
      <c r="O99" s="265">
        <f t="shared" si="13"/>
        <v>-1</v>
      </c>
      <c r="Q99" s="235"/>
      <c r="R99" s="169"/>
      <c r="S99" s="169"/>
    </row>
    <row r="100" spans="1:19" s="3" customFormat="1" ht="11.25" x14ac:dyDescent="0.2">
      <c r="A100" s="260" t="s">
        <v>159</v>
      </c>
      <c r="B100" s="261">
        <f>'IODA Weekly iTunes'!B100+'Orch Weekly Mgmt'!B100</f>
        <v>1951.1529440000002</v>
      </c>
      <c r="C100" s="261">
        <f>'IODA Weekly iTunes'!C100+'Orch Weekly Mgmt'!C100</f>
        <v>2037.0826730000001</v>
      </c>
      <c r="D100" s="261">
        <f>'IODA Weekly iTunes'!D100+'Orch Weekly Mgmt'!D100</f>
        <v>2114.5276779999999</v>
      </c>
      <c r="E100" s="261">
        <f>'IODA Weekly iTunes'!E100+'Orch Weekly Mgmt'!E100</f>
        <v>0</v>
      </c>
      <c r="F100" s="261">
        <f>'IODA Weekly iTunes'!F100+'Orch Weekly Mgmt'!F100</f>
        <v>0</v>
      </c>
      <c r="G100" s="262">
        <f t="shared" si="16"/>
        <v>6102.7632950000007</v>
      </c>
      <c r="H100" s="263">
        <f>'IODA Weekly iTunes'!H100+'Orch Weekly Mgmt'!H100</f>
        <v>10171.272158333333</v>
      </c>
      <c r="I100" s="263">
        <f>'IODA Weekly iTunes'!I100+'Orch Weekly Mgmt'!I100:I100</f>
        <v>6961.4880080288358</v>
      </c>
      <c r="J100" s="264">
        <f t="shared" si="14"/>
        <v>3209.7841503044974</v>
      </c>
      <c r="K100" s="265">
        <f t="shared" si="15"/>
        <v>0.46107730798395163</v>
      </c>
      <c r="L100" s="263">
        <f>'IODA Weekly iTunes'!M100+'Orch Weekly Mgmt'!M100</f>
        <v>27281.414336310001</v>
      </c>
      <c r="M100" s="263">
        <f>'IODA Weekly iTunes'!N100+'Orch Weekly Mgmt'!N100</f>
        <v>21292.383954368543</v>
      </c>
      <c r="N100" s="264">
        <f t="shared" si="12"/>
        <v>5989.0303819414585</v>
      </c>
      <c r="O100" s="265">
        <f t="shared" si="13"/>
        <v>0.28127570847757016</v>
      </c>
      <c r="Q100" s="235"/>
      <c r="R100" s="169"/>
      <c r="S100" s="169"/>
    </row>
    <row r="101" spans="1:19" s="3" customFormat="1" ht="11.25" x14ac:dyDescent="0.2">
      <c r="A101" s="260" t="s">
        <v>160</v>
      </c>
      <c r="B101" s="261">
        <f>'IODA Weekly iTunes'!B101+'Orch Weekly Mgmt'!B101</f>
        <v>1554.6</v>
      </c>
      <c r="C101" s="261">
        <f>'IODA Weekly iTunes'!C101+'Orch Weekly Mgmt'!C101</f>
        <v>1436.52</v>
      </c>
      <c r="D101" s="261">
        <f>'IODA Weekly iTunes'!D101+'Orch Weekly Mgmt'!D101</f>
        <v>1495.712</v>
      </c>
      <c r="E101" s="261">
        <f>'IODA Weekly iTunes'!E101+'Orch Weekly Mgmt'!E101</f>
        <v>0</v>
      </c>
      <c r="F101" s="261">
        <f>'IODA Weekly iTunes'!F101+'Orch Weekly Mgmt'!F101</f>
        <v>0</v>
      </c>
      <c r="G101" s="262">
        <f t="shared" si="16"/>
        <v>4486.8320000000003</v>
      </c>
      <c r="H101" s="263">
        <f>'IODA Weekly iTunes'!H101+'Orch Weekly Mgmt'!H101</f>
        <v>7478.0533333333333</v>
      </c>
      <c r="I101" s="263">
        <f>'IODA Weekly iTunes'!I101+'Orch Weekly Mgmt'!I101:I101</f>
        <v>5532.5326878200176</v>
      </c>
      <c r="J101" s="264">
        <f t="shared" si="14"/>
        <v>1945.5206455133157</v>
      </c>
      <c r="K101" s="265">
        <f t="shared" si="15"/>
        <v>0.35165099879055728</v>
      </c>
      <c r="L101" s="263">
        <f>'IODA Weekly iTunes'!M101+'Orch Weekly Mgmt'!M101</f>
        <v>20637.670536330537</v>
      </c>
      <c r="M101" s="263">
        <f>'IODA Weekly iTunes'!N101+'Orch Weekly Mgmt'!N101</f>
        <v>16937.701044092857</v>
      </c>
      <c r="N101" s="264">
        <f t="shared" si="12"/>
        <v>3699.9694922376802</v>
      </c>
      <c r="O101" s="265">
        <f t="shared" si="13"/>
        <v>0.2184457904060168</v>
      </c>
      <c r="Q101" s="235"/>
      <c r="R101" s="169"/>
      <c r="S101" s="169"/>
    </row>
    <row r="102" spans="1:19" s="3" customFormat="1" ht="11.25" x14ac:dyDescent="0.2">
      <c r="A102" s="260" t="s">
        <v>161</v>
      </c>
      <c r="B102" s="261">
        <f>'IODA Weekly iTunes'!B102+'Orch Weekly Mgmt'!B102</f>
        <v>1686.585746</v>
      </c>
      <c r="C102" s="261">
        <f>'IODA Weekly iTunes'!C102+'Orch Weekly Mgmt'!C102</f>
        <v>1742.5666219999998</v>
      </c>
      <c r="D102" s="261">
        <f>'IODA Weekly iTunes'!D102+'Orch Weekly Mgmt'!D102</f>
        <v>1640.1254250000002</v>
      </c>
      <c r="E102" s="261">
        <f>'IODA Weekly iTunes'!E102+'Orch Weekly Mgmt'!E102</f>
        <v>0</v>
      </c>
      <c r="F102" s="261">
        <f>'IODA Weekly iTunes'!F102+'Orch Weekly Mgmt'!F102</f>
        <v>0</v>
      </c>
      <c r="G102" s="262">
        <f t="shared" si="16"/>
        <v>5069.2777930000002</v>
      </c>
      <c r="H102" s="263">
        <f>'IODA Weekly iTunes'!H102+'Orch Weekly Mgmt'!H102</f>
        <v>8448.7963216666667</v>
      </c>
      <c r="I102" s="263">
        <f>'IODA Weekly iTunes'!I102+'Orch Weekly Mgmt'!I102:I102</f>
        <v>11283.531377171725</v>
      </c>
      <c r="J102" s="264">
        <f t="shared" si="14"/>
        <v>-2834.735055505058</v>
      </c>
      <c r="K102" s="265">
        <f t="shared" si="15"/>
        <v>-0.25122764857464319</v>
      </c>
      <c r="L102" s="263">
        <f>'IODA Weekly iTunes'!M102+'Orch Weekly Mgmt'!M102</f>
        <v>35384.831683850716</v>
      </c>
      <c r="M102" s="263">
        <f>'IODA Weekly iTunes'!N102+'Orch Weekly Mgmt'!N102</f>
        <v>34495.274670763109</v>
      </c>
      <c r="N102" s="264">
        <f t="shared" si="12"/>
        <v>889.55701308760763</v>
      </c>
      <c r="O102" s="265">
        <f t="shared" si="13"/>
        <v>2.578779330148551E-2</v>
      </c>
      <c r="Q102" s="235"/>
      <c r="R102" s="169"/>
      <c r="S102" s="169"/>
    </row>
    <row r="103" spans="1:19" s="3" customFormat="1" ht="11.25" x14ac:dyDescent="0.2">
      <c r="A103" s="260" t="s">
        <v>162</v>
      </c>
      <c r="B103" s="261">
        <f>'IODA Weekly iTunes'!B103+'Orch Weekly Mgmt'!B103</f>
        <v>454.62</v>
      </c>
      <c r="C103" s="261">
        <f>'IODA Weekly iTunes'!C103+'Orch Weekly Mgmt'!C103</f>
        <v>332.82</v>
      </c>
      <c r="D103" s="261">
        <f>'IODA Weekly iTunes'!D103+'Orch Weekly Mgmt'!D103</f>
        <v>276.78000000000003</v>
      </c>
      <c r="E103" s="261">
        <f>'IODA Weekly iTunes'!E103+'Orch Weekly Mgmt'!E103</f>
        <v>0</v>
      </c>
      <c r="F103" s="261">
        <f>'IODA Weekly iTunes'!F103+'Orch Weekly Mgmt'!F103</f>
        <v>0</v>
      </c>
      <c r="G103" s="262">
        <f t="shared" si="16"/>
        <v>1064.22</v>
      </c>
      <c r="H103" s="263">
        <f>'IODA Weekly iTunes'!H103+'Orch Weekly Mgmt'!H103</f>
        <v>1773.6999999999998</v>
      </c>
      <c r="I103" s="263">
        <f>'IODA Weekly iTunes'!I103+'Orch Weekly Mgmt'!I103:I103</f>
        <v>1594.9776886327206</v>
      </c>
      <c r="J103" s="264">
        <f t="shared" si="14"/>
        <v>178.72231136727919</v>
      </c>
      <c r="K103" s="265">
        <f t="shared" si="15"/>
        <v>0.11205317330832833</v>
      </c>
      <c r="L103" s="263">
        <f>'IODA Weekly iTunes'!M103+'Orch Weekly Mgmt'!M103</f>
        <v>5132.9100363969792</v>
      </c>
      <c r="M103" s="263">
        <f>'IODA Weekly iTunes'!N103+'Orch Weekly Mgmt'!N103</f>
        <v>4875.887597100138</v>
      </c>
      <c r="N103" s="264">
        <f t="shared" si="12"/>
        <v>257.02243929684118</v>
      </c>
      <c r="O103" s="265">
        <f t="shared" si="13"/>
        <v>5.2712954139816817E-2</v>
      </c>
      <c r="Q103" s="235"/>
      <c r="R103" s="169"/>
      <c r="S103" s="169"/>
    </row>
    <row r="104" spans="1:19" s="3" customFormat="1" ht="11.25" x14ac:dyDescent="0.2">
      <c r="A104" s="260" t="s">
        <v>163</v>
      </c>
      <c r="B104" s="261">
        <f>'IODA Weekly iTunes'!B104+'Orch Weekly Mgmt'!B104</f>
        <v>169.94</v>
      </c>
      <c r="C104" s="261">
        <f>'IODA Weekly iTunes'!C104+'Orch Weekly Mgmt'!C104</f>
        <v>239.3</v>
      </c>
      <c r="D104" s="261">
        <f>'IODA Weekly iTunes'!D104+'Orch Weekly Mgmt'!D104</f>
        <v>206.18</v>
      </c>
      <c r="E104" s="261">
        <f>'IODA Weekly iTunes'!E104+'Orch Weekly Mgmt'!E104</f>
        <v>0</v>
      </c>
      <c r="F104" s="261">
        <f>'IODA Weekly iTunes'!F104+'Orch Weekly Mgmt'!F104</f>
        <v>0</v>
      </c>
      <c r="G104" s="262">
        <f t="shared" si="16"/>
        <v>615.42000000000007</v>
      </c>
      <c r="H104" s="263">
        <f>'IODA Weekly iTunes'!H104+'Orch Weekly Mgmt'!H104</f>
        <v>1025.7</v>
      </c>
      <c r="I104" s="263">
        <f>'IODA Weekly iTunes'!I104+'Orch Weekly Mgmt'!I104:I104</f>
        <v>769.04927535034244</v>
      </c>
      <c r="J104" s="264">
        <f t="shared" si="14"/>
        <v>256.6507246496576</v>
      </c>
      <c r="K104" s="265">
        <f t="shared" si="15"/>
        <v>0.33372468172828029</v>
      </c>
      <c r="L104" s="263">
        <f>'IODA Weekly iTunes'!M104+'Orch Weekly Mgmt'!M104</f>
        <v>3138.4800037860869</v>
      </c>
      <c r="M104" s="263">
        <f>'IODA Weekly iTunes'!N104+'Orch Weekly Mgmt'!N104</f>
        <v>2353.8205335228813</v>
      </c>
      <c r="N104" s="264">
        <f t="shared" si="12"/>
        <v>784.65947026320555</v>
      </c>
      <c r="O104" s="265">
        <f t="shared" si="13"/>
        <v>0.33335569092382461</v>
      </c>
      <c r="Q104" s="235"/>
      <c r="R104" s="169"/>
      <c r="S104" s="169"/>
    </row>
    <row r="105" spans="1:19" s="3" customFormat="1" ht="11.25" x14ac:dyDescent="0.2">
      <c r="A105" s="260" t="s">
        <v>164</v>
      </c>
      <c r="B105" s="261">
        <f>'IODA Weekly iTunes'!B105+'Orch Weekly Mgmt'!B105</f>
        <v>8.4</v>
      </c>
      <c r="C105" s="261">
        <f>'IODA Weekly iTunes'!C105+'Orch Weekly Mgmt'!C105</f>
        <v>9.18</v>
      </c>
      <c r="D105" s="261">
        <f>'IODA Weekly iTunes'!D105+'Orch Weekly Mgmt'!D105</f>
        <v>12.6</v>
      </c>
      <c r="E105" s="261">
        <f>'IODA Weekly iTunes'!E105+'Orch Weekly Mgmt'!E105</f>
        <v>0</v>
      </c>
      <c r="F105" s="261">
        <f>'IODA Weekly iTunes'!F105+'Orch Weekly Mgmt'!F105</f>
        <v>0</v>
      </c>
      <c r="G105" s="262">
        <f t="shared" si="16"/>
        <v>30.18</v>
      </c>
      <c r="H105" s="263">
        <f>'IODA Weekly iTunes'!H105+'Orch Weekly Mgmt'!H105</f>
        <v>52.3</v>
      </c>
      <c r="I105" s="263">
        <f>'IODA Weekly iTunes'!I105+'Orch Weekly Mgmt'!I105:I105</f>
        <v>17.053449549742766</v>
      </c>
      <c r="J105" s="264">
        <f t="shared" si="14"/>
        <v>35.246550450257232</v>
      </c>
      <c r="K105" s="265">
        <f t="shared" si="15"/>
        <v>2.0668282007958263</v>
      </c>
      <c r="L105" s="263">
        <f>'IODA Weekly iTunes'!M105+'Orch Weekly Mgmt'!M105</f>
        <v>89.08000104427343</v>
      </c>
      <c r="M105" s="263">
        <f>'IODA Weekly iTunes'!N105+'Orch Weekly Mgmt'!N105</f>
        <v>52.189073540055197</v>
      </c>
      <c r="N105" s="264">
        <f t="shared" si="12"/>
        <v>36.890927504218233</v>
      </c>
      <c r="O105" s="265">
        <f t="shared" si="13"/>
        <v>0.7068707107035419</v>
      </c>
      <c r="Q105" s="235"/>
      <c r="R105" s="169"/>
      <c r="S105" s="169"/>
    </row>
    <row r="106" spans="1:19" s="3" customFormat="1" ht="11.25" x14ac:dyDescent="0.2">
      <c r="A106" s="260" t="s">
        <v>167</v>
      </c>
      <c r="B106" s="261">
        <f>'IODA Weekly iTunes'!B106+'Orch Weekly Mgmt'!B106</f>
        <v>33.82</v>
      </c>
      <c r="C106" s="261">
        <f>'IODA Weekly iTunes'!C106+'Orch Weekly Mgmt'!C106</f>
        <v>41.55</v>
      </c>
      <c r="D106" s="261">
        <f>'IODA Weekly iTunes'!D106+'Orch Weekly Mgmt'!D106</f>
        <v>36.44</v>
      </c>
      <c r="E106" s="261">
        <f>'IODA Weekly iTunes'!E106+'Orch Weekly Mgmt'!E106</f>
        <v>0</v>
      </c>
      <c r="F106" s="261">
        <f>'IODA Weekly iTunes'!F106+'Orch Weekly Mgmt'!F106</f>
        <v>0</v>
      </c>
      <c r="G106" s="262">
        <f t="shared" si="16"/>
        <v>111.81</v>
      </c>
      <c r="H106" s="263">
        <f>'IODA Weekly iTunes'!H106+'Orch Weekly Mgmt'!H106</f>
        <v>186.34999999999997</v>
      </c>
      <c r="I106" s="263">
        <f>'IODA Weekly iTunes'!I106+'Orch Weekly Mgmt'!I106:I106</f>
        <v>133.57977869526707</v>
      </c>
      <c r="J106" s="264">
        <f t="shared" si="14"/>
        <v>52.7702213047329</v>
      </c>
      <c r="K106" s="265">
        <f t="shared" si="15"/>
        <v>0.39504647949085597</v>
      </c>
      <c r="L106" s="263">
        <f>'IODA Weekly iTunes'!M106+'Orch Weekly Mgmt'!M106</f>
        <v>605.26000211238829</v>
      </c>
      <c r="M106" s="263">
        <f>'IODA Weekly iTunes'!N106+'Orch Weekly Mgmt'!N106</f>
        <v>408.81298776235042</v>
      </c>
      <c r="N106" s="264">
        <f t="shared" si="12"/>
        <v>196.44701435003788</v>
      </c>
      <c r="O106" s="265">
        <f t="shared" si="13"/>
        <v>0.48053026745871313</v>
      </c>
      <c r="Q106" s="235"/>
      <c r="R106" s="169"/>
      <c r="S106" s="169"/>
    </row>
    <row r="107" spans="1:19" s="3" customFormat="1" ht="11.25" x14ac:dyDescent="0.2">
      <c r="A107" s="260" t="s">
        <v>168</v>
      </c>
      <c r="B107" s="261">
        <f>'IODA Weekly iTunes'!B107+'Orch Weekly Mgmt'!B107</f>
        <v>0</v>
      </c>
      <c r="C107" s="261">
        <f>'IODA Weekly iTunes'!C107+'Orch Weekly Mgmt'!C107</f>
        <v>0</v>
      </c>
      <c r="D107" s="261">
        <f>'IODA Weekly iTunes'!D107+'Orch Weekly Mgmt'!D107</f>
        <v>0.61</v>
      </c>
      <c r="E107" s="261">
        <f>'IODA Weekly iTunes'!E107+'Orch Weekly Mgmt'!E107</f>
        <v>0</v>
      </c>
      <c r="F107" s="261">
        <f>'IODA Weekly iTunes'!F107+'Orch Weekly Mgmt'!F107</f>
        <v>0</v>
      </c>
      <c r="G107" s="262">
        <f t="shared" si="16"/>
        <v>0.61</v>
      </c>
      <c r="H107" s="263">
        <f>'IODA Weekly iTunes'!H107+'Orch Weekly Mgmt'!H107</f>
        <v>3.05</v>
      </c>
      <c r="I107" s="263">
        <f>'IODA Weekly iTunes'!I107+'Orch Weekly Mgmt'!I107:I107</f>
        <v>0.69406852422528964</v>
      </c>
      <c r="J107" s="264">
        <f t="shared" si="14"/>
        <v>2.3559314757747103</v>
      </c>
      <c r="K107" s="265">
        <f t="shared" si="15"/>
        <v>3.3943787876051155</v>
      </c>
      <c r="L107" s="263">
        <f>'IODA Weekly iTunes'!M107+'Orch Weekly Mgmt'!M107</f>
        <v>7.9300001144409196</v>
      </c>
      <c r="M107" s="263">
        <f>'IODA Weekly iTunes'!N107+'Orch Weekly Mgmt'!N107</f>
        <v>2.1326257667279629</v>
      </c>
      <c r="N107" s="264">
        <f t="shared" si="12"/>
        <v>5.7973743477129567</v>
      </c>
      <c r="O107" s="265">
        <f t="shared" si="13"/>
        <v>2.7184208491524187</v>
      </c>
      <c r="Q107" s="235"/>
      <c r="R107" s="169"/>
      <c r="S107" s="169"/>
    </row>
    <row r="108" spans="1:19" s="3" customFormat="1" ht="11.25" x14ac:dyDescent="0.2">
      <c r="A108" s="260" t="s">
        <v>169</v>
      </c>
      <c r="B108" s="261">
        <f>'IODA Weekly iTunes'!B108+'Orch Weekly Mgmt'!B108</f>
        <v>61.800000000000004</v>
      </c>
      <c r="C108" s="261">
        <f>'IODA Weekly iTunes'!C108+'Orch Weekly Mgmt'!C108</f>
        <v>85.8</v>
      </c>
      <c r="D108" s="261">
        <f>'IODA Weekly iTunes'!D108+'Orch Weekly Mgmt'!D108</f>
        <v>39.269999999999996</v>
      </c>
      <c r="E108" s="261">
        <f>'IODA Weekly iTunes'!E108+'Orch Weekly Mgmt'!E108</f>
        <v>0</v>
      </c>
      <c r="F108" s="261">
        <f>'IODA Weekly iTunes'!F108+'Orch Weekly Mgmt'!F108</f>
        <v>0</v>
      </c>
      <c r="G108" s="262">
        <f t="shared" si="16"/>
        <v>186.87</v>
      </c>
      <c r="H108" s="263">
        <f>'IODA Weekly iTunes'!H108+'Orch Weekly Mgmt'!H108</f>
        <v>311.44999999999993</v>
      </c>
      <c r="I108" s="263">
        <f>'IODA Weekly iTunes'!I108+'Orch Weekly Mgmt'!I108:I108</f>
        <v>83.710911763002002</v>
      </c>
      <c r="J108" s="264">
        <f t="shared" si="14"/>
        <v>227.73908823699793</v>
      </c>
      <c r="K108" s="265">
        <f t="shared" si="15"/>
        <v>2.7205424411307457</v>
      </c>
      <c r="L108" s="263">
        <f>'IODA Weekly iTunes'!M108+'Orch Weekly Mgmt'!M108</f>
        <v>548.10500221649784</v>
      </c>
      <c r="M108" s="263">
        <f>'IODA Weekly iTunes'!N108+'Orch Weekly Mgmt'!N108</f>
        <v>255.94884553234073</v>
      </c>
      <c r="N108" s="264">
        <f t="shared" si="12"/>
        <v>292.15615668415711</v>
      </c>
      <c r="O108" s="265">
        <f t="shared" si="13"/>
        <v>1.1414630766413882</v>
      </c>
      <c r="Q108" s="235"/>
      <c r="R108" s="169"/>
      <c r="S108" s="169"/>
    </row>
    <row r="109" spans="1:19" s="3" customFormat="1" ht="11.25" x14ac:dyDescent="0.2">
      <c r="A109" s="260" t="s">
        <v>171</v>
      </c>
      <c r="B109" s="261">
        <f>'IODA Weekly iTunes'!B109+'Orch Weekly Mgmt'!B109</f>
        <v>69.81</v>
      </c>
      <c r="C109" s="261">
        <f>'IODA Weekly iTunes'!C109+'Orch Weekly Mgmt'!C109</f>
        <v>61</v>
      </c>
      <c r="D109" s="261">
        <f>'IODA Weekly iTunes'!D109+'Orch Weekly Mgmt'!D109</f>
        <v>128.32</v>
      </c>
      <c r="E109" s="261">
        <f>'IODA Weekly iTunes'!E109+'Orch Weekly Mgmt'!E109</f>
        <v>0</v>
      </c>
      <c r="F109" s="261">
        <f>'IODA Weekly iTunes'!F109+'Orch Weekly Mgmt'!F109</f>
        <v>0</v>
      </c>
      <c r="G109" s="262">
        <f t="shared" si="16"/>
        <v>259.13</v>
      </c>
      <c r="H109" s="263">
        <f>'IODA Weekly iTunes'!H109+'Orch Weekly Mgmt'!H109</f>
        <v>431.88333333333333</v>
      </c>
      <c r="I109" s="263">
        <f>'IODA Weekly iTunes'!I109+'Orch Weekly Mgmt'!I109:I109</f>
        <v>240.7714808871101</v>
      </c>
      <c r="J109" s="264">
        <f t="shared" si="14"/>
        <v>191.11185244622322</v>
      </c>
      <c r="K109" s="265">
        <f t="shared" si="15"/>
        <v>0.7937478796993791</v>
      </c>
      <c r="L109" s="263">
        <f>'IODA Weekly iTunes'!M109+'Orch Weekly Mgmt'!M109</f>
        <v>1041.203332253297</v>
      </c>
      <c r="M109" s="263">
        <f>'IODA Weekly iTunes'!N109+'Orch Weekly Mgmt'!N109</f>
        <v>737.25944020330962</v>
      </c>
      <c r="N109" s="264">
        <f t="shared" si="12"/>
        <v>303.94389204998743</v>
      </c>
      <c r="O109" s="265">
        <f t="shared" si="13"/>
        <v>0.41226178394700602</v>
      </c>
      <c r="Q109" s="235"/>
      <c r="R109" s="169"/>
      <c r="S109" s="169"/>
    </row>
    <row r="110" spans="1:19" s="3" customFormat="1" ht="11.25" x14ac:dyDescent="0.2">
      <c r="A110" s="260" t="s">
        <v>172</v>
      </c>
      <c r="B110" s="261">
        <f>'IODA Weekly iTunes'!B110+'Orch Weekly Mgmt'!B110</f>
        <v>95.160000000000011</v>
      </c>
      <c r="C110" s="261">
        <f>'IODA Weekly iTunes'!C110+'Orch Weekly Mgmt'!C110</f>
        <v>77.22</v>
      </c>
      <c r="D110" s="261">
        <f>'IODA Weekly iTunes'!D110+'Orch Weekly Mgmt'!D110</f>
        <v>102.74</v>
      </c>
      <c r="E110" s="261">
        <f>'IODA Weekly iTunes'!E110+'Orch Weekly Mgmt'!E110</f>
        <v>0</v>
      </c>
      <c r="F110" s="261">
        <f>'IODA Weekly iTunes'!F110+'Orch Weekly Mgmt'!F110</f>
        <v>0</v>
      </c>
      <c r="G110" s="262">
        <f t="shared" si="16"/>
        <v>275.12</v>
      </c>
      <c r="H110" s="263">
        <f>'IODA Weekly iTunes'!H110+'Orch Weekly Mgmt'!H110</f>
        <v>458.5333333333333</v>
      </c>
      <c r="I110" s="263">
        <f>'IODA Weekly iTunes'!I110+'Orch Weekly Mgmt'!I110:I110</f>
        <v>277.80053175388707</v>
      </c>
      <c r="J110" s="264">
        <f t="shared" si="14"/>
        <v>180.73280157944623</v>
      </c>
      <c r="K110" s="265">
        <f t="shared" si="15"/>
        <v>0.65058479347895404</v>
      </c>
      <c r="L110" s="263">
        <f>'IODA Weekly iTunes'!M110+'Orch Weekly Mgmt'!M110</f>
        <v>1155.3533353527387</v>
      </c>
      <c r="M110" s="263">
        <f>'IODA Weekly iTunes'!N110+'Orch Weekly Mgmt'!N110</f>
        <v>849.26629927665681</v>
      </c>
      <c r="N110" s="264">
        <f t="shared" si="12"/>
        <v>306.08703607608186</v>
      </c>
      <c r="O110" s="265">
        <f t="shared" si="13"/>
        <v>0.3604134961398851</v>
      </c>
      <c r="Q110" s="235"/>
      <c r="R110" s="169"/>
      <c r="S110" s="169"/>
    </row>
    <row r="111" spans="1:19" s="3" customFormat="1" ht="11.25" x14ac:dyDescent="0.2">
      <c r="A111" s="260" t="s">
        <v>173</v>
      </c>
      <c r="B111" s="261">
        <f>'IODA Weekly iTunes'!B111+'Orch Weekly Mgmt'!B111</f>
        <v>0</v>
      </c>
      <c r="C111" s="261">
        <f>'IODA Weekly iTunes'!C111+'Orch Weekly Mgmt'!C111</f>
        <v>0</v>
      </c>
      <c r="D111" s="261">
        <f>'IODA Weekly iTunes'!D111+'Orch Weekly Mgmt'!D111</f>
        <v>0</v>
      </c>
      <c r="E111" s="261">
        <f>'IODA Weekly iTunes'!E111+'Orch Weekly Mgmt'!E111</f>
        <v>0</v>
      </c>
      <c r="F111" s="261">
        <f>'IODA Weekly iTunes'!F111+'Orch Weekly Mgmt'!F111</f>
        <v>0</v>
      </c>
      <c r="G111" s="262">
        <f t="shared" si="16"/>
        <v>0</v>
      </c>
      <c r="H111" s="263">
        <f>'IODA Weekly iTunes'!H111+'Orch Weekly Mgmt'!H111</f>
        <v>0</v>
      </c>
      <c r="I111" s="263">
        <f>'IODA Weekly iTunes'!I111+'Orch Weekly Mgmt'!I111:I111</f>
        <v>0.83406242578479517</v>
      </c>
      <c r="J111" s="264">
        <f t="shared" si="14"/>
        <v>-0.83406242578479517</v>
      </c>
      <c r="K111" s="265">
        <f t="shared" si="15"/>
        <v>-1</v>
      </c>
      <c r="L111" s="263">
        <f>'IODA Weekly iTunes'!M111+'Orch Weekly Mgmt'!M111</f>
        <v>2.4800000190734881</v>
      </c>
      <c r="M111" s="263">
        <f>'IODA Weekly iTunes'!N111+'Orch Weekly Mgmt'!N111</f>
        <v>2.5483028088109569</v>
      </c>
      <c r="N111" s="264">
        <f t="shared" si="12"/>
        <v>-6.8302789737468839E-2</v>
      </c>
      <c r="O111" s="265">
        <f t="shared" si="13"/>
        <v>-2.6803247047920122E-2</v>
      </c>
      <c r="Q111" s="235"/>
      <c r="R111" s="169"/>
      <c r="S111" s="169"/>
    </row>
    <row r="112" spans="1:19" s="3" customFormat="1" ht="11.25" x14ac:dyDescent="0.2">
      <c r="A112" s="260" t="s">
        <v>175</v>
      </c>
      <c r="B112" s="261">
        <f>'IODA Weekly iTunes'!B112+'Orch Weekly Mgmt'!B112</f>
        <v>0.61</v>
      </c>
      <c r="C112" s="261">
        <f>'IODA Weekly iTunes'!C112+'Orch Weekly Mgmt'!C112</f>
        <v>0</v>
      </c>
      <c r="D112" s="261">
        <f>'IODA Weekly iTunes'!D112+'Orch Weekly Mgmt'!D112</f>
        <v>0</v>
      </c>
      <c r="E112" s="261">
        <f>'IODA Weekly iTunes'!E112+'Orch Weekly Mgmt'!E112</f>
        <v>0</v>
      </c>
      <c r="F112" s="261">
        <f>'IODA Weekly iTunes'!F112+'Orch Weekly Mgmt'!F112</f>
        <v>0</v>
      </c>
      <c r="G112" s="262">
        <f t="shared" si="16"/>
        <v>0.61</v>
      </c>
      <c r="H112" s="263">
        <f>'IODA Weekly iTunes'!H112+'Orch Weekly Mgmt'!H112</f>
        <v>3.05</v>
      </c>
      <c r="I112" s="263">
        <f>'IODA Weekly iTunes'!I112+'Orch Weekly Mgmt'!I112:I112</f>
        <v>17.931387518088339</v>
      </c>
      <c r="J112" s="264">
        <f t="shared" si="14"/>
        <v>-14.881387518088339</v>
      </c>
      <c r="K112" s="265">
        <f t="shared" si="15"/>
        <v>-0.82990719502752897</v>
      </c>
      <c r="L112" s="263">
        <f>'IODA Weekly iTunes'!M112+'Orch Weekly Mgmt'!M112</f>
        <v>120.4749997735023</v>
      </c>
      <c r="M112" s="263">
        <f>'IODA Weekly iTunes'!N112+'Orch Weekly Mgmt'!N112</f>
        <v>54.933006269387434</v>
      </c>
      <c r="N112" s="264">
        <f t="shared" si="12"/>
        <v>65.54199350411487</v>
      </c>
      <c r="O112" s="265">
        <f t="shared" si="13"/>
        <v>1.1931259174621127</v>
      </c>
      <c r="Q112" s="235"/>
      <c r="R112" s="169"/>
      <c r="S112" s="169"/>
    </row>
    <row r="113" spans="1:19" s="3" customFormat="1" ht="11.25" x14ac:dyDescent="0.2">
      <c r="A113" s="260" t="s">
        <v>176</v>
      </c>
      <c r="B113" s="261">
        <f>'IODA Weekly iTunes'!B113+'Orch Weekly Mgmt'!B113</f>
        <v>868.66000000000008</v>
      </c>
      <c r="C113" s="261">
        <f>'IODA Weekly iTunes'!C113+'Orch Weekly Mgmt'!C113</f>
        <v>707.65</v>
      </c>
      <c r="D113" s="261">
        <f>'IODA Weekly iTunes'!D113+'Orch Weekly Mgmt'!D113</f>
        <v>647.81999999999994</v>
      </c>
      <c r="E113" s="261">
        <f>'IODA Weekly iTunes'!E113+'Orch Weekly Mgmt'!E113</f>
        <v>0</v>
      </c>
      <c r="F113" s="261">
        <f>'IODA Weekly iTunes'!F113+'Orch Weekly Mgmt'!F113</f>
        <v>0</v>
      </c>
      <c r="G113" s="262">
        <f t="shared" si="16"/>
        <v>2224.13</v>
      </c>
      <c r="H113" s="263">
        <f>'IODA Weekly iTunes'!H113+'Orch Weekly Mgmt'!H113</f>
        <v>3706.8833333333332</v>
      </c>
      <c r="I113" s="263">
        <f>'IODA Weekly iTunes'!I113+'Orch Weekly Mgmt'!I113:I113</f>
        <v>2724.8520450010915</v>
      </c>
      <c r="J113" s="264">
        <f t="shared" si="14"/>
        <v>982.03128833224173</v>
      </c>
      <c r="K113" s="265">
        <f t="shared" si="15"/>
        <v>0.36039802239311985</v>
      </c>
      <c r="L113" s="263">
        <f>'IODA Weekly iTunes'!M113+'Orch Weekly Mgmt'!M113</f>
        <v>12276.313326426343</v>
      </c>
      <c r="M113" s="263">
        <f>'IODA Weekly iTunes'!N113+'Orch Weekly Mgmt'!N113</f>
        <v>8332.5565895521104</v>
      </c>
      <c r="N113" s="264">
        <f t="shared" si="12"/>
        <v>3943.756736874233</v>
      </c>
      <c r="O113" s="265">
        <f t="shared" si="13"/>
        <v>0.47329492389156602</v>
      </c>
      <c r="Q113" s="235"/>
      <c r="R113" s="169"/>
      <c r="S113" s="169"/>
    </row>
    <row r="114" spans="1:19" s="3" customFormat="1" ht="11.25" x14ac:dyDescent="0.2">
      <c r="A114" s="260" t="s">
        <v>178</v>
      </c>
      <c r="B114" s="261">
        <f>'IODA Weekly iTunes'!B114+'Orch Weekly Mgmt'!B114</f>
        <v>37.82</v>
      </c>
      <c r="C114" s="261">
        <f>'IODA Weekly iTunes'!C114+'Orch Weekly Mgmt'!C114</f>
        <v>7.59</v>
      </c>
      <c r="D114" s="261">
        <f>'IODA Weekly iTunes'!D114+'Orch Weekly Mgmt'!D114</f>
        <v>74.419999999999987</v>
      </c>
      <c r="E114" s="261">
        <f>'IODA Weekly iTunes'!E114+'Orch Weekly Mgmt'!E114</f>
        <v>0</v>
      </c>
      <c r="F114" s="261">
        <f>'IODA Weekly iTunes'!F114+'Orch Weekly Mgmt'!F114</f>
        <v>0</v>
      </c>
      <c r="G114" s="262">
        <f t="shared" si="16"/>
        <v>119.82999999999998</v>
      </c>
      <c r="H114" s="263">
        <f>'IODA Weekly iTunes'!H114+'Orch Weekly Mgmt'!H114</f>
        <v>199.71666666666664</v>
      </c>
      <c r="I114" s="263">
        <f>'IODA Weekly iTunes'!I114+'Orch Weekly Mgmt'!I114:I114</f>
        <v>67.405257670812574</v>
      </c>
      <c r="J114" s="264">
        <f t="shared" ref="J114:J125" si="17">H114-I114</f>
        <v>132.31140899585407</v>
      </c>
      <c r="K114" s="265">
        <f t="shared" si="15"/>
        <v>1.9629241630085299</v>
      </c>
      <c r="L114" s="263">
        <f>'IODA Weekly iTunes'!M114+'Orch Weekly Mgmt'!M114</f>
        <v>414.2516659180323</v>
      </c>
      <c r="M114" s="263">
        <f>'IODA Weekly iTunes'!N114+'Orch Weekly Mgmt'!N114</f>
        <v>206.05486678876309</v>
      </c>
      <c r="N114" s="264">
        <f t="shared" si="12"/>
        <v>208.19679912926921</v>
      </c>
      <c r="O114" s="265">
        <f t="shared" si="13"/>
        <v>1.010394961176539</v>
      </c>
      <c r="Q114" s="235"/>
      <c r="R114" s="169"/>
      <c r="S114" s="169"/>
    </row>
    <row r="115" spans="1:19" s="3" customFormat="1" ht="11.25" x14ac:dyDescent="0.2">
      <c r="A115" s="260" t="s">
        <v>183</v>
      </c>
      <c r="B115" s="261">
        <f>'IODA Weekly iTunes'!B115+'Orch Weekly Mgmt'!B115</f>
        <v>4.2699999999999996</v>
      </c>
      <c r="C115" s="261">
        <f>'IODA Weekly iTunes'!C115+'Orch Weekly Mgmt'!C115</f>
        <v>11.95</v>
      </c>
      <c r="D115" s="261">
        <f>'IODA Weekly iTunes'!D115+'Orch Weekly Mgmt'!D115</f>
        <v>21.189999999999998</v>
      </c>
      <c r="E115" s="261">
        <f>'IODA Weekly iTunes'!E115+'Orch Weekly Mgmt'!E115</f>
        <v>0</v>
      </c>
      <c r="F115" s="261">
        <f>'IODA Weekly iTunes'!F115+'Orch Weekly Mgmt'!F115</f>
        <v>0</v>
      </c>
      <c r="G115" s="262">
        <f t="shared" si="16"/>
        <v>37.409999999999997</v>
      </c>
      <c r="H115" s="263">
        <f>'IODA Weekly iTunes'!H115+'Orch Weekly Mgmt'!H115</f>
        <v>62.349999999999994</v>
      </c>
      <c r="I115" s="263">
        <f>'IODA Weekly iTunes'!I115+'Orch Weekly Mgmt'!I115:I115</f>
        <v>30.386333774437453</v>
      </c>
      <c r="J115" s="264">
        <f t="shared" si="17"/>
        <v>31.963666225562541</v>
      </c>
      <c r="K115" s="265">
        <f t="shared" si="15"/>
        <v>1.0519092715440392</v>
      </c>
      <c r="L115" s="263">
        <f>'IODA Weekly iTunes'!M115+'Orch Weekly Mgmt'!M115</f>
        <v>149.79166780511542</v>
      </c>
      <c r="M115" s="263">
        <f>'IODA Weekly iTunes'!N115+'Orch Weekly Mgmt'!N115</f>
        <v>93.011377857623415</v>
      </c>
      <c r="N115" s="264">
        <f t="shared" si="12"/>
        <v>56.780289947492008</v>
      </c>
      <c r="O115" s="265">
        <f t="shared" si="13"/>
        <v>0.61046606614524168</v>
      </c>
      <c r="Q115" s="235"/>
      <c r="R115" s="169"/>
      <c r="S115" s="169"/>
    </row>
    <row r="116" spans="1:19" s="3" customFormat="1" ht="11.25" x14ac:dyDescent="0.2">
      <c r="A116" s="260" t="s">
        <v>185</v>
      </c>
      <c r="B116" s="261">
        <f>'IODA Weekly iTunes'!B116+'Orch Weekly Mgmt'!B116</f>
        <v>6301.2280000000001</v>
      </c>
      <c r="C116" s="261">
        <f>'IODA Weekly iTunes'!C116+'Orch Weekly Mgmt'!C116</f>
        <v>6358.1</v>
      </c>
      <c r="D116" s="261">
        <f>'IODA Weekly iTunes'!D116+'Orch Weekly Mgmt'!D116</f>
        <v>6016.652</v>
      </c>
      <c r="E116" s="261">
        <f>'IODA Weekly iTunes'!E116+'Orch Weekly Mgmt'!E116</f>
        <v>0</v>
      </c>
      <c r="F116" s="261">
        <f>'IODA Weekly iTunes'!F116+'Orch Weekly Mgmt'!F116</f>
        <v>0</v>
      </c>
      <c r="G116" s="262">
        <f t="shared" si="16"/>
        <v>18675.980000000003</v>
      </c>
      <c r="H116" s="263">
        <f>'IODA Weekly iTunes'!H116+'Orch Weekly Mgmt'!H116</f>
        <v>31126.633333333335</v>
      </c>
      <c r="I116" s="263">
        <f>'IODA Weekly iTunes'!I116+'Orch Weekly Mgmt'!I116:I116</f>
        <v>20642.601009576218</v>
      </c>
      <c r="J116" s="264">
        <f t="shared" si="17"/>
        <v>10484.032323757117</v>
      </c>
      <c r="K116" s="265">
        <f t="shared" si="15"/>
        <v>0.5078833001177282</v>
      </c>
      <c r="L116" s="263">
        <f>'IODA Weekly iTunes'!M116+'Orch Weekly Mgmt'!M116</f>
        <v>86988.322645314518</v>
      </c>
      <c r="M116" s="263">
        <f>'IODA Weekly iTunes'!N116+'Orch Weekly Mgmt'!N116</f>
        <v>63151.658500937825</v>
      </c>
      <c r="N116" s="264">
        <f t="shared" si="12"/>
        <v>23836.664144376693</v>
      </c>
      <c r="O116" s="265">
        <f t="shared" si="13"/>
        <v>0.37745111862775083</v>
      </c>
      <c r="Q116" s="235"/>
      <c r="R116" s="169"/>
      <c r="S116" s="169"/>
    </row>
    <row r="117" spans="1:19" s="3" customFormat="1" ht="11.25" x14ac:dyDescent="0.2">
      <c r="A117" s="260" t="s">
        <v>187</v>
      </c>
      <c r="B117" s="261">
        <f>'IODA Weekly iTunes'!B117+'Orch Weekly Mgmt'!B117</f>
        <v>0</v>
      </c>
      <c r="C117" s="261">
        <f>'IODA Weekly iTunes'!C117+'Orch Weekly Mgmt'!C117</f>
        <v>0</v>
      </c>
      <c r="D117" s="261">
        <f>'IODA Weekly iTunes'!D117+'Orch Weekly Mgmt'!D117</f>
        <v>0</v>
      </c>
      <c r="E117" s="261">
        <f>'IODA Weekly iTunes'!E117+'Orch Weekly Mgmt'!E117</f>
        <v>0</v>
      </c>
      <c r="F117" s="261">
        <f>'IODA Weekly iTunes'!F117+'Orch Weekly Mgmt'!F117</f>
        <v>0</v>
      </c>
      <c r="G117" s="262">
        <f t="shared" si="16"/>
        <v>0</v>
      </c>
      <c r="H117" s="263">
        <f>'IODA Weekly iTunes'!H117+'Orch Weekly Mgmt'!H117</f>
        <v>0</v>
      </c>
      <c r="I117" s="263">
        <f>'IODA Weekly iTunes'!I117+'Orch Weekly Mgmt'!I117:I117</f>
        <v>3.8271127087140808</v>
      </c>
      <c r="J117" s="264">
        <f t="shared" si="17"/>
        <v>-3.8271127087140808</v>
      </c>
      <c r="K117" s="265">
        <f t="shared" si="15"/>
        <v>-1</v>
      </c>
      <c r="L117" s="263">
        <f>'IODA Weekly iTunes'!M117+'Orch Weekly Mgmt'!M117</f>
        <v>40.870000004768364</v>
      </c>
      <c r="M117" s="263">
        <f>'IODA Weekly iTunes'!N117+'Orch Weekly Mgmt'!N117</f>
        <v>11.722329905835199</v>
      </c>
      <c r="N117" s="264">
        <f t="shared" si="12"/>
        <v>29.147670098933165</v>
      </c>
      <c r="O117" s="265">
        <f t="shared" si="13"/>
        <v>2.4865082567266676</v>
      </c>
      <c r="Q117" s="235"/>
      <c r="R117" s="169"/>
      <c r="S117" s="169"/>
    </row>
    <row r="118" spans="1:19" s="3" customFormat="1" ht="11.25" x14ac:dyDescent="0.2">
      <c r="A118" s="260" t="s">
        <v>189</v>
      </c>
      <c r="B118" s="261">
        <f>'IODA Weekly iTunes'!B118+'Orch Weekly Mgmt'!B118</f>
        <v>0</v>
      </c>
      <c r="C118" s="261">
        <f>'IODA Weekly iTunes'!C118+'Orch Weekly Mgmt'!C118</f>
        <v>1.2</v>
      </c>
      <c r="D118" s="261">
        <f>'IODA Weekly iTunes'!D118+'Orch Weekly Mgmt'!D118</f>
        <v>19.799999999999997</v>
      </c>
      <c r="E118" s="261">
        <f>'IODA Weekly iTunes'!E118+'Orch Weekly Mgmt'!E118</f>
        <v>0</v>
      </c>
      <c r="F118" s="261">
        <f>'IODA Weekly iTunes'!F118+'Orch Weekly Mgmt'!F118</f>
        <v>0</v>
      </c>
      <c r="G118" s="262">
        <f t="shared" si="16"/>
        <v>20.999999999999996</v>
      </c>
      <c r="H118" s="263">
        <f>'IODA Weekly iTunes'!H118+'Orch Weekly Mgmt'!H118</f>
        <v>52.5</v>
      </c>
      <c r="I118" s="263">
        <f>'IODA Weekly iTunes'!I118+'Orch Weekly Mgmt'!I118:I118</f>
        <v>10.12461539897873</v>
      </c>
      <c r="J118" s="264">
        <f t="shared" si="17"/>
        <v>42.375384601021267</v>
      </c>
      <c r="K118" s="265">
        <f t="shared" si="15"/>
        <v>4.1853821534095683</v>
      </c>
      <c r="L118" s="263">
        <f>'IODA Weekly iTunes'!M118+'Orch Weekly Mgmt'!M118</f>
        <v>92.100000530481339</v>
      </c>
      <c r="M118" s="263">
        <f>'IODA Weekly iTunes'!N118+'Orch Weekly Mgmt'!N118</f>
        <v>31.012270738177726</v>
      </c>
      <c r="N118" s="264">
        <f t="shared" si="12"/>
        <v>61.087729792303612</v>
      </c>
      <c r="O118" s="265">
        <f t="shared" si="13"/>
        <v>1.9697922254077778</v>
      </c>
      <c r="Q118" s="235"/>
      <c r="R118" s="169"/>
      <c r="S118" s="169"/>
    </row>
    <row r="119" spans="1:19" s="3" customFormat="1" ht="11.25" x14ac:dyDescent="0.2">
      <c r="A119" s="260" t="s">
        <v>191</v>
      </c>
      <c r="B119" s="261">
        <f>'IODA Weekly iTunes'!B119+'Orch Weekly Mgmt'!B119</f>
        <v>112.38</v>
      </c>
      <c r="C119" s="261">
        <f>'IODA Weekly iTunes'!C119+'Orch Weekly Mgmt'!C119</f>
        <v>64.06</v>
      </c>
      <c r="D119" s="261">
        <f>'IODA Weekly iTunes'!D119+'Orch Weekly Mgmt'!D119</f>
        <v>116.39000000000001</v>
      </c>
      <c r="E119" s="261">
        <f>'IODA Weekly iTunes'!E119+'Orch Weekly Mgmt'!E119</f>
        <v>0</v>
      </c>
      <c r="F119" s="261">
        <f>'IODA Weekly iTunes'!F119+'Orch Weekly Mgmt'!F119</f>
        <v>0</v>
      </c>
      <c r="G119" s="262">
        <f t="shared" si="16"/>
        <v>292.83000000000004</v>
      </c>
      <c r="H119" s="263">
        <f>'IODA Weekly iTunes'!H119+'Orch Weekly Mgmt'!H119</f>
        <v>488.05000000000007</v>
      </c>
      <c r="I119" s="263">
        <f>'IODA Weekly iTunes'!I119+'Orch Weekly Mgmt'!I119:I119</f>
        <v>437.51943382859724</v>
      </c>
      <c r="J119" s="264">
        <f t="shared" si="17"/>
        <v>50.530566171402825</v>
      </c>
      <c r="K119" s="265">
        <f t="shared" si="15"/>
        <v>0.11549330672977305</v>
      </c>
      <c r="L119" s="263">
        <f>'IODA Weekly iTunes'!M119+'Orch Weekly Mgmt'!M119</f>
        <v>1451.2800058007238</v>
      </c>
      <c r="M119" s="263">
        <f>'IODA Weekly iTunes'!N119+'Orch Weekly Mgmt'!N119</f>
        <v>1339.4006043572763</v>
      </c>
      <c r="N119" s="264">
        <f t="shared" si="12"/>
        <v>111.87940144344748</v>
      </c>
      <c r="O119" s="265">
        <f t="shared" si="13"/>
        <v>8.3529454204729014E-2</v>
      </c>
      <c r="Q119" s="235"/>
      <c r="R119" s="169"/>
      <c r="S119" s="169"/>
    </row>
    <row r="120" spans="1:19" s="3" customFormat="1" ht="11.25" x14ac:dyDescent="0.2">
      <c r="A120" s="260" t="s">
        <v>193</v>
      </c>
      <c r="B120" s="261">
        <f>'IODA Weekly iTunes'!B120+'Orch Weekly Mgmt'!B120</f>
        <v>0.6</v>
      </c>
      <c r="C120" s="261">
        <f>'IODA Weekly iTunes'!C120+'Orch Weekly Mgmt'!C120</f>
        <v>1.2</v>
      </c>
      <c r="D120" s="261">
        <f>'IODA Weekly iTunes'!D120+'Orch Weekly Mgmt'!D120</f>
        <v>1.8</v>
      </c>
      <c r="E120" s="261">
        <f>'IODA Weekly iTunes'!E120+'Orch Weekly Mgmt'!E120</f>
        <v>0</v>
      </c>
      <c r="F120" s="261">
        <f>'IODA Weekly iTunes'!F120+'Orch Weekly Mgmt'!F120</f>
        <v>0</v>
      </c>
      <c r="G120" s="262">
        <f t="shared" si="16"/>
        <v>3.5999999999999996</v>
      </c>
      <c r="H120" s="263">
        <f>'IODA Weekly iTunes'!H120+'Orch Weekly Mgmt'!H120</f>
        <v>6</v>
      </c>
      <c r="I120" s="263">
        <f>'IODA Weekly iTunes'!I120+'Orch Weekly Mgmt'!I120:I120</f>
        <v>11.223314284137309</v>
      </c>
      <c r="J120" s="264">
        <f t="shared" si="17"/>
        <v>-5.2233142841373095</v>
      </c>
      <c r="K120" s="265">
        <f t="shared" si="15"/>
        <v>-0.46539855802842328</v>
      </c>
      <c r="L120" s="263">
        <f>'IODA Weekly iTunes'!M120+'Orch Weekly Mgmt'!M120</f>
        <v>61.950001269578927</v>
      </c>
      <c r="M120" s="263">
        <f>'IODA Weekly iTunes'!N120+'Orch Weekly Mgmt'!N120</f>
        <v>34.298953824296539</v>
      </c>
      <c r="N120" s="264">
        <f t="shared" si="12"/>
        <v>27.651047445282387</v>
      </c>
      <c r="O120" s="265">
        <f t="shared" si="13"/>
        <v>0.80617757576311444</v>
      </c>
      <c r="Q120" s="235"/>
      <c r="R120" s="169"/>
      <c r="S120" s="169"/>
    </row>
    <row r="121" spans="1:19" s="3" customFormat="1" ht="11.25" x14ac:dyDescent="0.2">
      <c r="A121" s="260" t="s">
        <v>194</v>
      </c>
      <c r="B121" s="261">
        <f>'IODA Weekly iTunes'!B121+'Orch Weekly Mgmt'!B121</f>
        <v>3.05</v>
      </c>
      <c r="C121" s="261">
        <f>'IODA Weekly iTunes'!C121+'Orch Weekly Mgmt'!C121</f>
        <v>6.71</v>
      </c>
      <c r="D121" s="261">
        <f>'IODA Weekly iTunes'!D121+'Orch Weekly Mgmt'!D121</f>
        <v>15.25</v>
      </c>
      <c r="E121" s="261">
        <f>'IODA Weekly iTunes'!E121+'Orch Weekly Mgmt'!E121</f>
        <v>0</v>
      </c>
      <c r="F121" s="261">
        <f>'IODA Weekly iTunes'!F121+'Orch Weekly Mgmt'!F121</f>
        <v>0</v>
      </c>
      <c r="G121" s="262">
        <f t="shared" si="16"/>
        <v>25.009999999999998</v>
      </c>
      <c r="H121" s="263">
        <f>'IODA Weekly iTunes'!H121+'Orch Weekly Mgmt'!H121</f>
        <v>43.208333333333336</v>
      </c>
      <c r="I121" s="263">
        <f>'IODA Weekly iTunes'!I121+'Orch Weekly Mgmt'!I121:I121</f>
        <v>55.829467113863252</v>
      </c>
      <c r="J121" s="264">
        <f t="shared" si="17"/>
        <v>-12.621133780529917</v>
      </c>
      <c r="K121" s="265">
        <f t="shared" si="15"/>
        <v>-0.22606581135351567</v>
      </c>
      <c r="L121" s="263">
        <f>'IODA Weekly iTunes'!M121+'Orch Weekly Mgmt'!M121</f>
        <v>172.24833335479099</v>
      </c>
      <c r="M121" s="263">
        <f>'IODA Weekly iTunes'!N121+'Orch Weekly Mgmt'!N121</f>
        <v>170.72386608883687</v>
      </c>
      <c r="N121" s="264">
        <f t="shared" si="12"/>
        <v>1.5244672659541152</v>
      </c>
      <c r="O121" s="265">
        <f t="shared" si="13"/>
        <v>8.9294326615170037E-3</v>
      </c>
      <c r="Q121" s="235"/>
      <c r="R121" s="169"/>
      <c r="S121" s="169"/>
    </row>
    <row r="122" spans="1:19" s="3" customFormat="1" ht="11.25" x14ac:dyDescent="0.2">
      <c r="A122" s="260" t="s">
        <v>195</v>
      </c>
      <c r="B122" s="261">
        <f>'IODA Weekly iTunes'!B122+'Orch Weekly Mgmt'!B122</f>
        <v>529.14</v>
      </c>
      <c r="C122" s="261">
        <f>'IODA Weekly iTunes'!C122+'Orch Weekly Mgmt'!C122</f>
        <v>746.04</v>
      </c>
      <c r="D122" s="261">
        <f>'IODA Weekly iTunes'!D122+'Orch Weekly Mgmt'!D122</f>
        <v>407.94</v>
      </c>
      <c r="E122" s="261">
        <f>'IODA Weekly iTunes'!E122+'Orch Weekly Mgmt'!E122</f>
        <v>0</v>
      </c>
      <c r="F122" s="261">
        <f>'IODA Weekly iTunes'!F122+'Orch Weekly Mgmt'!F122</f>
        <v>0</v>
      </c>
      <c r="G122" s="262">
        <f t="shared" si="16"/>
        <v>1683.12</v>
      </c>
      <c r="H122" s="263">
        <f>'IODA Weekly iTunes'!H122+'Orch Weekly Mgmt'!H122</f>
        <v>2805.2</v>
      </c>
      <c r="I122" s="263">
        <f>'IODA Weekly iTunes'!I122+'Orch Weekly Mgmt'!I122:I122</f>
        <v>1800.9823107945376</v>
      </c>
      <c r="J122" s="264">
        <f t="shared" si="17"/>
        <v>1004.2176892054622</v>
      </c>
      <c r="K122" s="265">
        <f t="shared" si="15"/>
        <v>0.55759442121473834</v>
      </c>
      <c r="L122" s="263">
        <f>'IODA Weekly iTunes'!M122+'Orch Weekly Mgmt'!M122</f>
        <v>7313.3299764811973</v>
      </c>
      <c r="M122" s="263">
        <f>'IODA Weekly iTunes'!N122+'Orch Weekly Mgmt'!N122</f>
        <v>5504.5468149290309</v>
      </c>
      <c r="N122" s="264">
        <f t="shared" si="12"/>
        <v>1808.7831615521663</v>
      </c>
      <c r="O122" s="265">
        <f t="shared" si="13"/>
        <v>0.3285980158523707</v>
      </c>
      <c r="Q122" s="235"/>
      <c r="R122" s="169"/>
      <c r="S122" s="169"/>
    </row>
    <row r="123" spans="1:19" s="3" customFormat="1" ht="11.25" x14ac:dyDescent="0.2">
      <c r="A123" s="260" t="s">
        <v>196</v>
      </c>
      <c r="B123" s="261">
        <f>'IODA Weekly iTunes'!B123+'Orch Weekly Mgmt'!B123</f>
        <v>22.2</v>
      </c>
      <c r="C123" s="261">
        <f>'IODA Weekly iTunes'!C123+'Orch Weekly Mgmt'!C123</f>
        <v>17.399999999999999</v>
      </c>
      <c r="D123" s="261">
        <f>'IODA Weekly iTunes'!D123+'Orch Weekly Mgmt'!D123</f>
        <v>4.2</v>
      </c>
      <c r="E123" s="261">
        <f>'IODA Weekly iTunes'!E123+'Orch Weekly Mgmt'!E123</f>
        <v>0</v>
      </c>
      <c r="F123" s="261">
        <f>'IODA Weekly iTunes'!F123+'Orch Weekly Mgmt'!F123</f>
        <v>0</v>
      </c>
      <c r="G123" s="262">
        <f t="shared" si="16"/>
        <v>43.8</v>
      </c>
      <c r="H123" s="263">
        <f>'IODA Weekly iTunes'!H123+'Orch Weekly Mgmt'!H123</f>
        <v>78.5</v>
      </c>
      <c r="I123" s="263">
        <f>'IODA Weekly iTunes'!I123+'Orch Weekly Mgmt'!I123:I123</f>
        <v>28.007209362151826</v>
      </c>
      <c r="J123" s="264">
        <f t="shared" si="17"/>
        <v>50.492790637848174</v>
      </c>
      <c r="K123" s="265">
        <f t="shared" si="15"/>
        <v>1.8028497586083225</v>
      </c>
      <c r="L123" s="263">
        <f>'IODA Weekly iTunes'!M123+'Orch Weekly Mgmt'!M123</f>
        <v>135.19000132878622</v>
      </c>
      <c r="M123" s="263">
        <f>'IODA Weekly iTunes'!N123+'Orch Weekly Mgmt'!N123</f>
        <v>85.581480292574525</v>
      </c>
      <c r="N123" s="264">
        <f t="shared" si="12"/>
        <v>49.608521036211698</v>
      </c>
      <c r="O123" s="265">
        <f t="shared" si="13"/>
        <v>0.57966420850184774</v>
      </c>
      <c r="Q123" s="235"/>
      <c r="R123" s="169"/>
      <c r="S123" s="169"/>
    </row>
    <row r="124" spans="1:19" s="3" customFormat="1" ht="11.25" x14ac:dyDescent="0.2">
      <c r="A124" s="260" t="s">
        <v>199</v>
      </c>
      <c r="B124" s="261">
        <f>'IODA Weekly iTunes'!B124+'Orch Weekly Mgmt'!B124</f>
        <v>13.419999999999998</v>
      </c>
      <c r="C124" s="261">
        <f>'IODA Weekly iTunes'!C124+'Orch Weekly Mgmt'!C124</f>
        <v>12.81</v>
      </c>
      <c r="D124" s="261">
        <f>'IODA Weekly iTunes'!D124+'Orch Weekly Mgmt'!D124</f>
        <v>1.83</v>
      </c>
      <c r="E124" s="261">
        <f>'IODA Weekly iTunes'!E124+'Orch Weekly Mgmt'!E124</f>
        <v>0</v>
      </c>
      <c r="F124" s="261">
        <f>'IODA Weekly iTunes'!F124+'Orch Weekly Mgmt'!F124</f>
        <v>0</v>
      </c>
      <c r="G124" s="262">
        <f t="shared" si="16"/>
        <v>28.059999999999995</v>
      </c>
      <c r="H124" s="263">
        <f>'IODA Weekly iTunes'!H124+'Orch Weekly Mgmt'!H124</f>
        <v>46.766666666666666</v>
      </c>
      <c r="I124" s="263">
        <f>'IODA Weekly iTunes'!I124+'Orch Weekly Mgmt'!I124:I124</f>
        <v>45.968652107033513</v>
      </c>
      <c r="J124" s="264">
        <f t="shared" si="17"/>
        <v>0.79801455963315249</v>
      </c>
      <c r="K124" s="265">
        <f t="shared" si="15"/>
        <v>1.7359973004539127E-2</v>
      </c>
      <c r="L124" s="263">
        <f>'IODA Weekly iTunes'!M124+'Orch Weekly Mgmt'!M124</f>
        <v>185.17333213090885</v>
      </c>
      <c r="M124" s="263">
        <f>'IODA Weekly iTunes'!N124+'Orch Weekly Mgmt'!N124</f>
        <v>140.66428976502522</v>
      </c>
      <c r="N124" s="264">
        <f t="shared" si="12"/>
        <v>44.50904236588363</v>
      </c>
      <c r="O124" s="265">
        <f t="shared" si="13"/>
        <v>0.31642033980503814</v>
      </c>
      <c r="Q124" s="235"/>
      <c r="R124" s="169"/>
      <c r="S124" s="169"/>
    </row>
    <row r="125" spans="1:19" s="3" customFormat="1" ht="11.25" x14ac:dyDescent="0.2">
      <c r="A125" s="260" t="s">
        <v>200</v>
      </c>
      <c r="B125" s="261">
        <f>'IODA Weekly iTunes'!B125+'Orch Weekly Mgmt'!B125</f>
        <v>12.809999999999999</v>
      </c>
      <c r="C125" s="261">
        <f>'IODA Weekly iTunes'!C125+'Orch Weekly Mgmt'!C125</f>
        <v>33.549999999999997</v>
      </c>
      <c r="D125" s="261">
        <f>'IODA Weekly iTunes'!D125+'Orch Weekly Mgmt'!D125</f>
        <v>25.009999999999998</v>
      </c>
      <c r="E125" s="261">
        <f>'IODA Weekly iTunes'!E125+'Orch Weekly Mgmt'!E125</f>
        <v>0</v>
      </c>
      <c r="F125" s="261">
        <f>'IODA Weekly iTunes'!F125+'Orch Weekly Mgmt'!F125</f>
        <v>0</v>
      </c>
      <c r="G125" s="262">
        <f t="shared" si="16"/>
        <v>71.37</v>
      </c>
      <c r="H125" s="263">
        <f>'IODA Weekly iTunes'!H125+'Orch Weekly Mgmt'!H125</f>
        <v>118.94999999999999</v>
      </c>
      <c r="I125" s="263">
        <f>'IODA Weekly iTunes'!I125+'Orch Weekly Mgmt'!I125:I125</f>
        <v>58.723023577416448</v>
      </c>
      <c r="J125" s="264">
        <f t="shared" si="17"/>
        <v>60.22697642258354</v>
      </c>
      <c r="K125" s="265">
        <f t="shared" si="15"/>
        <v>1.0256109572284606</v>
      </c>
      <c r="L125" s="263">
        <f>'IODA Weekly iTunes'!M125+'Orch Weekly Mgmt'!M125</f>
        <v>355.65000076293944</v>
      </c>
      <c r="M125" s="263">
        <f>'IODA Weekly iTunes'!N125+'Orch Weekly Mgmt'!N125</f>
        <v>179.61074401564463</v>
      </c>
      <c r="N125" s="264">
        <f t="shared" si="12"/>
        <v>176.03925674729481</v>
      </c>
      <c r="O125" s="265">
        <f>N125/M125</f>
        <v>0.98011540296253807</v>
      </c>
      <c r="Q125" s="235"/>
      <c r="R125" s="169"/>
      <c r="S125" s="169"/>
    </row>
    <row r="126" spans="1:19" x14ac:dyDescent="0.2">
      <c r="A126" s="239"/>
      <c r="B126" s="248"/>
      <c r="C126" s="248"/>
      <c r="D126" s="248"/>
      <c r="E126" s="249"/>
      <c r="F126" s="249"/>
      <c r="G126" s="249"/>
      <c r="H126" s="244"/>
      <c r="I126" s="259"/>
      <c r="J126" s="250"/>
      <c r="K126" s="247"/>
      <c r="L126" s="85"/>
      <c r="M126" s="98"/>
      <c r="N126" s="250"/>
      <c r="O126" s="101"/>
    </row>
    <row r="127" spans="1:19" x14ac:dyDescent="0.2">
      <c r="A127" s="238" t="s">
        <v>98</v>
      </c>
      <c r="B127" s="242">
        <f>Summary!D10</f>
        <v>50276.557501000003</v>
      </c>
      <c r="C127" s="242">
        <f>Summary!E10</f>
        <v>49361.708342999998</v>
      </c>
      <c r="D127" s="242">
        <f>Summary!F10</f>
        <v>77603.243298999994</v>
      </c>
      <c r="E127" s="242">
        <f>Summary!G10</f>
        <v>0</v>
      </c>
      <c r="F127" s="242">
        <f>Summary!H10</f>
        <v>0</v>
      </c>
      <c r="G127" s="243">
        <f>SUM(B127:F127)</f>
        <v>177241.509143</v>
      </c>
      <c r="H127" s="244">
        <f>'Orch Weekly Mgmt'!H127</f>
        <v>236322.01219066666</v>
      </c>
      <c r="I127" s="245">
        <f>'Orch Weekly Mgmt'!I127:I127</f>
        <v>315000</v>
      </c>
      <c r="J127" s="246">
        <f>H127-I127</f>
        <v>-78677.987809333339</v>
      </c>
      <c r="K127" s="247">
        <f>J127/I127</f>
        <v>-0.2497713898708995</v>
      </c>
      <c r="L127" s="275">
        <f>'Orch Weekly Mgmt'!M127</f>
        <v>610570.27025867661</v>
      </c>
      <c r="M127" s="275">
        <f>'Orch Weekly Mgmt'!N127</f>
        <v>283557.13507100154</v>
      </c>
      <c r="N127" s="246">
        <f>L127-M127</f>
        <v>327013.13518767507</v>
      </c>
      <c r="O127" s="175">
        <f>N127/M127</f>
        <v>1.1532530652271977</v>
      </c>
    </row>
    <row r="128" spans="1:19" ht="13.5" thickBot="1" x14ac:dyDescent="0.25">
      <c r="A128" s="28"/>
      <c r="B128" s="34"/>
      <c r="C128" s="34" t="s">
        <v>91</v>
      </c>
      <c r="D128" s="29"/>
      <c r="E128" s="29"/>
      <c r="F128" s="29"/>
      <c r="G128" s="29"/>
      <c r="H128" s="56"/>
      <c r="I128" s="79"/>
      <c r="J128" s="97"/>
      <c r="K128" s="115"/>
      <c r="L128" s="28"/>
      <c r="M128" s="29"/>
      <c r="N128" s="29"/>
      <c r="O128" s="83"/>
    </row>
    <row r="129" spans="1:15" ht="13.5" thickBot="1" x14ac:dyDescent="0.25">
      <c r="A129" s="30" t="s">
        <v>15</v>
      </c>
      <c r="B129" s="37">
        <f>SUM(B4,B8:B9,B14,B18,B22,B27,B30:B31,B34:B36,B49,B67,B81,B127)</f>
        <v>1653111.2973409998</v>
      </c>
      <c r="C129" s="37">
        <f t="shared" ref="C129:F129" si="18">SUM(C4,C8:C9,C14,C18,C22,C27,C30:C31,C34:C36,C49,C67,C81,C127)</f>
        <v>1777405.1010940003</v>
      </c>
      <c r="D129" s="37">
        <f t="shared" si="18"/>
        <v>1678894.7867439999</v>
      </c>
      <c r="E129" s="37">
        <f>SUM(E4,E8:E9,E14,E18,E22,E27,E30:E31,E34:E36,E49,E67,E81,E127)</f>
        <v>0</v>
      </c>
      <c r="F129" s="37">
        <f t="shared" si="18"/>
        <v>0</v>
      </c>
      <c r="G129" s="37">
        <f>SUM(G4,G8:G9,G14,G18,G22,G27,G30:G31,G34:G36,G49,G67,G81,G127)</f>
        <v>5109411.1851790007</v>
      </c>
      <c r="H129" s="37">
        <f>SUM(H4,H8:H9,H14,H18,H22,H27,H30:H31,H34:H36,H49,H67,H81,H127)</f>
        <v>8456604.8055840004</v>
      </c>
      <c r="I129" s="37">
        <f>SUM(I4,I8:I9,I14,I18,I22,I27,I30:I31,I34:I36,I49,I67,I81,I127)</f>
        <v>7491321.9000000022</v>
      </c>
      <c r="J129" s="54">
        <f>H129-I129</f>
        <v>965282.90558399819</v>
      </c>
      <c r="K129" s="116">
        <f>J129/I129</f>
        <v>0.1288534811972234</v>
      </c>
      <c r="L129" s="37">
        <f>SUM(L4,L8:L9,L14,L18,L22,L27,L30:L31,L34:L36,L49,L67,L81,L127)</f>
        <v>23246111.359537087</v>
      </c>
      <c r="M129" s="37">
        <f>SUM(M4,M8:M9,M14,M18,M22,M27,M30:M31,M34:M36,M49,M67,M81,M127)</f>
        <v>22055300.684221514</v>
      </c>
      <c r="N129" s="84">
        <f>L129-M129</f>
        <v>1190810.6753155738</v>
      </c>
      <c r="O129" s="38">
        <f>N129/M129</f>
        <v>5.3992039934757569E-2</v>
      </c>
    </row>
    <row r="131" spans="1:15" x14ac:dyDescent="0.2">
      <c r="C131" s="109"/>
    </row>
    <row r="133" spans="1:15" x14ac:dyDescent="0.2">
      <c r="L133" s="109"/>
      <c r="M133" s="109"/>
    </row>
  </sheetData>
  <mergeCells count="2">
    <mergeCell ref="A1:K1"/>
    <mergeCell ref="L1:O1"/>
  </mergeCells>
  <pageMargins left="0" right="0" top="0" bottom="0" header="0.3" footer="0.3"/>
  <pageSetup scale="52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L259"/>
  <sheetViews>
    <sheetView zoomScaleNormal="100" workbookViewId="0">
      <pane ySplit="2" topLeftCell="A3" activePane="bottomLeft" state="frozen"/>
      <selection pane="bottomLeft" sqref="A1:E1"/>
    </sheetView>
  </sheetViews>
  <sheetFormatPr defaultColWidth="8.85546875" defaultRowHeight="12.75" x14ac:dyDescent="0.2"/>
  <cols>
    <col min="1" max="1" width="9.28515625" style="178" bestFit="1" customWidth="1"/>
    <col min="2" max="2" width="42.42578125" style="178" bestFit="1" customWidth="1"/>
    <col min="3" max="3" width="18.28515625" style="178" bestFit="1" customWidth="1"/>
    <col min="4" max="4" width="11" style="178" bestFit="1" customWidth="1"/>
    <col min="5" max="5" width="18.28515625" style="166" bestFit="1" customWidth="1"/>
    <col min="6" max="6" width="18.28515625" style="166" customWidth="1"/>
    <col min="7" max="7" width="12" style="178" bestFit="1" customWidth="1"/>
    <col min="8" max="8" width="9.28515625" style="351" customWidth="1"/>
    <col min="9" max="9" width="45.85546875" style="178" customWidth="1"/>
    <col min="10" max="10" width="20.42578125" style="178" customWidth="1"/>
    <col min="11" max="11" width="13.28515625" style="178" bestFit="1" customWidth="1"/>
    <col min="12" max="12" width="18.28515625" style="166" bestFit="1" customWidth="1"/>
    <col min="13" max="13" width="8.85546875" style="178"/>
    <col min="14" max="14" width="12" style="178" bestFit="1" customWidth="1"/>
    <col min="15" max="16384" width="8.85546875" style="178"/>
  </cols>
  <sheetData>
    <row r="1" spans="1:12" ht="16.5" thickBot="1" x14ac:dyDescent="0.3">
      <c r="A1" s="622" t="s">
        <v>323</v>
      </c>
      <c r="B1" s="623"/>
      <c r="C1" s="623"/>
      <c r="D1" s="623"/>
      <c r="E1" s="624"/>
      <c r="F1" s="488"/>
      <c r="H1" s="625" t="s">
        <v>342</v>
      </c>
      <c r="I1" s="626"/>
      <c r="J1" s="626"/>
      <c r="K1" s="626"/>
      <c r="L1" s="627"/>
    </row>
    <row r="2" spans="1:12" s="179" customFormat="1" x14ac:dyDescent="0.2">
      <c r="A2" s="193" t="s">
        <v>487</v>
      </c>
      <c r="B2" s="194" t="s">
        <v>67</v>
      </c>
      <c r="C2" s="194" t="s">
        <v>348</v>
      </c>
      <c r="D2" s="194" t="s">
        <v>343</v>
      </c>
      <c r="E2" s="354" t="s">
        <v>871</v>
      </c>
      <c r="F2" s="355"/>
      <c r="H2" s="348" t="s">
        <v>487</v>
      </c>
      <c r="I2" s="228" t="s">
        <v>67</v>
      </c>
      <c r="J2" s="228" t="s">
        <v>348</v>
      </c>
      <c r="K2" s="228" t="s">
        <v>343</v>
      </c>
      <c r="L2" s="352" t="s">
        <v>871</v>
      </c>
    </row>
    <row r="3" spans="1:12" x14ac:dyDescent="0.2">
      <c r="A3" s="180">
        <v>10440</v>
      </c>
      <c r="B3" s="180" t="s">
        <v>695</v>
      </c>
      <c r="C3" s="180" t="s">
        <v>949</v>
      </c>
      <c r="D3" s="546">
        <v>0</v>
      </c>
      <c r="E3" s="547">
        <v>0</v>
      </c>
      <c r="F3" s="487"/>
      <c r="H3" s="349">
        <v>8869</v>
      </c>
      <c r="I3" s="181" t="s">
        <v>70</v>
      </c>
      <c r="J3" s="180" t="s">
        <v>660</v>
      </c>
      <c r="K3" s="546">
        <v>340</v>
      </c>
      <c r="L3" s="547">
        <v>202352.39215299999</v>
      </c>
    </row>
    <row r="4" spans="1:12" x14ac:dyDescent="0.2">
      <c r="A4" s="180">
        <v>16841</v>
      </c>
      <c r="B4" s="180" t="s">
        <v>698</v>
      </c>
      <c r="C4" s="180" t="s">
        <v>950</v>
      </c>
      <c r="D4" s="546">
        <v>36</v>
      </c>
      <c r="E4" s="547">
        <v>811.10456699999986</v>
      </c>
      <c r="F4" s="487"/>
      <c r="H4" s="349">
        <v>10693</v>
      </c>
      <c r="I4" s="181" t="s">
        <v>500</v>
      </c>
      <c r="J4" s="180" t="s">
        <v>657</v>
      </c>
      <c r="K4" s="546">
        <v>294</v>
      </c>
      <c r="L4" s="547">
        <v>7093.7872989999996</v>
      </c>
    </row>
    <row r="5" spans="1:12" x14ac:dyDescent="0.2">
      <c r="A5" s="180">
        <v>16915</v>
      </c>
      <c r="B5" s="180" t="s">
        <v>448</v>
      </c>
      <c r="C5" s="180" t="s">
        <v>672</v>
      </c>
      <c r="D5" s="546">
        <v>9</v>
      </c>
      <c r="E5" s="547">
        <v>109.82446200000001</v>
      </c>
      <c r="F5" s="487"/>
      <c r="H5" s="349">
        <v>11818</v>
      </c>
      <c r="I5" s="181" t="s">
        <v>490</v>
      </c>
      <c r="J5" s="180" t="s">
        <v>666</v>
      </c>
      <c r="K5" s="546">
        <v>0</v>
      </c>
      <c r="L5" s="547">
        <v>0</v>
      </c>
    </row>
    <row r="6" spans="1:12" x14ac:dyDescent="0.2">
      <c r="A6" s="180">
        <v>17048</v>
      </c>
      <c r="B6" s="180" t="s">
        <v>465</v>
      </c>
      <c r="C6" s="180" t="s">
        <v>670</v>
      </c>
      <c r="D6" s="546">
        <v>21</v>
      </c>
      <c r="E6" s="547">
        <v>100101.099373</v>
      </c>
      <c r="F6" s="487"/>
      <c r="H6" s="349">
        <v>15744</v>
      </c>
      <c r="I6" s="181" t="s">
        <v>506</v>
      </c>
      <c r="J6" s="180" t="s">
        <v>649</v>
      </c>
      <c r="K6" s="546">
        <v>224</v>
      </c>
      <c r="L6" s="547">
        <v>888.63827399999991</v>
      </c>
    </row>
    <row r="7" spans="1:12" x14ac:dyDescent="0.2">
      <c r="A7" s="180">
        <v>17166</v>
      </c>
      <c r="B7" s="180" t="s">
        <v>877</v>
      </c>
      <c r="C7" s="180" t="s">
        <v>879</v>
      </c>
      <c r="D7" s="546">
        <v>1</v>
      </c>
      <c r="E7" s="547">
        <v>0</v>
      </c>
      <c r="F7" s="487"/>
      <c r="H7" s="349">
        <v>22734</v>
      </c>
      <c r="I7" s="180" t="s">
        <v>776</v>
      </c>
      <c r="J7" s="180" t="s">
        <v>681</v>
      </c>
      <c r="K7" s="546">
        <v>80</v>
      </c>
      <c r="L7" s="547">
        <v>485.09997500000003</v>
      </c>
    </row>
    <row r="8" spans="1:12" x14ac:dyDescent="0.2">
      <c r="A8" s="180">
        <v>17174</v>
      </c>
      <c r="B8" s="180" t="s">
        <v>699</v>
      </c>
      <c r="C8" s="180" t="s">
        <v>661</v>
      </c>
      <c r="D8" s="546">
        <v>0</v>
      </c>
      <c r="E8" s="547">
        <v>0</v>
      </c>
      <c r="F8" s="487"/>
      <c r="H8" s="349">
        <v>17075</v>
      </c>
      <c r="I8" s="181" t="s">
        <v>642</v>
      </c>
      <c r="J8" s="180" t="s">
        <v>673</v>
      </c>
      <c r="K8" s="546">
        <v>47</v>
      </c>
      <c r="L8" s="547">
        <v>928.71999900000003</v>
      </c>
    </row>
    <row r="9" spans="1:12" x14ac:dyDescent="0.2">
      <c r="A9" s="180">
        <v>17301</v>
      </c>
      <c r="B9" s="180" t="s">
        <v>700</v>
      </c>
      <c r="C9" s="180" t="s">
        <v>670</v>
      </c>
      <c r="D9" s="546">
        <v>0</v>
      </c>
      <c r="E9" s="547">
        <v>0</v>
      </c>
      <c r="F9" s="487"/>
      <c r="H9" s="349">
        <v>894</v>
      </c>
      <c r="I9" s="181" t="s">
        <v>517</v>
      </c>
      <c r="J9" s="180" t="s">
        <v>649</v>
      </c>
      <c r="K9" s="546">
        <v>21</v>
      </c>
      <c r="L9" s="547">
        <v>482.67935800000004</v>
      </c>
    </row>
    <row r="10" spans="1:12" x14ac:dyDescent="0.2">
      <c r="A10" s="180">
        <v>17685</v>
      </c>
      <c r="B10" s="180" t="s">
        <v>701</v>
      </c>
      <c r="C10" s="180" t="s">
        <v>648</v>
      </c>
      <c r="D10" s="546">
        <v>11</v>
      </c>
      <c r="E10" s="547">
        <v>18.813130000000001</v>
      </c>
      <c r="F10" s="487"/>
      <c r="H10" s="349">
        <v>16153</v>
      </c>
      <c r="I10" s="181" t="s">
        <v>511</v>
      </c>
      <c r="J10" s="180" t="s">
        <v>670</v>
      </c>
      <c r="K10" s="546">
        <v>58</v>
      </c>
      <c r="L10" s="547">
        <v>3246.1177349999998</v>
      </c>
    </row>
    <row r="11" spans="1:12" x14ac:dyDescent="0.2">
      <c r="A11" s="180">
        <v>17960</v>
      </c>
      <c r="B11" s="180" t="s">
        <v>702</v>
      </c>
      <c r="C11" s="180" t="s">
        <v>651</v>
      </c>
      <c r="D11" s="546">
        <v>111</v>
      </c>
      <c r="E11" s="547">
        <v>1631.975238</v>
      </c>
      <c r="F11" s="487"/>
      <c r="H11" s="349">
        <v>16909</v>
      </c>
      <c r="I11" s="181" t="s">
        <v>640</v>
      </c>
      <c r="J11" s="180" t="s">
        <v>661</v>
      </c>
      <c r="K11" s="546">
        <v>56</v>
      </c>
      <c r="L11" s="547">
        <v>209.66692399999999</v>
      </c>
    </row>
    <row r="12" spans="1:12" x14ac:dyDescent="0.2">
      <c r="A12" s="180">
        <v>17965</v>
      </c>
      <c r="B12" s="180" t="s">
        <v>703</v>
      </c>
      <c r="C12" s="180" t="s">
        <v>665</v>
      </c>
      <c r="D12" s="546">
        <v>0</v>
      </c>
      <c r="E12" s="547">
        <v>0</v>
      </c>
      <c r="F12" s="487"/>
      <c r="H12" s="349">
        <v>16600</v>
      </c>
      <c r="I12" s="181" t="s">
        <v>537</v>
      </c>
      <c r="J12" s="180" t="s">
        <v>649</v>
      </c>
      <c r="K12" s="546">
        <v>52</v>
      </c>
      <c r="L12" s="547">
        <v>501.29535399999997</v>
      </c>
    </row>
    <row r="13" spans="1:12" x14ac:dyDescent="0.2">
      <c r="A13" s="180">
        <v>18000</v>
      </c>
      <c r="B13" s="180" t="s">
        <v>326</v>
      </c>
      <c r="C13" s="180" t="s">
        <v>951</v>
      </c>
      <c r="D13" s="546">
        <v>0</v>
      </c>
      <c r="E13" s="547">
        <v>0</v>
      </c>
      <c r="F13" s="487"/>
      <c r="H13" s="349">
        <v>16422</v>
      </c>
      <c r="I13" s="181" t="s">
        <v>505</v>
      </c>
      <c r="J13" s="180" t="s">
        <v>662</v>
      </c>
      <c r="K13" s="546">
        <v>45</v>
      </c>
      <c r="L13" s="547">
        <v>1812.201644</v>
      </c>
    </row>
    <row r="14" spans="1:12" x14ac:dyDescent="0.2">
      <c r="A14" s="180">
        <v>18076</v>
      </c>
      <c r="B14" s="180" t="s">
        <v>349</v>
      </c>
      <c r="C14" s="180" t="s">
        <v>666</v>
      </c>
      <c r="D14" s="546">
        <v>0</v>
      </c>
      <c r="E14" s="547">
        <v>0</v>
      </c>
      <c r="F14" s="487"/>
      <c r="H14" s="349">
        <v>16099</v>
      </c>
      <c r="I14" s="181" t="s">
        <v>527</v>
      </c>
      <c r="J14" s="180" t="s">
        <v>653</v>
      </c>
      <c r="K14" s="546">
        <v>16</v>
      </c>
      <c r="L14" s="547">
        <v>489.83348200000006</v>
      </c>
    </row>
    <row r="15" spans="1:12" x14ac:dyDescent="0.2">
      <c r="A15" s="180">
        <v>18080</v>
      </c>
      <c r="B15" s="180" t="s">
        <v>350</v>
      </c>
      <c r="C15" s="180" t="s">
        <v>691</v>
      </c>
      <c r="D15" s="546">
        <v>0</v>
      </c>
      <c r="E15" s="547">
        <v>0</v>
      </c>
      <c r="F15" s="487"/>
      <c r="H15" s="349">
        <v>12242</v>
      </c>
      <c r="I15" s="181" t="s">
        <v>530</v>
      </c>
      <c r="J15" s="180" t="s">
        <v>658</v>
      </c>
      <c r="K15" s="546">
        <v>1</v>
      </c>
      <c r="L15" s="547">
        <v>295.86220600000001</v>
      </c>
    </row>
    <row r="16" spans="1:12" x14ac:dyDescent="0.2">
      <c r="A16" s="180">
        <v>18134</v>
      </c>
      <c r="B16" s="180" t="s">
        <v>351</v>
      </c>
      <c r="C16" s="180" t="s">
        <v>648</v>
      </c>
      <c r="D16" s="546">
        <v>0</v>
      </c>
      <c r="E16" s="547">
        <v>0</v>
      </c>
      <c r="F16" s="487"/>
      <c r="H16" s="349">
        <v>12553</v>
      </c>
      <c r="I16" s="181" t="s">
        <v>529</v>
      </c>
      <c r="J16" s="180" t="s">
        <v>661</v>
      </c>
      <c r="K16" s="546">
        <v>43</v>
      </c>
      <c r="L16" s="547">
        <v>28.899319999999999</v>
      </c>
    </row>
    <row r="17" spans="1:12" x14ac:dyDescent="0.2">
      <c r="A17" s="180">
        <v>18141</v>
      </c>
      <c r="B17" s="180" t="s">
        <v>352</v>
      </c>
      <c r="C17" s="180" t="s">
        <v>648</v>
      </c>
      <c r="D17" s="546">
        <v>0</v>
      </c>
      <c r="E17" s="547">
        <v>0</v>
      </c>
      <c r="F17" s="487"/>
      <c r="H17" s="349">
        <v>22915</v>
      </c>
      <c r="I17" s="180" t="s">
        <v>767</v>
      </c>
      <c r="J17" s="180" t="s">
        <v>661</v>
      </c>
      <c r="K17" s="546">
        <v>18</v>
      </c>
      <c r="L17" s="547">
        <v>140.14934100000002</v>
      </c>
    </row>
    <row r="18" spans="1:12" x14ac:dyDescent="0.2">
      <c r="A18" s="180">
        <v>18155</v>
      </c>
      <c r="B18" s="180" t="s">
        <v>353</v>
      </c>
      <c r="C18" s="180" t="s">
        <v>648</v>
      </c>
      <c r="D18" s="546">
        <v>0</v>
      </c>
      <c r="E18" s="547">
        <v>0</v>
      </c>
      <c r="F18" s="487"/>
      <c r="H18" s="349">
        <v>14707</v>
      </c>
      <c r="I18" s="181" t="s">
        <v>503</v>
      </c>
      <c r="J18" s="180" t="s">
        <v>670</v>
      </c>
      <c r="K18" s="546">
        <v>12</v>
      </c>
      <c r="L18" s="547">
        <v>1022.826015</v>
      </c>
    </row>
    <row r="19" spans="1:12" x14ac:dyDescent="0.2">
      <c r="A19" s="180">
        <v>18193</v>
      </c>
      <c r="B19" s="180" t="s">
        <v>354</v>
      </c>
      <c r="C19" s="180" t="s">
        <v>648</v>
      </c>
      <c r="D19" s="546">
        <v>0</v>
      </c>
      <c r="E19" s="547">
        <v>0</v>
      </c>
      <c r="F19" s="487"/>
      <c r="H19" s="349">
        <v>17124</v>
      </c>
      <c r="I19" s="181" t="s">
        <v>644</v>
      </c>
      <c r="J19" s="180" t="s">
        <v>681</v>
      </c>
      <c r="K19" s="546">
        <v>75</v>
      </c>
      <c r="L19" s="547">
        <v>149.51172099999999</v>
      </c>
    </row>
    <row r="20" spans="1:12" x14ac:dyDescent="0.2">
      <c r="A20" s="180">
        <v>18223</v>
      </c>
      <c r="B20" s="180" t="s">
        <v>355</v>
      </c>
      <c r="C20" s="180" t="s">
        <v>648</v>
      </c>
      <c r="D20" s="546">
        <v>0</v>
      </c>
      <c r="E20" s="547">
        <v>0</v>
      </c>
      <c r="F20" s="487"/>
      <c r="H20" s="349">
        <v>9441</v>
      </c>
      <c r="I20" s="181" t="s">
        <v>583</v>
      </c>
      <c r="J20" s="180" t="s">
        <v>661</v>
      </c>
      <c r="K20" s="546">
        <v>0</v>
      </c>
      <c r="L20" s="547">
        <v>0</v>
      </c>
    </row>
    <row r="21" spans="1:12" x14ac:dyDescent="0.2">
      <c r="A21" s="180">
        <v>18252</v>
      </c>
      <c r="B21" s="180" t="s">
        <v>356</v>
      </c>
      <c r="C21" s="180" t="s">
        <v>655</v>
      </c>
      <c r="D21" s="546">
        <v>0</v>
      </c>
      <c r="E21" s="547">
        <v>0</v>
      </c>
      <c r="F21" s="487"/>
      <c r="H21" s="349">
        <v>17270</v>
      </c>
      <c r="I21" s="180" t="s">
        <v>783</v>
      </c>
      <c r="J21" s="180" t="s">
        <v>648</v>
      </c>
      <c r="K21" s="546">
        <v>0</v>
      </c>
      <c r="L21" s="547">
        <v>0</v>
      </c>
    </row>
    <row r="22" spans="1:12" x14ac:dyDescent="0.2">
      <c r="A22" s="180">
        <v>18334</v>
      </c>
      <c r="B22" s="180" t="s">
        <v>357</v>
      </c>
      <c r="C22" s="180" t="s">
        <v>652</v>
      </c>
      <c r="D22" s="546">
        <v>1</v>
      </c>
      <c r="E22" s="547">
        <v>45.773758999999998</v>
      </c>
      <c r="F22" s="487"/>
      <c r="H22" s="349">
        <v>7513</v>
      </c>
      <c r="I22" s="181" t="s">
        <v>558</v>
      </c>
      <c r="J22" s="180" t="s">
        <v>648</v>
      </c>
      <c r="K22" s="546">
        <v>1</v>
      </c>
      <c r="L22" s="547">
        <v>0</v>
      </c>
    </row>
    <row r="23" spans="1:12" x14ac:dyDescent="0.2">
      <c r="A23" s="180">
        <v>18407</v>
      </c>
      <c r="B23" s="180" t="s">
        <v>329</v>
      </c>
      <c r="C23" s="180" t="s">
        <v>949</v>
      </c>
      <c r="D23" s="546">
        <v>0</v>
      </c>
      <c r="E23" s="547">
        <v>0</v>
      </c>
      <c r="F23" s="487"/>
      <c r="H23" s="349">
        <v>8568</v>
      </c>
      <c r="I23" s="181" t="s">
        <v>573</v>
      </c>
      <c r="J23" s="180" t="s">
        <v>658</v>
      </c>
      <c r="K23" s="546">
        <v>7</v>
      </c>
      <c r="L23" s="547">
        <v>1219.393401</v>
      </c>
    </row>
    <row r="24" spans="1:12" x14ac:dyDescent="0.2">
      <c r="A24" s="180">
        <v>18430</v>
      </c>
      <c r="B24" s="180" t="s">
        <v>358</v>
      </c>
      <c r="C24" s="180" t="s">
        <v>691</v>
      </c>
      <c r="D24" s="546">
        <v>0</v>
      </c>
      <c r="E24" s="547">
        <v>0</v>
      </c>
      <c r="F24" s="487"/>
      <c r="H24" s="349">
        <v>15988</v>
      </c>
      <c r="I24" s="181" t="s">
        <v>629</v>
      </c>
      <c r="J24" s="180" t="s">
        <v>648</v>
      </c>
      <c r="K24" s="546">
        <v>0</v>
      </c>
      <c r="L24" s="547">
        <v>0</v>
      </c>
    </row>
    <row r="25" spans="1:12" x14ac:dyDescent="0.2">
      <c r="A25" s="180">
        <v>18448</v>
      </c>
      <c r="B25" s="180" t="s">
        <v>486</v>
      </c>
      <c r="C25" s="180" t="s">
        <v>648</v>
      </c>
      <c r="D25" s="546">
        <v>0</v>
      </c>
      <c r="E25" s="547">
        <v>0</v>
      </c>
      <c r="F25" s="487"/>
      <c r="H25" s="349">
        <v>8174</v>
      </c>
      <c r="I25" s="181" t="s">
        <v>489</v>
      </c>
      <c r="J25" s="180" t="s">
        <v>655</v>
      </c>
      <c r="K25" s="546">
        <v>14</v>
      </c>
      <c r="L25" s="547">
        <v>989.1877209999999</v>
      </c>
    </row>
    <row r="26" spans="1:12" x14ac:dyDescent="0.2">
      <c r="A26" s="180">
        <v>18499</v>
      </c>
      <c r="B26" s="180" t="s">
        <v>753</v>
      </c>
      <c r="C26" s="180" t="s">
        <v>648</v>
      </c>
      <c r="D26" s="546">
        <v>0</v>
      </c>
      <c r="E26" s="547">
        <v>0</v>
      </c>
      <c r="F26" s="487"/>
      <c r="H26" s="349">
        <v>16387</v>
      </c>
      <c r="I26" s="181" t="s">
        <v>488</v>
      </c>
      <c r="J26" s="180" t="s">
        <v>648</v>
      </c>
      <c r="K26" s="546">
        <v>0</v>
      </c>
      <c r="L26" s="547">
        <v>0</v>
      </c>
    </row>
    <row r="27" spans="1:12" x14ac:dyDescent="0.2">
      <c r="A27" s="180">
        <v>18503</v>
      </c>
      <c r="B27" s="180" t="s">
        <v>359</v>
      </c>
      <c r="C27" s="180" t="s">
        <v>690</v>
      </c>
      <c r="D27" s="546">
        <v>0</v>
      </c>
      <c r="E27" s="547">
        <v>0</v>
      </c>
      <c r="F27" s="487"/>
      <c r="H27" s="349">
        <v>15620</v>
      </c>
      <c r="I27" s="181" t="s">
        <v>492</v>
      </c>
      <c r="J27" s="180" t="s">
        <v>655</v>
      </c>
      <c r="K27" s="546">
        <v>0</v>
      </c>
      <c r="L27" s="547">
        <v>0</v>
      </c>
    </row>
    <row r="28" spans="1:12" x14ac:dyDescent="0.2">
      <c r="A28" s="180">
        <v>18518</v>
      </c>
      <c r="B28" s="180" t="s">
        <v>360</v>
      </c>
      <c r="C28" s="180" t="s">
        <v>669</v>
      </c>
      <c r="D28" s="546">
        <v>0</v>
      </c>
      <c r="E28" s="547">
        <v>0</v>
      </c>
      <c r="F28" s="487"/>
      <c r="H28" s="349">
        <v>16669</v>
      </c>
      <c r="I28" s="181" t="s">
        <v>494</v>
      </c>
      <c r="J28" s="180" t="s">
        <v>660</v>
      </c>
      <c r="K28" s="546">
        <v>0</v>
      </c>
      <c r="L28" s="547">
        <v>0</v>
      </c>
    </row>
    <row r="29" spans="1:12" x14ac:dyDescent="0.2">
      <c r="A29" s="180">
        <v>18563</v>
      </c>
      <c r="B29" s="180" t="s">
        <v>361</v>
      </c>
      <c r="C29" s="180" t="s">
        <v>691</v>
      </c>
      <c r="D29" s="546">
        <v>0</v>
      </c>
      <c r="E29" s="547">
        <v>0</v>
      </c>
      <c r="F29" s="487"/>
      <c r="H29" s="349">
        <v>14033</v>
      </c>
      <c r="I29" s="181" t="s">
        <v>497</v>
      </c>
      <c r="J29" s="180" t="s">
        <v>653</v>
      </c>
      <c r="K29" s="546">
        <v>8</v>
      </c>
      <c r="L29" s="547">
        <v>0</v>
      </c>
    </row>
    <row r="30" spans="1:12" x14ac:dyDescent="0.2">
      <c r="A30" s="180">
        <v>18582</v>
      </c>
      <c r="B30" s="180" t="s">
        <v>362</v>
      </c>
      <c r="C30" s="180" t="s">
        <v>648</v>
      </c>
      <c r="D30" s="546">
        <v>0</v>
      </c>
      <c r="E30" s="547">
        <v>0</v>
      </c>
      <c r="F30" s="487"/>
      <c r="H30" s="349">
        <v>15816</v>
      </c>
      <c r="I30" s="181" t="s">
        <v>491</v>
      </c>
      <c r="J30" s="180" t="s">
        <v>655</v>
      </c>
      <c r="K30" s="546">
        <v>0</v>
      </c>
      <c r="L30" s="547">
        <v>0</v>
      </c>
    </row>
    <row r="31" spans="1:12" x14ac:dyDescent="0.2">
      <c r="A31" s="180">
        <v>18672</v>
      </c>
      <c r="B31" s="180" t="s">
        <v>363</v>
      </c>
      <c r="C31" s="180" t="s">
        <v>690</v>
      </c>
      <c r="D31" s="546">
        <v>0</v>
      </c>
      <c r="E31" s="547">
        <v>0</v>
      </c>
      <c r="F31" s="487"/>
      <c r="H31" s="349">
        <v>15260</v>
      </c>
      <c r="I31" s="181" t="s">
        <v>493</v>
      </c>
      <c r="J31" s="180" t="s">
        <v>655</v>
      </c>
      <c r="K31" s="546">
        <v>0</v>
      </c>
      <c r="L31" s="547">
        <v>0</v>
      </c>
    </row>
    <row r="32" spans="1:12" x14ac:dyDescent="0.2">
      <c r="A32" s="180">
        <v>18730</v>
      </c>
      <c r="B32" s="180" t="s">
        <v>327</v>
      </c>
      <c r="C32" s="180" t="s">
        <v>649</v>
      </c>
      <c r="D32" s="546">
        <v>39</v>
      </c>
      <c r="E32" s="547">
        <v>794.99290099999996</v>
      </c>
      <c r="F32" s="487"/>
      <c r="H32" s="349">
        <v>16082</v>
      </c>
      <c r="I32" s="181" t="s">
        <v>496</v>
      </c>
      <c r="J32" s="180" t="s">
        <v>681</v>
      </c>
      <c r="K32" s="546">
        <v>9</v>
      </c>
      <c r="L32" s="547">
        <v>6749.6859009999998</v>
      </c>
    </row>
    <row r="33" spans="1:12" x14ac:dyDescent="0.2">
      <c r="A33" s="180">
        <v>18796</v>
      </c>
      <c r="B33" s="180" t="s">
        <v>364</v>
      </c>
      <c r="C33" s="180" t="s">
        <v>952</v>
      </c>
      <c r="D33" s="546">
        <v>2</v>
      </c>
      <c r="E33" s="547">
        <v>13.501545999999999</v>
      </c>
      <c r="F33" s="487"/>
      <c r="H33" s="349">
        <v>16466</v>
      </c>
      <c r="I33" s="181" t="s">
        <v>727</v>
      </c>
      <c r="J33" s="180" t="s">
        <v>823</v>
      </c>
      <c r="K33" s="546">
        <v>0</v>
      </c>
      <c r="L33" s="547">
        <v>0</v>
      </c>
    </row>
    <row r="34" spans="1:12" x14ac:dyDescent="0.2">
      <c r="A34" s="180">
        <v>18799</v>
      </c>
      <c r="B34" s="180" t="s">
        <v>365</v>
      </c>
      <c r="C34" s="180" t="s">
        <v>673</v>
      </c>
      <c r="D34" s="546">
        <v>0</v>
      </c>
      <c r="E34" s="547">
        <v>0</v>
      </c>
      <c r="F34" s="487"/>
      <c r="H34" s="349">
        <v>15591</v>
      </c>
      <c r="I34" s="181" t="s">
        <v>495</v>
      </c>
      <c r="J34" s="180" t="s">
        <v>660</v>
      </c>
      <c r="K34" s="546">
        <v>0</v>
      </c>
      <c r="L34" s="547">
        <v>0</v>
      </c>
    </row>
    <row r="35" spans="1:12" x14ac:dyDescent="0.2">
      <c r="A35" s="180">
        <v>18805</v>
      </c>
      <c r="B35" s="180" t="s">
        <v>341</v>
      </c>
      <c r="C35" s="180" t="s">
        <v>666</v>
      </c>
      <c r="D35" s="546">
        <v>20</v>
      </c>
      <c r="E35" s="547">
        <v>1622.0251969999999</v>
      </c>
      <c r="F35" s="487"/>
      <c r="H35" s="349">
        <v>16181</v>
      </c>
      <c r="I35" s="181" t="s">
        <v>498</v>
      </c>
      <c r="J35" s="180" t="s">
        <v>660</v>
      </c>
      <c r="K35" s="546">
        <v>0</v>
      </c>
      <c r="L35" s="547">
        <v>0</v>
      </c>
    </row>
    <row r="36" spans="1:12" x14ac:dyDescent="0.2">
      <c r="A36" s="180">
        <v>18808</v>
      </c>
      <c r="B36" s="180" t="s">
        <v>366</v>
      </c>
      <c r="C36" s="180" t="s">
        <v>648</v>
      </c>
      <c r="D36" s="546">
        <v>0</v>
      </c>
      <c r="E36" s="547">
        <v>0</v>
      </c>
      <c r="F36" s="487"/>
      <c r="H36" s="349">
        <v>16402</v>
      </c>
      <c r="I36" s="181" t="s">
        <v>518</v>
      </c>
      <c r="J36" s="180" t="s">
        <v>660</v>
      </c>
      <c r="K36" s="546">
        <v>0</v>
      </c>
      <c r="L36" s="547">
        <v>0</v>
      </c>
    </row>
    <row r="37" spans="1:12" x14ac:dyDescent="0.2">
      <c r="A37" s="180">
        <v>18810</v>
      </c>
      <c r="B37" s="180" t="s">
        <v>367</v>
      </c>
      <c r="C37" s="180" t="s">
        <v>673</v>
      </c>
      <c r="D37" s="546">
        <v>0</v>
      </c>
      <c r="E37" s="547">
        <v>0</v>
      </c>
      <c r="F37" s="487"/>
      <c r="H37" s="349">
        <v>9067</v>
      </c>
      <c r="I37" s="181" t="s">
        <v>534</v>
      </c>
      <c r="J37" s="180" t="s">
        <v>651</v>
      </c>
      <c r="K37" s="546">
        <v>43</v>
      </c>
      <c r="L37" s="547">
        <v>5242.4779159999998</v>
      </c>
    </row>
    <row r="38" spans="1:12" x14ac:dyDescent="0.2">
      <c r="A38" s="180">
        <v>18811</v>
      </c>
      <c r="B38" s="180" t="s">
        <v>368</v>
      </c>
      <c r="C38" s="180" t="s">
        <v>690</v>
      </c>
      <c r="D38" s="546">
        <v>0</v>
      </c>
      <c r="E38" s="547">
        <v>0</v>
      </c>
      <c r="F38" s="487"/>
      <c r="H38" s="349">
        <v>15702</v>
      </c>
      <c r="I38" s="181" t="s">
        <v>499</v>
      </c>
      <c r="J38" s="180" t="s">
        <v>660</v>
      </c>
      <c r="K38" s="546">
        <v>0</v>
      </c>
      <c r="L38" s="547">
        <v>0</v>
      </c>
    </row>
    <row r="39" spans="1:12" x14ac:dyDescent="0.2">
      <c r="A39" s="180">
        <v>18819</v>
      </c>
      <c r="B39" s="180" t="s">
        <v>369</v>
      </c>
      <c r="C39" s="180" t="s">
        <v>691</v>
      </c>
      <c r="D39" s="546">
        <v>1</v>
      </c>
      <c r="E39" s="547">
        <v>20.219899000000002</v>
      </c>
      <c r="F39" s="487"/>
      <c r="H39" s="349">
        <v>8119</v>
      </c>
      <c r="I39" s="181" t="s">
        <v>568</v>
      </c>
      <c r="J39" s="180" t="s">
        <v>655</v>
      </c>
      <c r="K39" s="546">
        <v>0</v>
      </c>
      <c r="L39" s="547">
        <v>0</v>
      </c>
    </row>
    <row r="40" spans="1:12" x14ac:dyDescent="0.2">
      <c r="A40" s="180">
        <v>18905</v>
      </c>
      <c r="B40" s="180" t="s">
        <v>370</v>
      </c>
      <c r="C40" s="180" t="s">
        <v>651</v>
      </c>
      <c r="D40" s="546">
        <v>0</v>
      </c>
      <c r="E40" s="547">
        <v>0</v>
      </c>
      <c r="F40" s="487"/>
      <c r="H40" s="349">
        <v>15362</v>
      </c>
      <c r="I40" s="181" t="s">
        <v>540</v>
      </c>
      <c r="J40" s="180" t="s">
        <v>754</v>
      </c>
      <c r="K40" s="546">
        <v>2</v>
      </c>
      <c r="L40" s="547">
        <v>0</v>
      </c>
    </row>
    <row r="41" spans="1:12" x14ac:dyDescent="0.2">
      <c r="A41" s="180">
        <v>18910</v>
      </c>
      <c r="B41" s="180" t="s">
        <v>344</v>
      </c>
      <c r="C41" s="180" t="s">
        <v>651</v>
      </c>
      <c r="D41" s="546">
        <v>0</v>
      </c>
      <c r="E41" s="547">
        <v>0</v>
      </c>
      <c r="F41" s="487"/>
      <c r="H41" s="349">
        <v>634</v>
      </c>
      <c r="I41" s="181" t="s">
        <v>508</v>
      </c>
      <c r="J41" s="180" t="s">
        <v>648</v>
      </c>
      <c r="K41" s="546">
        <v>0</v>
      </c>
      <c r="L41" s="547">
        <v>0</v>
      </c>
    </row>
    <row r="42" spans="1:12" x14ac:dyDescent="0.2">
      <c r="A42" s="180">
        <v>18993</v>
      </c>
      <c r="B42" s="180" t="s">
        <v>371</v>
      </c>
      <c r="C42" s="180" t="s">
        <v>648</v>
      </c>
      <c r="D42" s="546">
        <v>0</v>
      </c>
      <c r="E42" s="547">
        <v>0</v>
      </c>
      <c r="F42" s="487"/>
      <c r="H42" s="349">
        <v>7367</v>
      </c>
      <c r="I42" s="181" t="s">
        <v>501</v>
      </c>
      <c r="J42" s="180" t="s">
        <v>648</v>
      </c>
      <c r="K42" s="546">
        <v>0</v>
      </c>
      <c r="L42" s="547">
        <v>0</v>
      </c>
    </row>
    <row r="43" spans="1:12" x14ac:dyDescent="0.2">
      <c r="A43" s="180">
        <v>19013</v>
      </c>
      <c r="B43" s="180" t="s">
        <v>372</v>
      </c>
      <c r="C43" s="180" t="s">
        <v>952</v>
      </c>
      <c r="D43" s="546">
        <v>0</v>
      </c>
      <c r="E43" s="547">
        <v>0</v>
      </c>
      <c r="F43" s="487"/>
      <c r="H43" s="349">
        <v>14238</v>
      </c>
      <c r="I43" s="180" t="s">
        <v>732</v>
      </c>
      <c r="J43" s="180" t="s">
        <v>655</v>
      </c>
      <c r="K43" s="546">
        <v>0</v>
      </c>
      <c r="L43" s="547">
        <v>0</v>
      </c>
    </row>
    <row r="44" spans="1:12" x14ac:dyDescent="0.2">
      <c r="A44" s="180">
        <v>19047</v>
      </c>
      <c r="B44" s="180" t="s">
        <v>373</v>
      </c>
      <c r="C44" s="180" t="s">
        <v>952</v>
      </c>
      <c r="D44" s="546">
        <v>0</v>
      </c>
      <c r="E44" s="547">
        <v>0</v>
      </c>
      <c r="F44" s="487"/>
      <c r="H44" s="349">
        <v>16571</v>
      </c>
      <c r="I44" s="181" t="s">
        <v>502</v>
      </c>
      <c r="J44" s="180" t="s">
        <v>658</v>
      </c>
      <c r="K44" s="546">
        <v>17</v>
      </c>
      <c r="L44" s="547">
        <v>12823.908872999998</v>
      </c>
    </row>
    <row r="45" spans="1:12" x14ac:dyDescent="0.2">
      <c r="A45" s="180">
        <v>19049</v>
      </c>
      <c r="B45" s="180" t="s">
        <v>374</v>
      </c>
      <c r="C45" s="180" t="s">
        <v>648</v>
      </c>
      <c r="D45" s="546">
        <v>0</v>
      </c>
      <c r="E45" s="547">
        <v>0</v>
      </c>
      <c r="F45" s="487"/>
      <c r="H45" s="349">
        <v>15499</v>
      </c>
      <c r="I45" s="180" t="s">
        <v>623</v>
      </c>
      <c r="J45" s="180" t="s">
        <v>658</v>
      </c>
      <c r="K45" s="546">
        <v>3</v>
      </c>
      <c r="L45" s="547">
        <v>54.374218999999997</v>
      </c>
    </row>
    <row r="46" spans="1:12" x14ac:dyDescent="0.2">
      <c r="A46" s="180">
        <v>19097</v>
      </c>
      <c r="B46" s="180" t="s">
        <v>375</v>
      </c>
      <c r="C46" s="180" t="s">
        <v>666</v>
      </c>
      <c r="D46" s="546">
        <v>0</v>
      </c>
      <c r="E46" s="547">
        <v>0</v>
      </c>
      <c r="F46" s="487"/>
      <c r="H46" s="349">
        <v>15950</v>
      </c>
      <c r="I46" s="181" t="s">
        <v>504</v>
      </c>
      <c r="J46" s="180" t="s">
        <v>658</v>
      </c>
      <c r="K46" s="546">
        <v>4</v>
      </c>
      <c r="L46" s="547">
        <v>176.67856800000001</v>
      </c>
    </row>
    <row r="47" spans="1:12" x14ac:dyDescent="0.2">
      <c r="A47" s="180">
        <v>19098</v>
      </c>
      <c r="B47" s="180" t="s">
        <v>376</v>
      </c>
      <c r="C47" s="180" t="s">
        <v>754</v>
      </c>
      <c r="D47" s="546">
        <v>1</v>
      </c>
      <c r="E47" s="547">
        <v>10.143839</v>
      </c>
      <c r="F47" s="487"/>
      <c r="H47" s="349">
        <v>15766</v>
      </c>
      <c r="I47" s="180" t="s">
        <v>625</v>
      </c>
      <c r="J47" s="180" t="s">
        <v>665</v>
      </c>
      <c r="K47" s="546">
        <v>0</v>
      </c>
      <c r="L47" s="547">
        <v>0</v>
      </c>
    </row>
    <row r="48" spans="1:12" x14ac:dyDescent="0.2">
      <c r="A48" s="180">
        <v>19099</v>
      </c>
      <c r="B48" s="180" t="s">
        <v>377</v>
      </c>
      <c r="C48" s="180" t="s">
        <v>692</v>
      </c>
      <c r="D48" s="546">
        <v>0</v>
      </c>
      <c r="E48" s="547">
        <v>0</v>
      </c>
      <c r="F48" s="487"/>
      <c r="H48" s="349">
        <v>7844</v>
      </c>
      <c r="I48" s="181" t="s">
        <v>507</v>
      </c>
      <c r="J48" s="180" t="s">
        <v>653</v>
      </c>
      <c r="K48" s="546">
        <v>2</v>
      </c>
      <c r="L48" s="547">
        <v>0</v>
      </c>
    </row>
    <row r="49" spans="1:12" x14ac:dyDescent="0.2">
      <c r="A49" s="180">
        <v>19119</v>
      </c>
      <c r="B49" s="180" t="s">
        <v>378</v>
      </c>
      <c r="C49" s="180" t="s">
        <v>952</v>
      </c>
      <c r="D49" s="546">
        <v>0</v>
      </c>
      <c r="E49" s="547">
        <v>0</v>
      </c>
      <c r="F49" s="487"/>
      <c r="H49" s="349">
        <v>12059</v>
      </c>
      <c r="I49" s="181" t="s">
        <v>519</v>
      </c>
      <c r="J49" s="180" t="s">
        <v>658</v>
      </c>
      <c r="K49" s="546">
        <v>27</v>
      </c>
      <c r="L49" s="547">
        <v>225.19439399999999</v>
      </c>
    </row>
    <row r="50" spans="1:12" x14ac:dyDescent="0.2">
      <c r="A50" s="180">
        <v>19141</v>
      </c>
      <c r="B50" s="180" t="s">
        <v>379</v>
      </c>
      <c r="C50" s="180" t="s">
        <v>648</v>
      </c>
      <c r="D50" s="546">
        <v>0</v>
      </c>
      <c r="E50" s="547">
        <v>0</v>
      </c>
      <c r="F50" s="487"/>
      <c r="H50" s="349">
        <v>15807</v>
      </c>
      <c r="I50" s="181" t="s">
        <v>509</v>
      </c>
      <c r="J50" s="180" t="s">
        <v>658</v>
      </c>
      <c r="K50" s="546">
        <v>1</v>
      </c>
      <c r="L50" s="547">
        <v>3</v>
      </c>
    </row>
    <row r="51" spans="1:12" x14ac:dyDescent="0.2">
      <c r="A51" s="180">
        <v>19215</v>
      </c>
      <c r="B51" s="180" t="s">
        <v>380</v>
      </c>
      <c r="C51" s="180" t="s">
        <v>648</v>
      </c>
      <c r="D51" s="546">
        <v>0</v>
      </c>
      <c r="E51" s="547">
        <v>0</v>
      </c>
      <c r="F51" s="487"/>
      <c r="H51" s="349">
        <v>14881</v>
      </c>
      <c r="I51" s="181" t="s">
        <v>525</v>
      </c>
      <c r="J51" s="180" t="s">
        <v>950</v>
      </c>
      <c r="K51" s="546">
        <v>16</v>
      </c>
      <c r="L51" s="547">
        <v>35.886375000000001</v>
      </c>
    </row>
    <row r="52" spans="1:12" x14ac:dyDescent="0.2">
      <c r="A52" s="180">
        <v>19219</v>
      </c>
      <c r="B52" s="180" t="s">
        <v>381</v>
      </c>
      <c r="C52" s="180" t="s">
        <v>652</v>
      </c>
      <c r="D52" s="546">
        <v>26</v>
      </c>
      <c r="E52" s="547">
        <v>1671.116043</v>
      </c>
      <c r="F52" s="487"/>
      <c r="H52" s="349">
        <v>14253</v>
      </c>
      <c r="I52" s="181" t="s">
        <v>510</v>
      </c>
      <c r="J52" s="180" t="s">
        <v>652</v>
      </c>
      <c r="K52" s="546">
        <v>55</v>
      </c>
      <c r="L52" s="547">
        <v>21906.705469</v>
      </c>
    </row>
    <row r="53" spans="1:12" x14ac:dyDescent="0.2">
      <c r="A53" s="180">
        <v>19257</v>
      </c>
      <c r="B53" s="180" t="s">
        <v>382</v>
      </c>
      <c r="C53" s="180" t="s">
        <v>655</v>
      </c>
      <c r="D53" s="546">
        <v>9</v>
      </c>
      <c r="E53" s="547">
        <v>0</v>
      </c>
      <c r="F53" s="487"/>
      <c r="H53" s="349">
        <v>15691</v>
      </c>
      <c r="I53" s="181" t="s">
        <v>726</v>
      </c>
      <c r="J53" s="180" t="s">
        <v>649</v>
      </c>
      <c r="K53" s="546">
        <v>0</v>
      </c>
      <c r="L53" s="547">
        <v>0</v>
      </c>
    </row>
    <row r="54" spans="1:12" x14ac:dyDescent="0.2">
      <c r="A54" s="180">
        <v>19269</v>
      </c>
      <c r="B54" s="180" t="s">
        <v>383</v>
      </c>
      <c r="C54" s="180" t="s">
        <v>648</v>
      </c>
      <c r="D54" s="546">
        <v>0</v>
      </c>
      <c r="E54" s="547">
        <v>0</v>
      </c>
      <c r="F54" s="487"/>
      <c r="H54" s="349">
        <v>14676</v>
      </c>
      <c r="I54" s="181" t="s">
        <v>512</v>
      </c>
      <c r="J54" s="180" t="s">
        <v>659</v>
      </c>
      <c r="K54" s="546">
        <v>0</v>
      </c>
      <c r="L54" s="547">
        <v>0</v>
      </c>
    </row>
    <row r="55" spans="1:12" x14ac:dyDescent="0.2">
      <c r="A55" s="180">
        <v>19312</v>
      </c>
      <c r="B55" s="180" t="s">
        <v>384</v>
      </c>
      <c r="C55" s="180" t="s">
        <v>665</v>
      </c>
      <c r="D55" s="546">
        <v>0</v>
      </c>
      <c r="E55" s="547">
        <v>0</v>
      </c>
      <c r="F55" s="487"/>
      <c r="H55" s="349">
        <v>14148</v>
      </c>
      <c r="I55" s="180" t="s">
        <v>513</v>
      </c>
      <c r="J55" s="180" t="s">
        <v>664</v>
      </c>
      <c r="K55" s="546">
        <v>0</v>
      </c>
      <c r="L55" s="547">
        <v>0</v>
      </c>
    </row>
    <row r="56" spans="1:12" x14ac:dyDescent="0.2">
      <c r="A56" s="180">
        <v>19335</v>
      </c>
      <c r="B56" s="180" t="s">
        <v>385</v>
      </c>
      <c r="C56" s="180" t="s">
        <v>648</v>
      </c>
      <c r="D56" s="546">
        <v>0</v>
      </c>
      <c r="E56" s="547">
        <v>0</v>
      </c>
      <c r="F56" s="487"/>
      <c r="H56" s="349">
        <v>15426</v>
      </c>
      <c r="I56" s="181" t="s">
        <v>514</v>
      </c>
      <c r="J56" s="180" t="s">
        <v>681</v>
      </c>
      <c r="K56" s="546">
        <v>0</v>
      </c>
      <c r="L56" s="547">
        <v>0</v>
      </c>
    </row>
    <row r="57" spans="1:12" x14ac:dyDescent="0.2">
      <c r="A57" s="180">
        <v>19353</v>
      </c>
      <c r="B57" s="180" t="s">
        <v>386</v>
      </c>
      <c r="C57" s="180" t="s">
        <v>673</v>
      </c>
      <c r="D57" s="546">
        <v>7</v>
      </c>
      <c r="E57" s="547">
        <v>1089.264872</v>
      </c>
      <c r="F57" s="487"/>
      <c r="H57" s="349">
        <v>16000</v>
      </c>
      <c r="I57" s="181" t="s">
        <v>515</v>
      </c>
      <c r="J57" s="180" t="s">
        <v>649</v>
      </c>
      <c r="K57" s="546">
        <v>0</v>
      </c>
      <c r="L57" s="547">
        <v>0</v>
      </c>
    </row>
    <row r="58" spans="1:12" x14ac:dyDescent="0.2">
      <c r="A58" s="349">
        <v>19405</v>
      </c>
      <c r="B58" s="180" t="s">
        <v>387</v>
      </c>
      <c r="C58" s="180" t="s">
        <v>652</v>
      </c>
      <c r="D58" s="546">
        <v>3</v>
      </c>
      <c r="E58" s="547">
        <v>28</v>
      </c>
      <c r="F58" s="487"/>
      <c r="H58" s="180">
        <v>15462</v>
      </c>
      <c r="I58" s="180" t="s">
        <v>800</v>
      </c>
      <c r="J58" s="180" t="s">
        <v>648</v>
      </c>
      <c r="K58" s="546">
        <v>0</v>
      </c>
      <c r="L58" s="547">
        <v>0</v>
      </c>
    </row>
    <row r="59" spans="1:12" x14ac:dyDescent="0.2">
      <c r="A59" s="180">
        <v>19447</v>
      </c>
      <c r="B59" s="180" t="s">
        <v>388</v>
      </c>
      <c r="C59" s="180" t="s">
        <v>648</v>
      </c>
      <c r="D59" s="546">
        <v>0</v>
      </c>
      <c r="E59" s="547">
        <v>0</v>
      </c>
      <c r="F59" s="487"/>
      <c r="H59" s="349">
        <v>15417</v>
      </c>
      <c r="I59" s="181" t="s">
        <v>538</v>
      </c>
      <c r="J59" s="180" t="s">
        <v>662</v>
      </c>
      <c r="K59" s="546">
        <v>38</v>
      </c>
      <c r="L59" s="547">
        <v>141.01711599999999</v>
      </c>
    </row>
    <row r="60" spans="1:12" x14ac:dyDescent="0.2">
      <c r="A60" s="180">
        <v>19454</v>
      </c>
      <c r="B60" s="180" t="s">
        <v>389</v>
      </c>
      <c r="C60" s="180" t="s">
        <v>691</v>
      </c>
      <c r="D60" s="546">
        <v>0</v>
      </c>
      <c r="E60" s="547">
        <v>0</v>
      </c>
      <c r="F60" s="487"/>
      <c r="H60" s="349">
        <v>15293</v>
      </c>
      <c r="I60" s="181" t="s">
        <v>516</v>
      </c>
      <c r="J60" s="180" t="s">
        <v>658</v>
      </c>
      <c r="K60" s="546">
        <v>0</v>
      </c>
      <c r="L60" s="547">
        <v>0</v>
      </c>
    </row>
    <row r="61" spans="1:12" x14ac:dyDescent="0.2">
      <c r="A61" s="180">
        <v>19457</v>
      </c>
      <c r="B61" s="180" t="s">
        <v>390</v>
      </c>
      <c r="C61" s="180" t="s">
        <v>653</v>
      </c>
      <c r="D61" s="546">
        <v>0</v>
      </c>
      <c r="E61" s="547">
        <v>0</v>
      </c>
      <c r="F61" s="487"/>
      <c r="H61" s="349">
        <v>8673</v>
      </c>
      <c r="I61" s="181" t="s">
        <v>522</v>
      </c>
      <c r="J61" s="180" t="s">
        <v>653</v>
      </c>
      <c r="K61" s="546">
        <v>27</v>
      </c>
      <c r="L61" s="547">
        <v>93.071044999999998</v>
      </c>
    </row>
    <row r="62" spans="1:12" x14ac:dyDescent="0.2">
      <c r="A62" s="180">
        <v>19458</v>
      </c>
      <c r="B62" s="180" t="s">
        <v>391</v>
      </c>
      <c r="C62" s="180" t="s">
        <v>690</v>
      </c>
      <c r="D62" s="546">
        <v>0</v>
      </c>
      <c r="E62" s="547">
        <v>0</v>
      </c>
      <c r="F62" s="487"/>
      <c r="H62" s="349">
        <v>14900</v>
      </c>
      <c r="I62" s="180" t="s">
        <v>520</v>
      </c>
      <c r="J62" s="180" t="s">
        <v>655</v>
      </c>
      <c r="K62" s="546">
        <v>0</v>
      </c>
      <c r="L62" s="547">
        <v>0</v>
      </c>
    </row>
    <row r="63" spans="1:12" x14ac:dyDescent="0.2">
      <c r="A63" s="180">
        <v>19491</v>
      </c>
      <c r="B63" s="180" t="s">
        <v>392</v>
      </c>
      <c r="C63" s="180" t="s">
        <v>648</v>
      </c>
      <c r="D63" s="546">
        <v>0</v>
      </c>
      <c r="E63" s="547">
        <v>0</v>
      </c>
      <c r="F63" s="487"/>
      <c r="H63" s="349">
        <v>16143</v>
      </c>
      <c r="I63" s="181" t="s">
        <v>631</v>
      </c>
      <c r="J63" s="180" t="s">
        <v>658</v>
      </c>
      <c r="K63" s="546">
        <v>3</v>
      </c>
      <c r="L63" s="547">
        <v>3.9123839999999999</v>
      </c>
    </row>
    <row r="64" spans="1:12" x14ac:dyDescent="0.2">
      <c r="A64" s="180">
        <v>19493</v>
      </c>
      <c r="B64" s="180" t="s">
        <v>393</v>
      </c>
      <c r="C64" s="180" t="s">
        <v>673</v>
      </c>
      <c r="D64" s="546">
        <v>0</v>
      </c>
      <c r="E64" s="547">
        <v>0</v>
      </c>
      <c r="F64" s="487"/>
      <c r="H64" s="349">
        <v>9470</v>
      </c>
      <c r="I64" s="180" t="s">
        <v>541</v>
      </c>
      <c r="J64" s="180" t="s">
        <v>648</v>
      </c>
      <c r="K64" s="546">
        <v>3</v>
      </c>
      <c r="L64" s="547">
        <v>56</v>
      </c>
    </row>
    <row r="65" spans="1:12" x14ac:dyDescent="0.2">
      <c r="A65" s="180">
        <v>19517</v>
      </c>
      <c r="B65" s="180" t="s">
        <v>394</v>
      </c>
      <c r="C65" s="180" t="s">
        <v>648</v>
      </c>
      <c r="D65" s="546">
        <v>0</v>
      </c>
      <c r="E65" s="547">
        <v>0</v>
      </c>
      <c r="F65" s="487"/>
      <c r="H65" s="349">
        <v>1094</v>
      </c>
      <c r="I65" s="181" t="s">
        <v>553</v>
      </c>
      <c r="J65" s="180" t="s">
        <v>648</v>
      </c>
      <c r="K65" s="546">
        <v>0</v>
      </c>
      <c r="L65" s="547">
        <v>0</v>
      </c>
    </row>
    <row r="66" spans="1:12" x14ac:dyDescent="0.2">
      <c r="A66" s="180">
        <v>19544</v>
      </c>
      <c r="B66" s="180" t="s">
        <v>395</v>
      </c>
      <c r="C66" s="180" t="s">
        <v>648</v>
      </c>
      <c r="D66" s="546">
        <v>0</v>
      </c>
      <c r="E66" s="547">
        <v>0</v>
      </c>
      <c r="F66" s="487"/>
      <c r="H66" s="349">
        <v>16212</v>
      </c>
      <c r="I66" s="180" t="s">
        <v>521</v>
      </c>
      <c r="J66" s="180" t="s">
        <v>655</v>
      </c>
      <c r="K66" s="546">
        <v>0</v>
      </c>
      <c r="L66" s="547">
        <v>0</v>
      </c>
    </row>
    <row r="67" spans="1:12" x14ac:dyDescent="0.2">
      <c r="A67" s="180">
        <v>19581</v>
      </c>
      <c r="B67" s="180" t="s">
        <v>396</v>
      </c>
      <c r="C67" s="180" t="s">
        <v>648</v>
      </c>
      <c r="D67" s="546">
        <v>0</v>
      </c>
      <c r="E67" s="547">
        <v>0</v>
      </c>
      <c r="F67" s="487"/>
      <c r="H67" s="349">
        <v>17516</v>
      </c>
      <c r="I67" s="180" t="s">
        <v>677</v>
      </c>
      <c r="J67" s="180" t="s">
        <v>648</v>
      </c>
      <c r="K67" s="546">
        <v>3</v>
      </c>
      <c r="L67" s="547">
        <v>28</v>
      </c>
    </row>
    <row r="68" spans="1:12" x14ac:dyDescent="0.2">
      <c r="A68" s="180">
        <v>19589</v>
      </c>
      <c r="B68" s="180" t="s">
        <v>397</v>
      </c>
      <c r="C68" s="180" t="s">
        <v>690</v>
      </c>
      <c r="D68" s="546">
        <v>5</v>
      </c>
      <c r="E68" s="547">
        <v>216.89706699999999</v>
      </c>
      <c r="F68" s="487"/>
      <c r="H68" s="349">
        <v>14237</v>
      </c>
      <c r="I68" s="181" t="s">
        <v>523</v>
      </c>
      <c r="J68" s="180" t="s">
        <v>657</v>
      </c>
      <c r="K68" s="546">
        <v>7</v>
      </c>
      <c r="L68" s="547">
        <v>7.1981999999999999</v>
      </c>
    </row>
    <row r="69" spans="1:12" x14ac:dyDescent="0.2">
      <c r="A69" s="180">
        <v>19605</v>
      </c>
      <c r="B69" s="180" t="s">
        <v>398</v>
      </c>
      <c r="C69" s="180" t="s">
        <v>648</v>
      </c>
      <c r="D69" s="546">
        <v>0</v>
      </c>
      <c r="E69" s="547">
        <v>0</v>
      </c>
      <c r="F69" s="487"/>
      <c r="H69" s="349">
        <v>17020</v>
      </c>
      <c r="I69" s="181" t="s">
        <v>524</v>
      </c>
      <c r="J69" s="180" t="s">
        <v>648</v>
      </c>
      <c r="K69" s="546">
        <v>0</v>
      </c>
      <c r="L69" s="547">
        <v>0</v>
      </c>
    </row>
    <row r="70" spans="1:12" x14ac:dyDescent="0.2">
      <c r="A70" s="180">
        <v>19654</v>
      </c>
      <c r="B70" s="180" t="s">
        <v>399</v>
      </c>
      <c r="C70" s="180" t="s">
        <v>648</v>
      </c>
      <c r="D70" s="546">
        <v>0</v>
      </c>
      <c r="E70" s="547">
        <v>0</v>
      </c>
      <c r="F70" s="487"/>
      <c r="H70" s="349">
        <v>16211</v>
      </c>
      <c r="I70" s="180" t="s">
        <v>528</v>
      </c>
      <c r="J70" s="180" t="s">
        <v>950</v>
      </c>
      <c r="K70" s="546">
        <v>13</v>
      </c>
      <c r="L70" s="547">
        <v>60.325723000000004</v>
      </c>
    </row>
    <row r="71" spans="1:12" x14ac:dyDescent="0.2">
      <c r="A71" s="180">
        <v>19661</v>
      </c>
      <c r="B71" s="180" t="s">
        <v>400</v>
      </c>
      <c r="C71" s="180" t="s">
        <v>951</v>
      </c>
      <c r="D71" s="546">
        <v>0</v>
      </c>
      <c r="E71" s="547">
        <v>0</v>
      </c>
      <c r="F71" s="487"/>
      <c r="H71" s="349">
        <v>16475</v>
      </c>
      <c r="I71" s="181" t="s">
        <v>637</v>
      </c>
      <c r="J71" s="180" t="s">
        <v>648</v>
      </c>
      <c r="K71" s="546">
        <v>13</v>
      </c>
      <c r="L71" s="547">
        <v>871.61227199999996</v>
      </c>
    </row>
    <row r="72" spans="1:12" x14ac:dyDescent="0.2">
      <c r="A72" s="180">
        <v>19674</v>
      </c>
      <c r="B72" s="180" t="s">
        <v>401</v>
      </c>
      <c r="C72" s="180" t="s">
        <v>648</v>
      </c>
      <c r="D72" s="546">
        <v>0</v>
      </c>
      <c r="E72" s="547">
        <v>0</v>
      </c>
      <c r="F72" s="487"/>
      <c r="H72" s="349">
        <v>8062</v>
      </c>
      <c r="I72" s="181" t="s">
        <v>526</v>
      </c>
      <c r="J72" s="180" t="s">
        <v>660</v>
      </c>
      <c r="K72" s="546">
        <v>0</v>
      </c>
      <c r="L72" s="547">
        <v>0</v>
      </c>
    </row>
    <row r="73" spans="1:12" x14ac:dyDescent="0.2">
      <c r="A73" s="180">
        <v>19717</v>
      </c>
      <c r="B73" s="180" t="s">
        <v>402</v>
      </c>
      <c r="C73" s="180" t="s">
        <v>648</v>
      </c>
      <c r="D73" s="546">
        <v>0</v>
      </c>
      <c r="E73" s="547">
        <v>0</v>
      </c>
      <c r="F73" s="487"/>
      <c r="H73" s="349">
        <v>14010</v>
      </c>
      <c r="I73" s="181" t="s">
        <v>531</v>
      </c>
      <c r="J73" s="180" t="s">
        <v>653</v>
      </c>
      <c r="K73" s="546">
        <v>0</v>
      </c>
      <c r="L73" s="547">
        <v>0</v>
      </c>
    </row>
    <row r="74" spans="1:12" x14ac:dyDescent="0.2">
      <c r="A74" s="353">
        <v>19734</v>
      </c>
      <c r="B74" s="180" t="s">
        <v>734</v>
      </c>
      <c r="C74" s="180" t="s">
        <v>754</v>
      </c>
      <c r="D74" s="546">
        <v>7</v>
      </c>
      <c r="E74" s="547">
        <v>2166.6997110000002</v>
      </c>
      <c r="F74" s="487"/>
      <c r="H74" s="349">
        <v>11573</v>
      </c>
      <c r="I74" s="181" t="s">
        <v>532</v>
      </c>
      <c r="J74" s="180" t="s">
        <v>752</v>
      </c>
      <c r="K74" s="546">
        <v>0</v>
      </c>
      <c r="L74" s="547">
        <v>0</v>
      </c>
    </row>
    <row r="75" spans="1:12" x14ac:dyDescent="0.2">
      <c r="A75" s="353">
        <v>19755</v>
      </c>
      <c r="B75" s="180" t="s">
        <v>777</v>
      </c>
      <c r="C75" s="180" t="s">
        <v>690</v>
      </c>
      <c r="D75" s="546">
        <v>0</v>
      </c>
      <c r="E75" s="547">
        <v>0</v>
      </c>
      <c r="F75" s="487"/>
      <c r="H75" s="349">
        <v>15236</v>
      </c>
      <c r="I75" s="181" t="s">
        <v>533</v>
      </c>
      <c r="J75" s="180" t="s">
        <v>754</v>
      </c>
      <c r="K75" s="546">
        <v>2</v>
      </c>
      <c r="L75" s="547">
        <v>72.895320999999996</v>
      </c>
    </row>
    <row r="76" spans="1:12" x14ac:dyDescent="0.2">
      <c r="A76" s="180">
        <v>19757</v>
      </c>
      <c r="B76" s="180" t="s">
        <v>403</v>
      </c>
      <c r="C76" s="180" t="s">
        <v>673</v>
      </c>
      <c r="D76" s="546">
        <v>0</v>
      </c>
      <c r="E76" s="547">
        <v>0</v>
      </c>
      <c r="F76" s="487"/>
      <c r="H76" s="349">
        <v>16085</v>
      </c>
      <c r="I76" s="181" t="s">
        <v>546</v>
      </c>
      <c r="J76" s="180" t="s">
        <v>658</v>
      </c>
      <c r="K76" s="546">
        <v>22</v>
      </c>
      <c r="L76" s="547">
        <v>37.192661999999999</v>
      </c>
    </row>
    <row r="77" spans="1:12" x14ac:dyDescent="0.2">
      <c r="A77" s="180">
        <v>19765</v>
      </c>
      <c r="B77" s="180" t="s">
        <v>404</v>
      </c>
      <c r="C77" s="180" t="s">
        <v>648</v>
      </c>
      <c r="D77" s="546">
        <v>0</v>
      </c>
      <c r="E77" s="547">
        <v>0</v>
      </c>
      <c r="F77" s="487"/>
      <c r="H77" s="349">
        <v>10827</v>
      </c>
      <c r="I77" s="181" t="s">
        <v>539</v>
      </c>
      <c r="J77" s="180" t="s">
        <v>661</v>
      </c>
      <c r="K77" s="546">
        <v>1</v>
      </c>
      <c r="L77" s="547">
        <v>0</v>
      </c>
    </row>
    <row r="78" spans="1:12" x14ac:dyDescent="0.2">
      <c r="A78" s="180">
        <v>19766</v>
      </c>
      <c r="B78" s="180" t="s">
        <v>405</v>
      </c>
      <c r="C78" s="180" t="s">
        <v>648</v>
      </c>
      <c r="D78" s="546">
        <v>0</v>
      </c>
      <c r="E78" s="547">
        <v>0</v>
      </c>
      <c r="F78" s="487"/>
      <c r="H78" s="349">
        <v>12700</v>
      </c>
      <c r="I78" s="181" t="s">
        <v>607</v>
      </c>
      <c r="J78" s="180" t="s">
        <v>655</v>
      </c>
      <c r="K78" s="546">
        <v>0</v>
      </c>
      <c r="L78" s="547">
        <v>0</v>
      </c>
    </row>
    <row r="79" spans="1:12" x14ac:dyDescent="0.2">
      <c r="A79" s="180">
        <v>19768</v>
      </c>
      <c r="B79" s="180" t="s">
        <v>406</v>
      </c>
      <c r="C79" s="180" t="s">
        <v>952</v>
      </c>
      <c r="D79" s="546">
        <v>0</v>
      </c>
      <c r="E79" s="547">
        <v>0</v>
      </c>
      <c r="F79" s="487"/>
      <c r="H79" s="349">
        <v>10986</v>
      </c>
      <c r="I79" s="181" t="s">
        <v>535</v>
      </c>
      <c r="J79" s="180" t="s">
        <v>658</v>
      </c>
      <c r="K79" s="546">
        <v>0</v>
      </c>
      <c r="L79" s="547">
        <v>0</v>
      </c>
    </row>
    <row r="80" spans="1:12" x14ac:dyDescent="0.2">
      <c r="A80" s="180">
        <v>19804</v>
      </c>
      <c r="B80" s="180" t="s">
        <v>407</v>
      </c>
      <c r="C80" s="180" t="s">
        <v>648</v>
      </c>
      <c r="D80" s="546">
        <v>0</v>
      </c>
      <c r="E80" s="547">
        <v>0</v>
      </c>
      <c r="F80" s="487"/>
      <c r="H80" s="349">
        <v>8020</v>
      </c>
      <c r="I80" s="181" t="s">
        <v>565</v>
      </c>
      <c r="J80" s="180" t="s">
        <v>653</v>
      </c>
      <c r="K80" s="546">
        <v>7</v>
      </c>
      <c r="L80" s="547">
        <v>129.48539199999999</v>
      </c>
    </row>
    <row r="81" spans="1:12" x14ac:dyDescent="0.2">
      <c r="A81" s="180">
        <v>19870</v>
      </c>
      <c r="B81" s="180" t="s">
        <v>408</v>
      </c>
      <c r="C81" s="180" t="s">
        <v>648</v>
      </c>
      <c r="D81" s="546">
        <v>0</v>
      </c>
      <c r="E81" s="547">
        <v>0</v>
      </c>
      <c r="F81" s="487"/>
      <c r="H81" s="349">
        <v>16529</v>
      </c>
      <c r="I81" s="181" t="s">
        <v>536</v>
      </c>
      <c r="J81" s="180" t="s">
        <v>649</v>
      </c>
      <c r="K81" s="546">
        <v>37</v>
      </c>
      <c r="L81" s="547">
        <v>252.46621500000001</v>
      </c>
    </row>
    <row r="82" spans="1:12" x14ac:dyDescent="0.2">
      <c r="A82" s="180">
        <v>19908</v>
      </c>
      <c r="B82" s="180" t="s">
        <v>409</v>
      </c>
      <c r="C82" s="180" t="s">
        <v>648</v>
      </c>
      <c r="D82" s="546">
        <v>0</v>
      </c>
      <c r="E82" s="547">
        <v>0</v>
      </c>
      <c r="F82" s="487"/>
      <c r="H82" s="349">
        <v>9304</v>
      </c>
      <c r="I82" s="181" t="s">
        <v>582</v>
      </c>
      <c r="J82" s="180" t="s">
        <v>665</v>
      </c>
      <c r="K82" s="546">
        <v>19</v>
      </c>
      <c r="L82" s="547">
        <v>1049.327037</v>
      </c>
    </row>
    <row r="83" spans="1:12" x14ac:dyDescent="0.2">
      <c r="A83" s="180">
        <v>19950</v>
      </c>
      <c r="B83" s="180" t="s">
        <v>325</v>
      </c>
      <c r="C83" s="180" t="s">
        <v>666</v>
      </c>
      <c r="D83" s="546">
        <v>7</v>
      </c>
      <c r="E83" s="547">
        <v>0</v>
      </c>
      <c r="F83" s="487"/>
      <c r="H83" s="349">
        <v>16976</v>
      </c>
      <c r="I83" s="181" t="s">
        <v>543</v>
      </c>
      <c r="J83" s="180" t="s">
        <v>659</v>
      </c>
      <c r="K83" s="546">
        <v>3</v>
      </c>
      <c r="L83" s="547">
        <v>145.79719900000001</v>
      </c>
    </row>
    <row r="84" spans="1:12" x14ac:dyDescent="0.2">
      <c r="A84" s="180">
        <v>19973</v>
      </c>
      <c r="B84" s="180" t="s">
        <v>410</v>
      </c>
      <c r="C84" s="180" t="s">
        <v>691</v>
      </c>
      <c r="D84" s="546">
        <v>9</v>
      </c>
      <c r="E84" s="547">
        <v>45.2</v>
      </c>
      <c r="F84" s="487"/>
      <c r="H84" s="349">
        <v>16480</v>
      </c>
      <c r="I84" s="347" t="s">
        <v>779</v>
      </c>
      <c r="J84" s="180" t="s">
        <v>662</v>
      </c>
      <c r="K84" s="546">
        <v>7</v>
      </c>
      <c r="L84" s="547">
        <v>17.698799000000001</v>
      </c>
    </row>
    <row r="85" spans="1:12" x14ac:dyDescent="0.2">
      <c r="A85" s="180">
        <v>20022</v>
      </c>
      <c r="B85" s="180" t="s">
        <v>411</v>
      </c>
      <c r="C85" s="180" t="s">
        <v>648</v>
      </c>
      <c r="D85" s="546">
        <v>0</v>
      </c>
      <c r="E85" s="547">
        <v>0</v>
      </c>
      <c r="F85" s="487"/>
      <c r="H85" s="349">
        <v>12705</v>
      </c>
      <c r="I85" s="181" t="s">
        <v>682</v>
      </c>
      <c r="J85" s="180" t="s">
        <v>648</v>
      </c>
      <c r="K85" s="546">
        <v>0</v>
      </c>
      <c r="L85" s="547">
        <v>0</v>
      </c>
    </row>
    <row r="86" spans="1:12" x14ac:dyDescent="0.2">
      <c r="A86" s="180">
        <v>20043</v>
      </c>
      <c r="B86" s="180" t="s">
        <v>412</v>
      </c>
      <c r="C86" s="180" t="s">
        <v>952</v>
      </c>
      <c r="D86" s="546">
        <v>1</v>
      </c>
      <c r="E86" s="547">
        <v>0</v>
      </c>
      <c r="F86" s="487"/>
      <c r="H86" s="349">
        <v>16570</v>
      </c>
      <c r="I86" s="347" t="s">
        <v>780</v>
      </c>
      <c r="J86" s="180" t="s">
        <v>648</v>
      </c>
      <c r="K86" s="546">
        <v>15</v>
      </c>
      <c r="L86" s="547">
        <v>166.87320800000001</v>
      </c>
    </row>
    <row r="87" spans="1:12" x14ac:dyDescent="0.2">
      <c r="A87" s="180">
        <v>20084</v>
      </c>
      <c r="B87" s="180" t="s">
        <v>413</v>
      </c>
      <c r="C87" s="180" t="s">
        <v>671</v>
      </c>
      <c r="D87" s="546">
        <v>0</v>
      </c>
      <c r="E87" s="547">
        <v>0</v>
      </c>
      <c r="F87" s="487"/>
      <c r="H87" s="349">
        <v>14835</v>
      </c>
      <c r="I87" s="181" t="s">
        <v>618</v>
      </c>
      <c r="J87" s="180" t="s">
        <v>658</v>
      </c>
      <c r="K87" s="546">
        <v>1</v>
      </c>
      <c r="L87" s="547">
        <v>0</v>
      </c>
    </row>
    <row r="88" spans="1:12" x14ac:dyDescent="0.2">
      <c r="A88" s="180">
        <v>20135</v>
      </c>
      <c r="B88" s="180" t="s">
        <v>414</v>
      </c>
      <c r="C88" s="180" t="s">
        <v>648</v>
      </c>
      <c r="D88" s="546">
        <v>0</v>
      </c>
      <c r="E88" s="547">
        <v>0</v>
      </c>
      <c r="F88" s="487"/>
      <c r="H88" s="349">
        <v>14767</v>
      </c>
      <c r="I88" s="181" t="s">
        <v>617</v>
      </c>
      <c r="J88" s="180" t="s">
        <v>651</v>
      </c>
      <c r="K88" s="546">
        <v>9</v>
      </c>
      <c r="L88" s="547">
        <v>95.323304000000007</v>
      </c>
    </row>
    <row r="89" spans="1:12" x14ac:dyDescent="0.2">
      <c r="A89" s="180">
        <v>20149</v>
      </c>
      <c r="B89" s="180" t="s">
        <v>415</v>
      </c>
      <c r="C89" s="180" t="s">
        <v>648</v>
      </c>
      <c r="D89" s="546">
        <v>0</v>
      </c>
      <c r="E89" s="547">
        <v>0</v>
      </c>
      <c r="F89" s="487"/>
      <c r="H89" s="349">
        <v>16345</v>
      </c>
      <c r="I89" s="181" t="s">
        <v>633</v>
      </c>
      <c r="J89" s="180" t="s">
        <v>653</v>
      </c>
      <c r="K89" s="546">
        <v>14</v>
      </c>
      <c r="L89" s="547">
        <v>417.39406199999996</v>
      </c>
    </row>
    <row r="90" spans="1:12" x14ac:dyDescent="0.2">
      <c r="A90" s="180">
        <v>20151</v>
      </c>
      <c r="B90" s="180" t="s">
        <v>328</v>
      </c>
      <c r="C90" s="180" t="s">
        <v>666</v>
      </c>
      <c r="D90" s="546">
        <v>1</v>
      </c>
      <c r="E90" s="547">
        <v>0</v>
      </c>
      <c r="F90" s="487"/>
      <c r="H90" s="349">
        <v>15752</v>
      </c>
      <c r="I90" s="181" t="s">
        <v>542</v>
      </c>
      <c r="J90" s="180" t="s">
        <v>649</v>
      </c>
      <c r="K90" s="546">
        <v>5</v>
      </c>
      <c r="L90" s="547">
        <v>0</v>
      </c>
    </row>
    <row r="91" spans="1:12" x14ac:dyDescent="0.2">
      <c r="A91" s="180">
        <v>20173</v>
      </c>
      <c r="B91" s="180" t="s">
        <v>416</v>
      </c>
      <c r="C91" s="180" t="s">
        <v>648</v>
      </c>
      <c r="D91" s="546">
        <v>0</v>
      </c>
      <c r="E91" s="547">
        <v>0</v>
      </c>
      <c r="F91" s="487"/>
      <c r="H91" s="349">
        <v>12370</v>
      </c>
      <c r="I91" s="181" t="s">
        <v>601</v>
      </c>
      <c r="J91" s="180" t="s">
        <v>651</v>
      </c>
      <c r="K91" s="546">
        <v>23</v>
      </c>
      <c r="L91" s="547">
        <v>289.54851000000002</v>
      </c>
    </row>
    <row r="92" spans="1:12" x14ac:dyDescent="0.2">
      <c r="A92" s="180">
        <v>20242</v>
      </c>
      <c r="B92" s="180" t="s">
        <v>417</v>
      </c>
      <c r="C92" s="180" t="s">
        <v>691</v>
      </c>
      <c r="D92" s="546">
        <v>1</v>
      </c>
      <c r="E92" s="547">
        <v>18.723687000000002</v>
      </c>
      <c r="F92" s="487"/>
      <c r="H92" s="349">
        <v>16494</v>
      </c>
      <c r="I92" s="347" t="s">
        <v>782</v>
      </c>
      <c r="J92" s="180" t="s">
        <v>649</v>
      </c>
      <c r="K92" s="546">
        <v>1</v>
      </c>
      <c r="L92" s="547">
        <v>0</v>
      </c>
    </row>
    <row r="93" spans="1:12" x14ac:dyDescent="0.2">
      <c r="A93" s="180">
        <v>20243</v>
      </c>
      <c r="B93" s="180" t="s">
        <v>418</v>
      </c>
      <c r="C93" s="180" t="s">
        <v>648</v>
      </c>
      <c r="D93" s="546">
        <v>0</v>
      </c>
      <c r="E93" s="547">
        <v>0</v>
      </c>
      <c r="F93" s="487"/>
      <c r="H93" s="349">
        <v>8756</v>
      </c>
      <c r="I93" s="181" t="s">
        <v>576</v>
      </c>
      <c r="J93" s="180" t="s">
        <v>648</v>
      </c>
      <c r="K93" s="546">
        <v>1</v>
      </c>
      <c r="L93" s="547">
        <v>232.57046299999999</v>
      </c>
    </row>
    <row r="94" spans="1:12" x14ac:dyDescent="0.2">
      <c r="A94" s="180">
        <v>20246</v>
      </c>
      <c r="B94" s="180" t="s">
        <v>419</v>
      </c>
      <c r="C94" s="180" t="s">
        <v>648</v>
      </c>
      <c r="D94" s="546">
        <v>0</v>
      </c>
      <c r="E94" s="547">
        <v>0</v>
      </c>
      <c r="F94" s="487"/>
      <c r="H94" s="349">
        <v>16090</v>
      </c>
      <c r="I94" s="347" t="s">
        <v>781</v>
      </c>
      <c r="J94" s="180" t="s">
        <v>658</v>
      </c>
      <c r="K94" s="546">
        <v>2</v>
      </c>
      <c r="L94" s="547">
        <v>27.808872999999998</v>
      </c>
    </row>
    <row r="95" spans="1:12" x14ac:dyDescent="0.2">
      <c r="A95" s="180">
        <v>20274</v>
      </c>
      <c r="B95" s="180" t="s">
        <v>420</v>
      </c>
      <c r="C95" s="180" t="s">
        <v>673</v>
      </c>
      <c r="D95" s="546">
        <v>0</v>
      </c>
      <c r="E95" s="547">
        <v>0</v>
      </c>
      <c r="F95" s="487"/>
      <c r="H95" s="349">
        <v>7405</v>
      </c>
      <c r="I95" s="181" t="s">
        <v>725</v>
      </c>
      <c r="J95" s="180" t="s">
        <v>653</v>
      </c>
      <c r="K95" s="546">
        <v>0</v>
      </c>
      <c r="L95" s="547">
        <v>0</v>
      </c>
    </row>
    <row r="96" spans="1:12" x14ac:dyDescent="0.2">
      <c r="A96" s="180">
        <v>20305</v>
      </c>
      <c r="B96" s="180" t="s">
        <v>693</v>
      </c>
      <c r="C96" s="180" t="s">
        <v>670</v>
      </c>
      <c r="D96" s="546">
        <v>0</v>
      </c>
      <c r="E96" s="547">
        <v>0</v>
      </c>
      <c r="F96" s="487"/>
      <c r="H96" s="349">
        <v>15273</v>
      </c>
      <c r="I96" s="181" t="s">
        <v>544</v>
      </c>
      <c r="J96" s="180" t="s">
        <v>655</v>
      </c>
      <c r="K96" s="546">
        <v>0</v>
      </c>
      <c r="L96" s="547">
        <v>0</v>
      </c>
    </row>
    <row r="97" spans="1:12" x14ac:dyDescent="0.2">
      <c r="A97" s="180">
        <v>20340</v>
      </c>
      <c r="B97" s="180" t="s">
        <v>421</v>
      </c>
      <c r="C97" s="180" t="s">
        <v>655</v>
      </c>
      <c r="D97" s="546">
        <v>17</v>
      </c>
      <c r="E97" s="547">
        <v>751.6278010000002</v>
      </c>
      <c r="F97" s="487"/>
      <c r="H97" s="349">
        <v>15729</v>
      </c>
      <c r="I97" s="181" t="s">
        <v>545</v>
      </c>
      <c r="J97" s="180" t="s">
        <v>662</v>
      </c>
      <c r="K97" s="546">
        <v>10</v>
      </c>
      <c r="L97" s="547">
        <v>22.306782999999999</v>
      </c>
    </row>
    <row r="98" spans="1:12" x14ac:dyDescent="0.2">
      <c r="A98" s="180">
        <v>20487</v>
      </c>
      <c r="B98" s="180" t="s">
        <v>422</v>
      </c>
      <c r="C98" s="180" t="s">
        <v>648</v>
      </c>
      <c r="D98" s="546">
        <v>0</v>
      </c>
      <c r="E98" s="547">
        <v>0</v>
      </c>
      <c r="F98" s="487"/>
      <c r="H98" s="349">
        <v>16530</v>
      </c>
      <c r="I98" s="181" t="s">
        <v>547</v>
      </c>
      <c r="J98" s="180" t="s">
        <v>658</v>
      </c>
      <c r="K98" s="546">
        <v>14</v>
      </c>
      <c r="L98" s="547">
        <v>7</v>
      </c>
    </row>
    <row r="99" spans="1:12" x14ac:dyDescent="0.2">
      <c r="A99" s="180">
        <v>20489</v>
      </c>
      <c r="B99" s="180" t="s">
        <v>423</v>
      </c>
      <c r="C99" s="180" t="s">
        <v>673</v>
      </c>
      <c r="D99" s="546">
        <v>1</v>
      </c>
      <c r="E99" s="547">
        <v>0</v>
      </c>
      <c r="F99" s="487"/>
      <c r="H99" s="349">
        <v>7776</v>
      </c>
      <c r="I99" s="181" t="s">
        <v>548</v>
      </c>
      <c r="J99" s="180" t="s">
        <v>652</v>
      </c>
      <c r="K99" s="546">
        <v>0</v>
      </c>
      <c r="L99" s="547">
        <v>0</v>
      </c>
    </row>
    <row r="100" spans="1:12" x14ac:dyDescent="0.2">
      <c r="A100" s="180">
        <v>20493</v>
      </c>
      <c r="B100" s="180" t="s">
        <v>940</v>
      </c>
      <c r="C100" s="180" t="s">
        <v>672</v>
      </c>
      <c r="D100" s="546">
        <v>1</v>
      </c>
      <c r="E100" s="547">
        <v>0</v>
      </c>
      <c r="F100" s="487"/>
      <c r="H100" s="349">
        <v>16329</v>
      </c>
      <c r="I100" s="181" t="s">
        <v>549</v>
      </c>
      <c r="J100" s="180" t="s">
        <v>648</v>
      </c>
      <c r="K100" s="546">
        <v>0</v>
      </c>
      <c r="L100" s="547">
        <v>0</v>
      </c>
    </row>
    <row r="101" spans="1:12" x14ac:dyDescent="0.2">
      <c r="A101" s="180">
        <v>20509</v>
      </c>
      <c r="B101" s="180" t="s">
        <v>424</v>
      </c>
      <c r="C101" s="180" t="s">
        <v>951</v>
      </c>
      <c r="D101" s="546">
        <v>0</v>
      </c>
      <c r="E101" s="547">
        <v>0</v>
      </c>
      <c r="F101" s="487"/>
      <c r="H101" s="349">
        <v>16036</v>
      </c>
      <c r="I101" s="181" t="s">
        <v>550</v>
      </c>
      <c r="J101" s="180" t="s">
        <v>648</v>
      </c>
      <c r="K101" s="546">
        <v>7</v>
      </c>
      <c r="L101" s="547">
        <v>1.7526189999999999</v>
      </c>
    </row>
    <row r="102" spans="1:12" x14ac:dyDescent="0.2">
      <c r="A102" s="180">
        <v>20530</v>
      </c>
      <c r="B102" s="180" t="s">
        <v>704</v>
      </c>
      <c r="C102" s="180" t="s">
        <v>655</v>
      </c>
      <c r="D102" s="546">
        <v>0</v>
      </c>
      <c r="E102" s="547">
        <v>0</v>
      </c>
      <c r="F102" s="487"/>
      <c r="H102" s="349">
        <v>17012</v>
      </c>
      <c r="I102" s="180" t="s">
        <v>743</v>
      </c>
      <c r="J102" s="180" t="s">
        <v>653</v>
      </c>
      <c r="K102" s="546">
        <v>13</v>
      </c>
      <c r="L102" s="547">
        <v>7</v>
      </c>
    </row>
    <row r="103" spans="1:12" x14ac:dyDescent="0.2">
      <c r="A103" s="180">
        <v>20548</v>
      </c>
      <c r="B103" s="180" t="s">
        <v>425</v>
      </c>
      <c r="C103" s="180" t="s">
        <v>648</v>
      </c>
      <c r="D103" s="546">
        <v>0</v>
      </c>
      <c r="E103" s="547">
        <v>0</v>
      </c>
      <c r="F103" s="487"/>
      <c r="H103" s="349">
        <v>15655</v>
      </c>
      <c r="I103" s="181" t="s">
        <v>551</v>
      </c>
      <c r="J103" s="180" t="s">
        <v>648</v>
      </c>
      <c r="K103" s="546">
        <v>1</v>
      </c>
      <c r="L103" s="547">
        <v>0</v>
      </c>
    </row>
    <row r="104" spans="1:12" x14ac:dyDescent="0.2">
      <c r="A104" s="180">
        <v>20567</v>
      </c>
      <c r="B104" s="180" t="s">
        <v>426</v>
      </c>
      <c r="C104" s="180" t="s">
        <v>673</v>
      </c>
      <c r="D104" s="546">
        <v>0</v>
      </c>
      <c r="E104" s="547">
        <v>0</v>
      </c>
      <c r="F104" s="487"/>
      <c r="H104" s="349">
        <v>14501</v>
      </c>
      <c r="I104" s="180" t="s">
        <v>552</v>
      </c>
      <c r="J104" s="180" t="s">
        <v>648</v>
      </c>
      <c r="K104" s="546">
        <v>0</v>
      </c>
      <c r="L104" s="547">
        <v>0</v>
      </c>
    </row>
    <row r="105" spans="1:12" x14ac:dyDescent="0.2">
      <c r="A105" s="180">
        <v>20650</v>
      </c>
      <c r="B105" s="180" t="s">
        <v>705</v>
      </c>
      <c r="C105" s="180" t="s">
        <v>691</v>
      </c>
      <c r="D105" s="546">
        <v>0</v>
      </c>
      <c r="E105" s="547">
        <v>0</v>
      </c>
      <c r="F105" s="487"/>
      <c r="H105" s="349">
        <v>1497</v>
      </c>
      <c r="I105" s="181" t="s">
        <v>554</v>
      </c>
      <c r="J105" s="180" t="s">
        <v>648</v>
      </c>
      <c r="K105" s="546">
        <v>0</v>
      </c>
      <c r="L105" s="547">
        <v>0</v>
      </c>
    </row>
    <row r="106" spans="1:12" x14ac:dyDescent="0.2">
      <c r="A106" s="180">
        <v>20655</v>
      </c>
      <c r="B106" s="180" t="s">
        <v>427</v>
      </c>
      <c r="C106" s="180" t="s">
        <v>664</v>
      </c>
      <c r="D106" s="546">
        <v>0</v>
      </c>
      <c r="E106" s="547">
        <v>0</v>
      </c>
      <c r="F106" s="487"/>
      <c r="H106" s="349">
        <v>3894</v>
      </c>
      <c r="I106" s="181" t="s">
        <v>555</v>
      </c>
      <c r="J106" s="180" t="s">
        <v>648</v>
      </c>
      <c r="K106" s="546">
        <v>0</v>
      </c>
      <c r="L106" s="547">
        <v>0</v>
      </c>
    </row>
    <row r="107" spans="1:12" x14ac:dyDescent="0.2">
      <c r="A107" s="180">
        <v>20661</v>
      </c>
      <c r="B107" s="180" t="s">
        <v>428</v>
      </c>
      <c r="C107" s="180" t="s">
        <v>690</v>
      </c>
      <c r="D107" s="546">
        <v>7</v>
      </c>
      <c r="E107" s="547">
        <v>53.391776</v>
      </c>
      <c r="F107" s="487"/>
      <c r="H107" s="349">
        <v>5385</v>
      </c>
      <c r="I107" s="181" t="s">
        <v>556</v>
      </c>
      <c r="J107" s="180" t="s">
        <v>648</v>
      </c>
      <c r="K107" s="546">
        <v>0</v>
      </c>
      <c r="L107" s="547">
        <v>0</v>
      </c>
    </row>
    <row r="108" spans="1:12" x14ac:dyDescent="0.2">
      <c r="A108" s="180">
        <v>20722</v>
      </c>
      <c r="B108" s="180" t="s">
        <v>429</v>
      </c>
      <c r="C108" s="180" t="s">
        <v>648</v>
      </c>
      <c r="D108" s="546">
        <v>0</v>
      </c>
      <c r="E108" s="547">
        <v>0</v>
      </c>
      <c r="F108" s="487"/>
      <c r="H108" s="349">
        <v>7431</v>
      </c>
      <c r="I108" s="181" t="s">
        <v>557</v>
      </c>
      <c r="J108" s="180" t="s">
        <v>672</v>
      </c>
      <c r="K108" s="546">
        <v>0</v>
      </c>
      <c r="L108" s="547">
        <v>0</v>
      </c>
    </row>
    <row r="109" spans="1:12" x14ac:dyDescent="0.2">
      <c r="A109" s="180">
        <v>20753</v>
      </c>
      <c r="B109" s="180" t="s">
        <v>430</v>
      </c>
      <c r="C109" s="180" t="s">
        <v>648</v>
      </c>
      <c r="D109" s="546">
        <v>0</v>
      </c>
      <c r="E109" s="547">
        <v>0</v>
      </c>
      <c r="F109" s="487"/>
      <c r="H109" s="349">
        <v>7517</v>
      </c>
      <c r="I109" s="181" t="s">
        <v>559</v>
      </c>
      <c r="J109" s="180" t="s">
        <v>650</v>
      </c>
      <c r="K109" s="546">
        <v>7</v>
      </c>
      <c r="L109" s="547">
        <v>0</v>
      </c>
    </row>
    <row r="110" spans="1:12" x14ac:dyDescent="0.2">
      <c r="A110" s="180">
        <v>20775</v>
      </c>
      <c r="B110" s="180" t="s">
        <v>431</v>
      </c>
      <c r="C110" s="180" t="s">
        <v>648</v>
      </c>
      <c r="D110" s="546">
        <v>0</v>
      </c>
      <c r="E110" s="547">
        <v>0</v>
      </c>
      <c r="F110" s="487"/>
      <c r="H110" s="349">
        <v>7667</v>
      </c>
      <c r="I110" s="181" t="s">
        <v>560</v>
      </c>
      <c r="J110" s="180" t="s">
        <v>651</v>
      </c>
      <c r="K110" s="546">
        <v>10</v>
      </c>
      <c r="L110" s="547">
        <v>68.640320000000003</v>
      </c>
    </row>
    <row r="111" spans="1:12" x14ac:dyDescent="0.2">
      <c r="A111" s="180">
        <v>20796</v>
      </c>
      <c r="B111" s="180" t="s">
        <v>432</v>
      </c>
      <c r="C111" s="180" t="s">
        <v>648</v>
      </c>
      <c r="D111" s="546">
        <v>0</v>
      </c>
      <c r="E111" s="547">
        <v>0</v>
      </c>
      <c r="F111" s="487"/>
      <c r="H111" s="349">
        <v>7773</v>
      </c>
      <c r="I111" s="181" t="s">
        <v>561</v>
      </c>
      <c r="J111" s="180" t="s">
        <v>648</v>
      </c>
      <c r="K111" s="546">
        <v>0</v>
      </c>
      <c r="L111" s="547">
        <v>0</v>
      </c>
    </row>
    <row r="112" spans="1:12" x14ac:dyDescent="0.2">
      <c r="A112" s="180">
        <v>20825</v>
      </c>
      <c r="B112" s="180" t="s">
        <v>433</v>
      </c>
      <c r="C112" s="180" t="s">
        <v>648</v>
      </c>
      <c r="D112" s="546">
        <v>0</v>
      </c>
      <c r="E112" s="547">
        <v>0</v>
      </c>
      <c r="F112" s="487"/>
      <c r="H112" s="349">
        <v>7845</v>
      </c>
      <c r="I112" s="181" t="s">
        <v>562</v>
      </c>
      <c r="J112" s="180" t="s">
        <v>648</v>
      </c>
      <c r="K112" s="546">
        <v>0</v>
      </c>
      <c r="L112" s="547">
        <v>0</v>
      </c>
    </row>
    <row r="113" spans="1:12" x14ac:dyDescent="0.2">
      <c r="A113" s="180">
        <v>20838</v>
      </c>
      <c r="B113" s="180" t="s">
        <v>434</v>
      </c>
      <c r="C113" s="180" t="s">
        <v>658</v>
      </c>
      <c r="D113" s="546">
        <v>0</v>
      </c>
      <c r="E113" s="547">
        <v>0</v>
      </c>
      <c r="F113" s="487"/>
      <c r="H113" s="349">
        <v>7931</v>
      </c>
      <c r="I113" s="181" t="s">
        <v>563</v>
      </c>
      <c r="J113" s="180" t="s">
        <v>950</v>
      </c>
      <c r="K113" s="546">
        <v>0</v>
      </c>
      <c r="L113" s="547">
        <v>0</v>
      </c>
    </row>
    <row r="114" spans="1:12" x14ac:dyDescent="0.2">
      <c r="A114" s="180">
        <v>20855</v>
      </c>
      <c r="B114" s="180" t="s">
        <v>435</v>
      </c>
      <c r="C114" s="180" t="s">
        <v>648</v>
      </c>
      <c r="D114" s="546">
        <v>0</v>
      </c>
      <c r="E114" s="547">
        <v>0</v>
      </c>
      <c r="F114" s="487"/>
      <c r="H114" s="349">
        <v>7982</v>
      </c>
      <c r="I114" s="181" t="s">
        <v>564</v>
      </c>
      <c r="J114" s="180" t="s">
        <v>659</v>
      </c>
      <c r="K114" s="546">
        <v>0</v>
      </c>
      <c r="L114" s="547">
        <v>0</v>
      </c>
    </row>
    <row r="115" spans="1:12" x14ac:dyDescent="0.2">
      <c r="A115" s="180">
        <v>20876</v>
      </c>
      <c r="B115" s="180" t="s">
        <v>436</v>
      </c>
      <c r="C115" s="180" t="s">
        <v>648</v>
      </c>
      <c r="D115" s="546">
        <v>0</v>
      </c>
      <c r="E115" s="547">
        <v>0</v>
      </c>
      <c r="F115" s="487"/>
      <c r="H115" s="349">
        <v>8058</v>
      </c>
      <c r="I115" s="181" t="s">
        <v>566</v>
      </c>
      <c r="J115" s="180" t="s">
        <v>671</v>
      </c>
      <c r="K115" s="546">
        <v>0</v>
      </c>
      <c r="L115" s="547">
        <v>0</v>
      </c>
    </row>
    <row r="116" spans="1:12" x14ac:dyDescent="0.2">
      <c r="A116" s="180">
        <v>20892</v>
      </c>
      <c r="B116" s="180" t="s">
        <v>437</v>
      </c>
      <c r="C116" s="180" t="s">
        <v>670</v>
      </c>
      <c r="D116" s="546">
        <v>5</v>
      </c>
      <c r="E116" s="547">
        <v>23.6752</v>
      </c>
      <c r="F116" s="487"/>
      <c r="H116" s="349">
        <v>8099</v>
      </c>
      <c r="I116" s="181" t="s">
        <v>567</v>
      </c>
      <c r="J116" s="180" t="s">
        <v>656</v>
      </c>
      <c r="K116" s="546">
        <v>0</v>
      </c>
      <c r="L116" s="547">
        <v>0</v>
      </c>
    </row>
    <row r="117" spans="1:12" x14ac:dyDescent="0.2">
      <c r="A117" s="180">
        <v>20904</v>
      </c>
      <c r="B117" s="180" t="s">
        <v>438</v>
      </c>
      <c r="C117" s="180" t="s">
        <v>672</v>
      </c>
      <c r="D117" s="546">
        <v>0</v>
      </c>
      <c r="E117" s="547">
        <v>0</v>
      </c>
      <c r="F117" s="487"/>
      <c r="H117" s="349">
        <v>8244</v>
      </c>
      <c r="I117" s="181" t="s">
        <v>569</v>
      </c>
      <c r="J117" s="180" t="s">
        <v>688</v>
      </c>
      <c r="K117" s="546">
        <v>2</v>
      </c>
      <c r="L117" s="547">
        <v>0</v>
      </c>
    </row>
    <row r="118" spans="1:12" x14ac:dyDescent="0.2">
      <c r="A118" s="180">
        <v>20905</v>
      </c>
      <c r="B118" s="180" t="s">
        <v>439</v>
      </c>
      <c r="C118" s="180" t="s">
        <v>672</v>
      </c>
      <c r="D118" s="546">
        <v>2</v>
      </c>
      <c r="E118" s="547">
        <v>4</v>
      </c>
      <c r="F118" s="487"/>
      <c r="H118" s="349">
        <v>8409</v>
      </c>
      <c r="I118" s="181" t="s">
        <v>570</v>
      </c>
      <c r="J118" s="180" t="s">
        <v>950</v>
      </c>
      <c r="K118" s="546">
        <v>0</v>
      </c>
      <c r="L118" s="547">
        <v>0</v>
      </c>
    </row>
    <row r="119" spans="1:12" x14ac:dyDescent="0.2">
      <c r="A119" s="180">
        <v>20908</v>
      </c>
      <c r="B119" s="180" t="s">
        <v>440</v>
      </c>
      <c r="C119" s="180" t="s">
        <v>670</v>
      </c>
      <c r="D119" s="546">
        <v>101</v>
      </c>
      <c r="E119" s="547">
        <v>1336.909803</v>
      </c>
      <c r="F119" s="487"/>
      <c r="H119" s="349">
        <v>8446</v>
      </c>
      <c r="I119" s="181" t="s">
        <v>571</v>
      </c>
      <c r="J119" s="180" t="s">
        <v>648</v>
      </c>
      <c r="K119" s="546">
        <v>0</v>
      </c>
      <c r="L119" s="547">
        <v>0</v>
      </c>
    </row>
    <row r="120" spans="1:12" x14ac:dyDescent="0.2">
      <c r="A120" s="180">
        <v>20912</v>
      </c>
      <c r="B120" s="180" t="s">
        <v>441</v>
      </c>
      <c r="C120" s="180" t="s">
        <v>648</v>
      </c>
      <c r="D120" s="546">
        <v>3</v>
      </c>
      <c r="E120" s="547">
        <v>78.653993999999997</v>
      </c>
      <c r="F120" s="487"/>
      <c r="H120" s="349">
        <v>8504</v>
      </c>
      <c r="I120" s="181" t="s">
        <v>572</v>
      </c>
      <c r="J120" s="180" t="s">
        <v>648</v>
      </c>
      <c r="K120" s="546">
        <v>0</v>
      </c>
      <c r="L120" s="547">
        <v>0</v>
      </c>
    </row>
    <row r="121" spans="1:12" x14ac:dyDescent="0.2">
      <c r="A121" s="180">
        <v>20922</v>
      </c>
      <c r="B121" s="180" t="s">
        <v>442</v>
      </c>
      <c r="C121" s="180" t="s">
        <v>648</v>
      </c>
      <c r="D121" s="546">
        <v>0</v>
      </c>
      <c r="E121" s="547">
        <v>0</v>
      </c>
      <c r="F121" s="487"/>
      <c r="H121" s="349">
        <v>8529</v>
      </c>
      <c r="I121" s="180" t="s">
        <v>731</v>
      </c>
      <c r="J121" s="180" t="s">
        <v>653</v>
      </c>
      <c r="K121" s="546">
        <v>0</v>
      </c>
      <c r="L121" s="547">
        <v>0</v>
      </c>
    </row>
    <row r="122" spans="1:12" x14ac:dyDescent="0.2">
      <c r="A122" s="180">
        <v>20943</v>
      </c>
      <c r="B122" s="180" t="s">
        <v>443</v>
      </c>
      <c r="C122" s="180" t="s">
        <v>648</v>
      </c>
      <c r="D122" s="546">
        <v>0</v>
      </c>
      <c r="E122" s="547">
        <v>0</v>
      </c>
      <c r="F122" s="487"/>
      <c r="H122" s="349">
        <v>8589</v>
      </c>
      <c r="I122" s="181" t="s">
        <v>574</v>
      </c>
      <c r="J122" s="180" t="s">
        <v>649</v>
      </c>
      <c r="K122" s="546">
        <v>90</v>
      </c>
      <c r="L122" s="547">
        <v>0</v>
      </c>
    </row>
    <row r="123" spans="1:12" x14ac:dyDescent="0.2">
      <c r="A123" s="180">
        <v>21005</v>
      </c>
      <c r="B123" s="180" t="s">
        <v>444</v>
      </c>
      <c r="C123" s="180" t="s">
        <v>648</v>
      </c>
      <c r="D123" s="546">
        <v>0</v>
      </c>
      <c r="E123" s="547">
        <v>0</v>
      </c>
      <c r="F123" s="487"/>
      <c r="H123" s="349">
        <v>8659</v>
      </c>
      <c r="I123" s="181" t="s">
        <v>575</v>
      </c>
      <c r="J123" s="180" t="s">
        <v>648</v>
      </c>
      <c r="K123" s="546">
        <v>0</v>
      </c>
      <c r="L123" s="547">
        <v>0</v>
      </c>
    </row>
    <row r="124" spans="1:12" x14ac:dyDescent="0.2">
      <c r="A124" s="180">
        <v>21015</v>
      </c>
      <c r="B124" s="180" t="s">
        <v>942</v>
      </c>
      <c r="C124" s="180" t="s">
        <v>648</v>
      </c>
      <c r="D124" s="546">
        <v>8</v>
      </c>
      <c r="E124" s="547">
        <v>0</v>
      </c>
      <c r="F124" s="487"/>
      <c r="H124" s="349">
        <v>8860</v>
      </c>
      <c r="I124" s="181" t="s">
        <v>577</v>
      </c>
      <c r="J124" s="180" t="s">
        <v>659</v>
      </c>
      <c r="K124" s="546">
        <v>0</v>
      </c>
      <c r="L124" s="547">
        <v>0</v>
      </c>
    </row>
    <row r="125" spans="1:12" x14ac:dyDescent="0.2">
      <c r="A125" s="180">
        <v>21060</v>
      </c>
      <c r="B125" s="180" t="s">
        <v>445</v>
      </c>
      <c r="C125" s="180" t="s">
        <v>648</v>
      </c>
      <c r="D125" s="546">
        <v>0</v>
      </c>
      <c r="E125" s="547">
        <v>0</v>
      </c>
      <c r="F125" s="487"/>
      <c r="H125" s="349">
        <v>8861</v>
      </c>
      <c r="I125" s="181" t="s">
        <v>578</v>
      </c>
      <c r="J125" s="180" t="s">
        <v>950</v>
      </c>
      <c r="K125" s="546">
        <v>0</v>
      </c>
      <c r="L125" s="547">
        <v>0</v>
      </c>
    </row>
    <row r="126" spans="1:12" x14ac:dyDescent="0.2">
      <c r="A126" s="180">
        <v>21068</v>
      </c>
      <c r="B126" s="180" t="s">
        <v>680</v>
      </c>
      <c r="C126" s="180" t="s">
        <v>752</v>
      </c>
      <c r="D126" s="546">
        <v>0</v>
      </c>
      <c r="E126" s="547">
        <v>0</v>
      </c>
      <c r="F126" s="487"/>
      <c r="H126" s="349">
        <v>9157</v>
      </c>
      <c r="I126" s="181" t="s">
        <v>579</v>
      </c>
      <c r="J126" s="180" t="s">
        <v>659</v>
      </c>
      <c r="K126" s="546">
        <v>0</v>
      </c>
      <c r="L126" s="547">
        <v>0</v>
      </c>
    </row>
    <row r="127" spans="1:12" x14ac:dyDescent="0.2">
      <c r="A127" s="180">
        <v>21086</v>
      </c>
      <c r="B127" s="180" t="s">
        <v>446</v>
      </c>
      <c r="C127" s="180" t="s">
        <v>648</v>
      </c>
      <c r="D127" s="546">
        <v>3</v>
      </c>
      <c r="E127" s="547">
        <v>16.759508</v>
      </c>
      <c r="F127" s="487"/>
      <c r="H127" s="349">
        <v>9183</v>
      </c>
      <c r="I127" s="181" t="s">
        <v>580</v>
      </c>
      <c r="J127" s="180" t="s">
        <v>657</v>
      </c>
      <c r="K127" s="546">
        <v>0</v>
      </c>
      <c r="L127" s="547">
        <v>0</v>
      </c>
    </row>
    <row r="128" spans="1:12" x14ac:dyDescent="0.2">
      <c r="A128" s="180">
        <v>21114</v>
      </c>
      <c r="B128" s="180" t="s">
        <v>447</v>
      </c>
      <c r="C128" s="180" t="s">
        <v>648</v>
      </c>
      <c r="D128" s="546">
        <v>0</v>
      </c>
      <c r="E128" s="547">
        <v>0</v>
      </c>
      <c r="F128" s="487"/>
      <c r="H128" s="349">
        <v>9237</v>
      </c>
      <c r="I128" s="181" t="s">
        <v>685</v>
      </c>
      <c r="J128" s="180" t="s">
        <v>648</v>
      </c>
      <c r="K128" s="546">
        <v>0</v>
      </c>
      <c r="L128" s="547">
        <v>0</v>
      </c>
    </row>
    <row r="129" spans="1:12" x14ac:dyDescent="0.2">
      <c r="A129" s="180">
        <v>21267</v>
      </c>
      <c r="B129" s="180" t="s">
        <v>793</v>
      </c>
      <c r="C129" s="180" t="s">
        <v>673</v>
      </c>
      <c r="D129" s="546">
        <v>0</v>
      </c>
      <c r="E129" s="547">
        <v>0</v>
      </c>
      <c r="F129" s="487"/>
      <c r="H129" s="349">
        <v>9258</v>
      </c>
      <c r="I129" s="181" t="s">
        <v>581</v>
      </c>
      <c r="J129" s="180" t="s">
        <v>681</v>
      </c>
      <c r="K129" s="546">
        <v>0</v>
      </c>
      <c r="L129" s="547">
        <v>0</v>
      </c>
    </row>
    <row r="130" spans="1:12" x14ac:dyDescent="0.2">
      <c r="A130" s="180">
        <v>21347</v>
      </c>
      <c r="B130" s="180" t="s">
        <v>449</v>
      </c>
      <c r="C130" s="180" t="s">
        <v>949</v>
      </c>
      <c r="D130" s="546">
        <v>0</v>
      </c>
      <c r="E130" s="547">
        <v>0</v>
      </c>
      <c r="F130" s="487"/>
      <c r="H130" s="349">
        <v>9464</v>
      </c>
      <c r="I130" s="181" t="s">
        <v>584</v>
      </c>
      <c r="J130" s="180" t="s">
        <v>658</v>
      </c>
      <c r="K130" s="546">
        <v>26</v>
      </c>
      <c r="L130" s="547">
        <v>382.52418799999998</v>
      </c>
    </row>
    <row r="131" spans="1:12" x14ac:dyDescent="0.2">
      <c r="A131" s="180">
        <v>21349</v>
      </c>
      <c r="B131" s="180" t="s">
        <v>450</v>
      </c>
      <c r="C131" s="180" t="s">
        <v>658</v>
      </c>
      <c r="D131" s="546">
        <v>2</v>
      </c>
      <c r="E131" s="547">
        <v>0</v>
      </c>
      <c r="F131" s="487"/>
      <c r="H131" s="349">
        <v>10819</v>
      </c>
      <c r="I131" s="180" t="s">
        <v>751</v>
      </c>
      <c r="J131" s="180" t="s">
        <v>671</v>
      </c>
      <c r="K131" s="546">
        <v>2</v>
      </c>
      <c r="L131" s="547">
        <v>0</v>
      </c>
    </row>
    <row r="132" spans="1:12" x14ac:dyDescent="0.2">
      <c r="A132" s="180">
        <v>21384</v>
      </c>
      <c r="B132" s="180" t="s">
        <v>451</v>
      </c>
      <c r="C132" s="180" t="s">
        <v>950</v>
      </c>
      <c r="D132" s="546">
        <v>0</v>
      </c>
      <c r="E132" s="547">
        <v>0</v>
      </c>
      <c r="F132" s="487"/>
      <c r="H132" s="349">
        <v>10826</v>
      </c>
      <c r="I132" s="181" t="s">
        <v>585</v>
      </c>
      <c r="J132" s="180" t="s">
        <v>648</v>
      </c>
      <c r="K132" s="546">
        <v>0</v>
      </c>
      <c r="L132" s="547">
        <v>0</v>
      </c>
    </row>
    <row r="133" spans="1:12" x14ac:dyDescent="0.2">
      <c r="A133" s="180">
        <v>21420</v>
      </c>
      <c r="B133" s="180" t="s">
        <v>452</v>
      </c>
      <c r="C133" s="180" t="s">
        <v>648</v>
      </c>
      <c r="D133" s="546">
        <v>0</v>
      </c>
      <c r="E133" s="547">
        <v>0</v>
      </c>
      <c r="F133" s="487"/>
      <c r="H133" s="349">
        <v>10858</v>
      </c>
      <c r="I133" s="181" t="s">
        <v>586</v>
      </c>
      <c r="J133" s="180" t="s">
        <v>752</v>
      </c>
      <c r="K133" s="546">
        <v>0</v>
      </c>
      <c r="L133" s="547">
        <v>0</v>
      </c>
    </row>
    <row r="134" spans="1:12" x14ac:dyDescent="0.2">
      <c r="A134" s="180">
        <v>21427</v>
      </c>
      <c r="B134" s="180" t="s">
        <v>453</v>
      </c>
      <c r="C134" s="180" t="s">
        <v>648</v>
      </c>
      <c r="D134" s="546">
        <v>0</v>
      </c>
      <c r="E134" s="547">
        <v>0</v>
      </c>
      <c r="F134" s="487"/>
      <c r="H134" s="349">
        <v>10887</v>
      </c>
      <c r="I134" s="181" t="s">
        <v>587</v>
      </c>
      <c r="J134" s="180" t="s">
        <v>662</v>
      </c>
      <c r="K134" s="546">
        <v>0</v>
      </c>
      <c r="L134" s="547">
        <v>0</v>
      </c>
    </row>
    <row r="135" spans="1:12" x14ac:dyDescent="0.2">
      <c r="A135" s="180">
        <v>21462</v>
      </c>
      <c r="B135" s="180" t="s">
        <v>454</v>
      </c>
      <c r="C135" s="180" t="s">
        <v>661</v>
      </c>
      <c r="D135" s="546">
        <v>2</v>
      </c>
      <c r="E135" s="547">
        <v>14</v>
      </c>
      <c r="F135" s="487"/>
      <c r="H135" s="349">
        <v>10940</v>
      </c>
      <c r="I135" s="181" t="s">
        <v>588</v>
      </c>
      <c r="J135" s="180" t="s">
        <v>648</v>
      </c>
      <c r="K135" s="546">
        <v>0</v>
      </c>
      <c r="L135" s="547">
        <v>0</v>
      </c>
    </row>
    <row r="136" spans="1:12" x14ac:dyDescent="0.2">
      <c r="A136" s="180">
        <v>21497</v>
      </c>
      <c r="B136" s="180" t="s">
        <v>455</v>
      </c>
      <c r="C136" s="180" t="s">
        <v>673</v>
      </c>
      <c r="D136" s="546">
        <v>6</v>
      </c>
      <c r="E136" s="547">
        <v>62.414827000000002</v>
      </c>
      <c r="F136" s="487"/>
      <c r="H136" s="349">
        <v>10942</v>
      </c>
      <c r="I136" s="181" t="s">
        <v>346</v>
      </c>
      <c r="J136" s="180" t="s">
        <v>663</v>
      </c>
      <c r="K136" s="546">
        <v>0</v>
      </c>
      <c r="L136" s="547">
        <v>0</v>
      </c>
    </row>
    <row r="137" spans="1:12" x14ac:dyDescent="0.2">
      <c r="A137" s="180">
        <v>21501</v>
      </c>
      <c r="B137" s="180" t="s">
        <v>456</v>
      </c>
      <c r="C137" s="180" t="s">
        <v>690</v>
      </c>
      <c r="D137" s="546">
        <v>0</v>
      </c>
      <c r="E137" s="547">
        <v>0</v>
      </c>
      <c r="F137" s="487"/>
      <c r="H137" s="349">
        <v>10949</v>
      </c>
      <c r="I137" s="181" t="s">
        <v>589</v>
      </c>
      <c r="J137" s="180" t="s">
        <v>648</v>
      </c>
      <c r="K137" s="546">
        <v>0</v>
      </c>
      <c r="L137" s="547">
        <v>0</v>
      </c>
    </row>
    <row r="138" spans="1:12" x14ac:dyDescent="0.2">
      <c r="A138" s="180">
        <v>21506</v>
      </c>
      <c r="B138" s="180" t="s">
        <v>457</v>
      </c>
      <c r="C138" s="180" t="s">
        <v>648</v>
      </c>
      <c r="D138" s="546">
        <v>0</v>
      </c>
      <c r="E138" s="547">
        <v>0</v>
      </c>
      <c r="F138" s="487"/>
      <c r="H138" s="349">
        <v>11003</v>
      </c>
      <c r="I138" s="181" t="s">
        <v>590</v>
      </c>
      <c r="J138" s="180" t="s">
        <v>648</v>
      </c>
      <c r="K138" s="546">
        <v>0</v>
      </c>
      <c r="L138" s="547">
        <v>0</v>
      </c>
    </row>
    <row r="139" spans="1:12" x14ac:dyDescent="0.2">
      <c r="A139" s="180">
        <v>21561</v>
      </c>
      <c r="B139" s="180" t="s">
        <v>458</v>
      </c>
      <c r="C139" s="180" t="s">
        <v>648</v>
      </c>
      <c r="D139" s="546">
        <v>0</v>
      </c>
      <c r="E139" s="547">
        <v>0</v>
      </c>
      <c r="F139" s="487"/>
      <c r="H139" s="349">
        <v>11247</v>
      </c>
      <c r="I139" s="181" t="s">
        <v>591</v>
      </c>
      <c r="J139" s="180" t="s">
        <v>648</v>
      </c>
      <c r="K139" s="546">
        <v>7</v>
      </c>
      <c r="L139" s="547">
        <v>52.742977999999994</v>
      </c>
    </row>
    <row r="140" spans="1:12" x14ac:dyDescent="0.2">
      <c r="A140" s="180">
        <v>21588</v>
      </c>
      <c r="B140" s="180" t="s">
        <v>459</v>
      </c>
      <c r="C140" s="180" t="s">
        <v>690</v>
      </c>
      <c r="D140" s="546">
        <v>0</v>
      </c>
      <c r="E140" s="547">
        <v>0</v>
      </c>
      <c r="F140" s="487"/>
      <c r="H140" s="349">
        <v>11288</v>
      </c>
      <c r="I140" s="180" t="s">
        <v>733</v>
      </c>
      <c r="J140" s="180" t="s">
        <v>752</v>
      </c>
      <c r="K140" s="546">
        <v>0</v>
      </c>
      <c r="L140" s="547">
        <v>0</v>
      </c>
    </row>
    <row r="141" spans="1:12" x14ac:dyDescent="0.2">
      <c r="A141" s="180">
        <v>21601</v>
      </c>
      <c r="B141" s="180" t="s">
        <v>878</v>
      </c>
      <c r="C141" s="180" t="s">
        <v>666</v>
      </c>
      <c r="D141" s="546">
        <v>2</v>
      </c>
      <c r="E141" s="547">
        <v>0</v>
      </c>
      <c r="F141" s="487"/>
      <c r="H141" s="349">
        <v>11355</v>
      </c>
      <c r="I141" s="181" t="s">
        <v>592</v>
      </c>
      <c r="J141" s="180" t="s">
        <v>648</v>
      </c>
      <c r="K141" s="546">
        <v>0</v>
      </c>
      <c r="L141" s="547">
        <v>0</v>
      </c>
    </row>
    <row r="142" spans="1:12" x14ac:dyDescent="0.2">
      <c r="A142" s="180">
        <v>21604</v>
      </c>
      <c r="B142" s="180" t="s">
        <v>460</v>
      </c>
      <c r="C142" s="180" t="s">
        <v>690</v>
      </c>
      <c r="D142" s="546">
        <v>0</v>
      </c>
      <c r="E142" s="547">
        <v>0</v>
      </c>
      <c r="F142" s="487"/>
      <c r="H142" s="349">
        <v>11696</v>
      </c>
      <c r="I142" s="181" t="s">
        <v>345</v>
      </c>
      <c r="J142" s="180" t="s">
        <v>664</v>
      </c>
      <c r="K142" s="546">
        <v>0</v>
      </c>
      <c r="L142" s="547">
        <v>0</v>
      </c>
    </row>
    <row r="143" spans="1:12" x14ac:dyDescent="0.2">
      <c r="A143" s="180">
        <v>21614</v>
      </c>
      <c r="B143" s="180" t="s">
        <v>461</v>
      </c>
      <c r="C143" s="180" t="s">
        <v>648</v>
      </c>
      <c r="D143" s="546">
        <v>0</v>
      </c>
      <c r="E143" s="547">
        <v>0</v>
      </c>
      <c r="F143" s="487"/>
      <c r="H143" s="349">
        <v>11726</v>
      </c>
      <c r="I143" s="181" t="s">
        <v>593</v>
      </c>
      <c r="J143" s="180" t="s">
        <v>665</v>
      </c>
      <c r="K143" s="546">
        <v>7</v>
      </c>
      <c r="L143" s="547">
        <v>123.61354899999999</v>
      </c>
    </row>
    <row r="144" spans="1:12" x14ac:dyDescent="0.2">
      <c r="A144" s="180">
        <v>21619</v>
      </c>
      <c r="B144" s="180" t="s">
        <v>462</v>
      </c>
      <c r="C144" s="180" t="s">
        <v>952</v>
      </c>
      <c r="D144" s="546">
        <v>1</v>
      </c>
      <c r="E144" s="547">
        <v>14</v>
      </c>
      <c r="F144" s="487"/>
      <c r="H144" s="350">
        <v>11767</v>
      </c>
      <c r="I144" s="196" t="s">
        <v>594</v>
      </c>
      <c r="J144" s="180" t="s">
        <v>648</v>
      </c>
      <c r="K144" s="546">
        <v>0</v>
      </c>
      <c r="L144" s="547">
        <v>0</v>
      </c>
    </row>
    <row r="145" spans="1:12" x14ac:dyDescent="0.2">
      <c r="A145" s="180">
        <v>21620</v>
      </c>
      <c r="B145" s="180" t="s">
        <v>463</v>
      </c>
      <c r="C145" s="180" t="s">
        <v>648</v>
      </c>
      <c r="D145" s="546">
        <v>0</v>
      </c>
      <c r="E145" s="547">
        <v>0</v>
      </c>
      <c r="F145" s="487"/>
      <c r="H145" s="349">
        <v>11955</v>
      </c>
      <c r="I145" s="181" t="s">
        <v>595</v>
      </c>
      <c r="J145" s="180" t="s">
        <v>655</v>
      </c>
      <c r="K145" s="546">
        <v>0</v>
      </c>
      <c r="L145" s="547">
        <v>0</v>
      </c>
    </row>
    <row r="146" spans="1:12" x14ac:dyDescent="0.2">
      <c r="A146" s="180">
        <v>21651</v>
      </c>
      <c r="B146" s="180" t="s">
        <v>464</v>
      </c>
      <c r="C146" s="180" t="s">
        <v>648</v>
      </c>
      <c r="D146" s="546">
        <v>0</v>
      </c>
      <c r="E146" s="547">
        <v>0</v>
      </c>
      <c r="F146" s="487"/>
      <c r="H146" s="349">
        <v>11973</v>
      </c>
      <c r="I146" s="181" t="s">
        <v>596</v>
      </c>
      <c r="J146" s="180" t="s">
        <v>667</v>
      </c>
      <c r="K146" s="546">
        <v>0</v>
      </c>
      <c r="L146" s="547">
        <v>0</v>
      </c>
    </row>
    <row r="147" spans="1:12" x14ac:dyDescent="0.2">
      <c r="A147" s="180">
        <v>21784</v>
      </c>
      <c r="B147" s="180" t="s">
        <v>736</v>
      </c>
      <c r="C147" s="180" t="s">
        <v>648</v>
      </c>
      <c r="D147" s="546">
        <v>0</v>
      </c>
      <c r="E147" s="547">
        <v>0</v>
      </c>
      <c r="F147" s="487"/>
      <c r="H147" s="349">
        <v>12035</v>
      </c>
      <c r="I147" s="181" t="s">
        <v>597</v>
      </c>
      <c r="J147" s="180" t="s">
        <v>651</v>
      </c>
      <c r="K147" s="546">
        <v>0</v>
      </c>
      <c r="L147" s="547">
        <v>0</v>
      </c>
    </row>
    <row r="148" spans="1:12" x14ac:dyDescent="0.2">
      <c r="A148" s="180">
        <v>21806</v>
      </c>
      <c r="B148" s="180" t="s">
        <v>466</v>
      </c>
      <c r="C148" s="180" t="s">
        <v>690</v>
      </c>
      <c r="D148" s="546">
        <v>0</v>
      </c>
      <c r="E148" s="547">
        <v>0</v>
      </c>
      <c r="F148" s="487"/>
      <c r="H148" s="349">
        <v>12188</v>
      </c>
      <c r="I148" s="181" t="s">
        <v>598</v>
      </c>
      <c r="J148" s="180" t="s">
        <v>648</v>
      </c>
      <c r="K148" s="546">
        <v>0</v>
      </c>
      <c r="L148" s="547">
        <v>0</v>
      </c>
    </row>
    <row r="149" spans="1:12" x14ac:dyDescent="0.2">
      <c r="A149" s="180">
        <v>21817</v>
      </c>
      <c r="B149" s="180" t="s">
        <v>340</v>
      </c>
      <c r="C149" s="180" t="s">
        <v>691</v>
      </c>
      <c r="D149" s="546">
        <v>0</v>
      </c>
      <c r="E149" s="547">
        <v>0</v>
      </c>
      <c r="F149" s="487"/>
      <c r="H149" s="349">
        <v>12195</v>
      </c>
      <c r="I149" s="181" t="s">
        <v>599</v>
      </c>
      <c r="J149" s="180" t="s">
        <v>668</v>
      </c>
      <c r="K149" s="546">
        <v>0</v>
      </c>
      <c r="L149" s="547">
        <v>0</v>
      </c>
    </row>
    <row r="150" spans="1:12" x14ac:dyDescent="0.2">
      <c r="A150" s="180">
        <v>21837</v>
      </c>
      <c r="B150" s="180" t="s">
        <v>467</v>
      </c>
      <c r="C150" s="180" t="s">
        <v>648</v>
      </c>
      <c r="D150" s="546">
        <v>0</v>
      </c>
      <c r="E150" s="547">
        <v>0</v>
      </c>
      <c r="F150" s="487"/>
      <c r="H150" s="349">
        <v>12239</v>
      </c>
      <c r="I150" s="181" t="s">
        <v>600</v>
      </c>
      <c r="J150" s="180" t="s">
        <v>667</v>
      </c>
      <c r="K150" s="546">
        <v>0</v>
      </c>
      <c r="L150" s="547">
        <v>0</v>
      </c>
    </row>
    <row r="151" spans="1:12" x14ac:dyDescent="0.2">
      <c r="A151" s="180">
        <v>21851</v>
      </c>
      <c r="B151" s="180" t="s">
        <v>468</v>
      </c>
      <c r="C151" s="180" t="s">
        <v>670</v>
      </c>
      <c r="D151" s="546">
        <v>231</v>
      </c>
      <c r="E151" s="547">
        <v>20808.704224000001</v>
      </c>
      <c r="F151" s="487"/>
      <c r="H151" s="349">
        <v>12397</v>
      </c>
      <c r="I151" s="181" t="s">
        <v>602</v>
      </c>
      <c r="J151" s="180" t="s">
        <v>661</v>
      </c>
      <c r="K151" s="546">
        <v>2</v>
      </c>
      <c r="L151" s="547">
        <v>0</v>
      </c>
    </row>
    <row r="152" spans="1:12" x14ac:dyDescent="0.2">
      <c r="A152" s="180">
        <v>21914</v>
      </c>
      <c r="B152" s="180" t="s">
        <v>469</v>
      </c>
      <c r="C152" s="180" t="s">
        <v>648</v>
      </c>
      <c r="D152" s="546">
        <v>0</v>
      </c>
      <c r="E152" s="547">
        <v>0</v>
      </c>
      <c r="F152" s="487"/>
      <c r="H152" s="349">
        <v>12498</v>
      </c>
      <c r="I152" s="181" t="s">
        <v>603</v>
      </c>
      <c r="J152" s="180" t="s">
        <v>648</v>
      </c>
      <c r="K152" s="546">
        <v>0</v>
      </c>
      <c r="L152" s="547">
        <v>0</v>
      </c>
    </row>
    <row r="153" spans="1:12" x14ac:dyDescent="0.2">
      <c r="A153" s="180">
        <v>22041</v>
      </c>
      <c r="B153" s="180" t="s">
        <v>470</v>
      </c>
      <c r="C153" s="180" t="s">
        <v>672</v>
      </c>
      <c r="D153" s="546">
        <v>21</v>
      </c>
      <c r="E153" s="547">
        <v>1115.4896500000002</v>
      </c>
      <c r="F153" s="487"/>
      <c r="H153" s="349">
        <v>12527</v>
      </c>
      <c r="I153" s="181" t="s">
        <v>604</v>
      </c>
      <c r="J153" s="180" t="s">
        <v>649</v>
      </c>
      <c r="K153" s="546">
        <v>0</v>
      </c>
      <c r="L153" s="547">
        <v>0</v>
      </c>
    </row>
    <row r="154" spans="1:12" x14ac:dyDescent="0.2">
      <c r="A154" s="180">
        <v>22098</v>
      </c>
      <c r="B154" s="180" t="s">
        <v>471</v>
      </c>
      <c r="C154" s="180" t="s">
        <v>648</v>
      </c>
      <c r="D154" s="546">
        <v>0</v>
      </c>
      <c r="E154" s="547">
        <v>0</v>
      </c>
      <c r="F154" s="487"/>
      <c r="H154" s="349">
        <v>12575</v>
      </c>
      <c r="I154" s="180" t="s">
        <v>605</v>
      </c>
      <c r="J154" s="180" t="s">
        <v>662</v>
      </c>
      <c r="K154" s="546">
        <v>0</v>
      </c>
      <c r="L154" s="547">
        <v>0</v>
      </c>
    </row>
    <row r="155" spans="1:12" x14ac:dyDescent="0.2">
      <c r="A155" s="180">
        <v>22122</v>
      </c>
      <c r="B155" s="180" t="s">
        <v>324</v>
      </c>
      <c r="C155" s="180" t="s">
        <v>689</v>
      </c>
      <c r="D155" s="546">
        <v>0</v>
      </c>
      <c r="E155" s="547">
        <v>0</v>
      </c>
      <c r="F155" s="487"/>
      <c r="H155" s="349">
        <v>12669</v>
      </c>
      <c r="I155" s="181" t="s">
        <v>606</v>
      </c>
      <c r="J155" s="180" t="s">
        <v>669</v>
      </c>
      <c r="K155" s="546">
        <v>0</v>
      </c>
      <c r="L155" s="547">
        <v>0</v>
      </c>
    </row>
    <row r="156" spans="1:12" x14ac:dyDescent="0.2">
      <c r="A156" s="180">
        <v>22125</v>
      </c>
      <c r="B156" s="180" t="s">
        <v>472</v>
      </c>
      <c r="C156" s="180" t="s">
        <v>648</v>
      </c>
      <c r="D156" s="546">
        <v>0</v>
      </c>
      <c r="E156" s="547">
        <v>0</v>
      </c>
      <c r="F156" s="487"/>
      <c r="H156" s="349">
        <v>12714</v>
      </c>
      <c r="I156" s="181" t="s">
        <v>608</v>
      </c>
      <c r="J156" s="180" t="s">
        <v>648</v>
      </c>
      <c r="K156" s="546">
        <v>0</v>
      </c>
      <c r="L156" s="547">
        <v>0</v>
      </c>
    </row>
    <row r="157" spans="1:12" x14ac:dyDescent="0.2">
      <c r="A157" s="180">
        <v>22170</v>
      </c>
      <c r="B157" s="180" t="s">
        <v>473</v>
      </c>
      <c r="C157" s="180" t="s">
        <v>648</v>
      </c>
      <c r="D157" s="546">
        <v>8</v>
      </c>
      <c r="E157" s="547">
        <v>0</v>
      </c>
      <c r="F157" s="487"/>
      <c r="H157" s="349">
        <v>13947</v>
      </c>
      <c r="I157" s="181" t="s">
        <v>609</v>
      </c>
      <c r="J157" s="180" t="s">
        <v>648</v>
      </c>
      <c r="K157" s="546">
        <v>0</v>
      </c>
      <c r="L157" s="547">
        <v>0</v>
      </c>
    </row>
    <row r="158" spans="1:12" x14ac:dyDescent="0.2">
      <c r="A158" s="180">
        <v>22175</v>
      </c>
      <c r="B158" s="180" t="s">
        <v>474</v>
      </c>
      <c r="C158" s="180" t="s">
        <v>648</v>
      </c>
      <c r="D158" s="546">
        <v>0</v>
      </c>
      <c r="E158" s="547">
        <v>0</v>
      </c>
      <c r="F158" s="487"/>
      <c r="H158" s="349">
        <v>13990</v>
      </c>
      <c r="I158" s="181" t="s">
        <v>610</v>
      </c>
      <c r="J158" s="180" t="s">
        <v>663</v>
      </c>
      <c r="K158" s="546">
        <v>0</v>
      </c>
      <c r="L158" s="547">
        <v>0</v>
      </c>
    </row>
    <row r="159" spans="1:12" x14ac:dyDescent="0.2">
      <c r="A159" s="180">
        <v>22202</v>
      </c>
      <c r="B159" s="180" t="s">
        <v>475</v>
      </c>
      <c r="C159" s="180" t="s">
        <v>673</v>
      </c>
      <c r="D159" s="546">
        <v>0</v>
      </c>
      <c r="E159" s="547">
        <v>0</v>
      </c>
      <c r="F159" s="487"/>
      <c r="H159" s="349">
        <v>14025</v>
      </c>
      <c r="I159" s="181" t="s">
        <v>611</v>
      </c>
      <c r="J159" s="180" t="s">
        <v>950</v>
      </c>
      <c r="K159" s="546">
        <v>6</v>
      </c>
      <c r="L159" s="547">
        <v>11.96611</v>
      </c>
    </row>
    <row r="160" spans="1:12" x14ac:dyDescent="0.2">
      <c r="A160" s="180">
        <v>22224</v>
      </c>
      <c r="B160" s="180" t="s">
        <v>476</v>
      </c>
      <c r="C160" s="180" t="s">
        <v>648</v>
      </c>
      <c r="D160" s="546">
        <v>3</v>
      </c>
      <c r="E160" s="547">
        <v>14.8</v>
      </c>
      <c r="F160" s="487"/>
      <c r="H160" s="349">
        <v>14038</v>
      </c>
      <c r="I160" s="181" t="s">
        <v>612</v>
      </c>
      <c r="J160" s="180" t="s">
        <v>669</v>
      </c>
      <c r="K160" s="546">
        <v>0</v>
      </c>
      <c r="L160" s="547">
        <v>0</v>
      </c>
    </row>
    <row r="161" spans="1:12" x14ac:dyDescent="0.2">
      <c r="A161" s="180">
        <v>22252</v>
      </c>
      <c r="B161" s="180" t="s">
        <v>477</v>
      </c>
      <c r="C161" s="180" t="s">
        <v>952</v>
      </c>
      <c r="D161" s="546">
        <v>0</v>
      </c>
      <c r="E161" s="547">
        <v>0</v>
      </c>
      <c r="F161" s="487"/>
      <c r="H161" s="349">
        <v>14061</v>
      </c>
      <c r="I161" s="181" t="s">
        <v>613</v>
      </c>
      <c r="J161" s="180" t="s">
        <v>652</v>
      </c>
      <c r="K161" s="546">
        <v>0</v>
      </c>
      <c r="L161" s="547">
        <v>0</v>
      </c>
    </row>
    <row r="162" spans="1:12" x14ac:dyDescent="0.2">
      <c r="A162" s="180">
        <v>22269</v>
      </c>
      <c r="B162" s="180" t="s">
        <v>730</v>
      </c>
      <c r="C162" s="180" t="s">
        <v>653</v>
      </c>
      <c r="D162" s="546">
        <v>0</v>
      </c>
      <c r="E162" s="547">
        <v>0</v>
      </c>
      <c r="F162" s="487"/>
      <c r="H162" s="349">
        <v>14092</v>
      </c>
      <c r="I162" s="181" t="s">
        <v>676</v>
      </c>
      <c r="J162" s="180" t="s">
        <v>658</v>
      </c>
      <c r="K162" s="546">
        <v>0</v>
      </c>
      <c r="L162" s="547">
        <v>0</v>
      </c>
    </row>
    <row r="163" spans="1:12" x14ac:dyDescent="0.2">
      <c r="A163" s="180">
        <v>22273</v>
      </c>
      <c r="B163" s="180" t="s">
        <v>478</v>
      </c>
      <c r="C163" s="180" t="s">
        <v>691</v>
      </c>
      <c r="D163" s="546">
        <v>0</v>
      </c>
      <c r="E163" s="547">
        <v>0</v>
      </c>
      <c r="F163" s="487"/>
      <c r="H163" s="349">
        <v>14183</v>
      </c>
      <c r="I163" s="181" t="s">
        <v>614</v>
      </c>
      <c r="J163" s="180" t="s">
        <v>671</v>
      </c>
      <c r="K163" s="546">
        <v>0</v>
      </c>
      <c r="L163" s="547">
        <v>0</v>
      </c>
    </row>
    <row r="164" spans="1:12" x14ac:dyDescent="0.2">
      <c r="A164" s="180">
        <v>22285</v>
      </c>
      <c r="B164" s="180" t="s">
        <v>479</v>
      </c>
      <c r="C164" s="180" t="s">
        <v>691</v>
      </c>
      <c r="D164" s="546">
        <v>0</v>
      </c>
      <c r="E164" s="547">
        <v>0</v>
      </c>
      <c r="F164" s="487"/>
      <c r="H164" s="349">
        <v>14248</v>
      </c>
      <c r="I164" s="180" t="s">
        <v>755</v>
      </c>
      <c r="J164" s="180" t="s">
        <v>649</v>
      </c>
      <c r="K164" s="546">
        <v>23</v>
      </c>
      <c r="L164" s="547">
        <v>0</v>
      </c>
    </row>
    <row r="165" spans="1:12" x14ac:dyDescent="0.2">
      <c r="A165" s="180">
        <v>22301</v>
      </c>
      <c r="B165" s="180" t="s">
        <v>928</v>
      </c>
      <c r="C165" s="180" t="s">
        <v>671</v>
      </c>
      <c r="D165" s="546">
        <v>1</v>
      </c>
      <c r="E165" s="547">
        <v>0</v>
      </c>
      <c r="F165" s="487"/>
      <c r="H165" s="349">
        <v>14265</v>
      </c>
      <c r="I165" s="181" t="s">
        <v>615</v>
      </c>
      <c r="J165" s="180" t="s">
        <v>950</v>
      </c>
      <c r="K165" s="546">
        <v>0</v>
      </c>
      <c r="L165" s="547">
        <v>0</v>
      </c>
    </row>
    <row r="166" spans="1:12" x14ac:dyDescent="0.2">
      <c r="A166" s="180">
        <v>22305</v>
      </c>
      <c r="B166" s="180" t="s">
        <v>480</v>
      </c>
      <c r="C166" s="180" t="s">
        <v>648</v>
      </c>
      <c r="D166" s="546">
        <v>20</v>
      </c>
      <c r="E166" s="547">
        <v>31.185279999999999</v>
      </c>
      <c r="F166" s="487"/>
      <c r="H166" s="349">
        <v>14649</v>
      </c>
      <c r="I166" s="181" t="s">
        <v>616</v>
      </c>
      <c r="J166" s="180" t="s">
        <v>648</v>
      </c>
      <c r="K166" s="546">
        <v>0</v>
      </c>
      <c r="L166" s="547">
        <v>0</v>
      </c>
    </row>
    <row r="167" spans="1:12" x14ac:dyDescent="0.2">
      <c r="A167" s="485">
        <v>22328</v>
      </c>
      <c r="B167" s="509" t="s">
        <v>481</v>
      </c>
      <c r="C167" s="180" t="s">
        <v>681</v>
      </c>
      <c r="D167" s="546">
        <v>8</v>
      </c>
      <c r="E167" s="547">
        <v>26</v>
      </c>
      <c r="F167" s="487"/>
      <c r="H167" s="349">
        <v>15043</v>
      </c>
      <c r="I167" s="181" t="s">
        <v>619</v>
      </c>
      <c r="J167" s="180" t="s">
        <v>663</v>
      </c>
      <c r="K167" s="546">
        <v>0</v>
      </c>
      <c r="L167" s="547">
        <v>0</v>
      </c>
    </row>
    <row r="168" spans="1:12" x14ac:dyDescent="0.2">
      <c r="A168" s="485">
        <v>22339</v>
      </c>
      <c r="B168" s="485" t="s">
        <v>482</v>
      </c>
      <c r="C168" s="180" t="s">
        <v>690</v>
      </c>
      <c r="D168" s="546">
        <v>0</v>
      </c>
      <c r="E168" s="547">
        <v>0</v>
      </c>
      <c r="F168" s="487"/>
      <c r="H168" s="349">
        <v>15078</v>
      </c>
      <c r="I168" s="180" t="s">
        <v>620</v>
      </c>
      <c r="J168" s="180" t="s">
        <v>651</v>
      </c>
      <c r="K168" s="546">
        <v>0</v>
      </c>
      <c r="L168" s="547">
        <v>0</v>
      </c>
    </row>
    <row r="169" spans="1:12" x14ac:dyDescent="0.2">
      <c r="A169" s="485">
        <v>22382</v>
      </c>
      <c r="B169" s="485" t="s">
        <v>483</v>
      </c>
      <c r="C169" s="180" t="s">
        <v>690</v>
      </c>
      <c r="D169" s="546">
        <v>0</v>
      </c>
      <c r="E169" s="547">
        <v>0</v>
      </c>
      <c r="F169" s="487"/>
      <c r="H169" s="349">
        <v>15103</v>
      </c>
      <c r="I169" s="180" t="s">
        <v>737</v>
      </c>
      <c r="J169" s="180" t="s">
        <v>672</v>
      </c>
      <c r="K169" s="546">
        <v>0</v>
      </c>
      <c r="L169" s="547">
        <v>0</v>
      </c>
    </row>
    <row r="170" spans="1:12" x14ac:dyDescent="0.2">
      <c r="A170" s="485">
        <v>22394</v>
      </c>
      <c r="B170" s="485" t="s">
        <v>484</v>
      </c>
      <c r="C170" s="180" t="s">
        <v>952</v>
      </c>
      <c r="D170" s="546">
        <v>0</v>
      </c>
      <c r="E170" s="547">
        <v>0</v>
      </c>
      <c r="F170" s="487"/>
      <c r="H170" s="349">
        <v>15185</v>
      </c>
      <c r="I170" s="181" t="s">
        <v>621</v>
      </c>
      <c r="J170" s="180" t="s">
        <v>648</v>
      </c>
      <c r="K170" s="546">
        <v>0</v>
      </c>
      <c r="L170" s="547">
        <v>0</v>
      </c>
    </row>
    <row r="171" spans="1:12" x14ac:dyDescent="0.2">
      <c r="A171" s="507">
        <v>22403</v>
      </c>
      <c r="B171" s="507" t="s">
        <v>485</v>
      </c>
      <c r="C171" s="180" t="s">
        <v>653</v>
      </c>
      <c r="D171" s="546">
        <v>22</v>
      </c>
      <c r="E171" s="547">
        <v>121.594545</v>
      </c>
      <c r="F171" s="487"/>
      <c r="H171" s="349">
        <v>15316</v>
      </c>
      <c r="I171" s="181" t="s">
        <v>622</v>
      </c>
      <c r="J171" s="180" t="s">
        <v>648</v>
      </c>
      <c r="K171" s="546">
        <v>0</v>
      </c>
      <c r="L171" s="547">
        <v>0</v>
      </c>
    </row>
    <row r="172" spans="1:12" x14ac:dyDescent="0.2">
      <c r="A172" s="545">
        <v>23286</v>
      </c>
      <c r="B172" s="545" t="s">
        <v>874</v>
      </c>
      <c r="C172" s="545" t="s">
        <v>651</v>
      </c>
      <c r="D172" s="546">
        <v>10</v>
      </c>
      <c r="E172" s="547">
        <v>0</v>
      </c>
      <c r="F172" s="487"/>
      <c r="H172" s="349">
        <v>15384</v>
      </c>
      <c r="I172" s="181" t="s">
        <v>683</v>
      </c>
      <c r="J172" s="180" t="s">
        <v>658</v>
      </c>
      <c r="K172" s="546">
        <v>0</v>
      </c>
      <c r="L172" s="547">
        <v>0</v>
      </c>
    </row>
    <row r="173" spans="1:12" x14ac:dyDescent="0.2">
      <c r="A173" s="545">
        <v>21493</v>
      </c>
      <c r="B173" s="545" t="s">
        <v>1029</v>
      </c>
      <c r="C173" s="545" t="s">
        <v>691</v>
      </c>
      <c r="D173" s="546">
        <v>1</v>
      </c>
      <c r="E173" s="547">
        <v>0</v>
      </c>
      <c r="F173" s="487"/>
      <c r="H173" s="349">
        <v>15524</v>
      </c>
      <c r="I173" s="181" t="s">
        <v>624</v>
      </c>
      <c r="J173" s="180" t="s">
        <v>663</v>
      </c>
      <c r="K173" s="546">
        <v>0</v>
      </c>
      <c r="L173" s="547">
        <v>0</v>
      </c>
    </row>
    <row r="174" spans="1:12" x14ac:dyDescent="0.2">
      <c r="A174" s="545">
        <v>20133</v>
      </c>
      <c r="B174" s="545" t="s">
        <v>1027</v>
      </c>
      <c r="C174" s="545" t="s">
        <v>691</v>
      </c>
      <c r="D174" s="546">
        <v>7</v>
      </c>
      <c r="E174" s="547">
        <v>0</v>
      </c>
      <c r="F174" s="487"/>
      <c r="H174" s="349">
        <v>15829</v>
      </c>
      <c r="I174" s="181" t="s">
        <v>626</v>
      </c>
      <c r="J174" s="180" t="s">
        <v>690</v>
      </c>
      <c r="K174" s="546">
        <v>0</v>
      </c>
      <c r="L174" s="547">
        <v>0</v>
      </c>
    </row>
    <row r="175" spans="1:12" x14ac:dyDescent="0.2">
      <c r="A175" s="545">
        <v>19160</v>
      </c>
      <c r="B175" s="545" t="s">
        <v>1024</v>
      </c>
      <c r="C175" s="545" t="s">
        <v>648</v>
      </c>
      <c r="D175" s="546">
        <v>1</v>
      </c>
      <c r="E175" s="547">
        <v>0</v>
      </c>
      <c r="F175" s="487"/>
      <c r="H175" s="349">
        <v>15919</v>
      </c>
      <c r="I175" s="181" t="s">
        <v>627</v>
      </c>
      <c r="J175" s="180" t="s">
        <v>662</v>
      </c>
      <c r="K175" s="546">
        <v>1</v>
      </c>
      <c r="L175" s="547">
        <v>0</v>
      </c>
    </row>
    <row r="176" spans="1:12" x14ac:dyDescent="0.2">
      <c r="A176" s="545">
        <v>20470</v>
      </c>
      <c r="B176" s="545" t="s">
        <v>1030</v>
      </c>
      <c r="C176" s="545" t="s">
        <v>648</v>
      </c>
      <c r="D176" s="546">
        <v>3</v>
      </c>
      <c r="E176" s="547">
        <v>0</v>
      </c>
      <c r="F176" s="487"/>
      <c r="H176" s="349">
        <v>15974</v>
      </c>
      <c r="I176" s="181" t="s">
        <v>628</v>
      </c>
      <c r="J176" s="180" t="s">
        <v>661</v>
      </c>
      <c r="K176" s="546">
        <v>0</v>
      </c>
      <c r="L176" s="547">
        <v>0</v>
      </c>
    </row>
    <row r="177" spans="1:12" x14ac:dyDescent="0.2">
      <c r="A177" s="545">
        <v>17103</v>
      </c>
      <c r="B177" s="545" t="s">
        <v>1026</v>
      </c>
      <c r="C177" s="545" t="s">
        <v>754</v>
      </c>
      <c r="D177" s="546">
        <v>1</v>
      </c>
      <c r="E177" s="547">
        <v>0</v>
      </c>
      <c r="F177" s="487"/>
      <c r="H177" s="349">
        <v>16052</v>
      </c>
      <c r="I177" s="181" t="s">
        <v>630</v>
      </c>
      <c r="J177" s="180" t="s">
        <v>649</v>
      </c>
      <c r="K177" s="546">
        <v>3</v>
      </c>
      <c r="L177" s="547">
        <v>10.344644000000001</v>
      </c>
    </row>
    <row r="178" spans="1:12" x14ac:dyDescent="0.2">
      <c r="A178" s="545">
        <v>20598</v>
      </c>
      <c r="B178" s="545" t="s">
        <v>1038</v>
      </c>
      <c r="C178" s="545" t="s">
        <v>648</v>
      </c>
      <c r="D178" s="546">
        <v>2</v>
      </c>
      <c r="E178" s="547">
        <v>0</v>
      </c>
      <c r="F178" s="487"/>
      <c r="H178" s="349">
        <v>16151</v>
      </c>
      <c r="I178" s="181" t="s">
        <v>684</v>
      </c>
      <c r="J178" s="180" t="s">
        <v>658</v>
      </c>
      <c r="K178" s="546">
        <v>0</v>
      </c>
      <c r="L178" s="547">
        <v>0</v>
      </c>
    </row>
    <row r="179" spans="1:12" x14ac:dyDescent="0.2">
      <c r="A179" s="545">
        <v>18230</v>
      </c>
      <c r="B179" s="545" t="s">
        <v>1108</v>
      </c>
      <c r="C179" s="545" t="s">
        <v>652</v>
      </c>
      <c r="D179" s="546">
        <v>22</v>
      </c>
      <c r="E179" s="547">
        <v>0</v>
      </c>
      <c r="F179" s="487"/>
      <c r="H179" s="349">
        <v>16154</v>
      </c>
      <c r="I179" s="180" t="s">
        <v>696</v>
      </c>
      <c r="J179" s="180" t="s">
        <v>752</v>
      </c>
      <c r="K179" s="546">
        <v>0</v>
      </c>
      <c r="L179" s="547">
        <v>0</v>
      </c>
    </row>
    <row r="180" spans="1:12" x14ac:dyDescent="0.2">
      <c r="A180" s="545">
        <v>20218</v>
      </c>
      <c r="B180" s="545" t="s">
        <v>1114</v>
      </c>
      <c r="C180" s="545" t="s">
        <v>648</v>
      </c>
      <c r="D180" s="546">
        <v>1</v>
      </c>
      <c r="E180" s="547">
        <v>133.67320000000001</v>
      </c>
      <c r="F180" s="487"/>
      <c r="H180" s="349">
        <v>16322</v>
      </c>
      <c r="I180" s="180" t="s">
        <v>632</v>
      </c>
      <c r="J180" s="180" t="s">
        <v>649</v>
      </c>
      <c r="K180" s="546">
        <v>1</v>
      </c>
      <c r="L180" s="547">
        <v>14</v>
      </c>
    </row>
    <row r="181" spans="1:12" x14ac:dyDescent="0.2">
      <c r="G181" s="510"/>
      <c r="H181" s="349">
        <v>16360</v>
      </c>
      <c r="I181" s="181" t="s">
        <v>634</v>
      </c>
      <c r="J181" s="180" t="s">
        <v>648</v>
      </c>
      <c r="K181" s="546">
        <v>4</v>
      </c>
      <c r="L181" s="547">
        <v>0</v>
      </c>
    </row>
    <row r="182" spans="1:12" x14ac:dyDescent="0.2">
      <c r="G182" s="510"/>
      <c r="H182" s="349">
        <v>16401</v>
      </c>
      <c r="I182" s="181" t="s">
        <v>686</v>
      </c>
      <c r="J182" s="180" t="s">
        <v>654</v>
      </c>
      <c r="K182" s="546">
        <v>0</v>
      </c>
      <c r="L182" s="547">
        <v>0</v>
      </c>
    </row>
    <row r="183" spans="1:12" x14ac:dyDescent="0.2">
      <c r="G183" s="510"/>
      <c r="H183" s="349">
        <v>16403</v>
      </c>
      <c r="I183" s="181" t="s">
        <v>694</v>
      </c>
      <c r="J183" s="180" t="s">
        <v>661</v>
      </c>
      <c r="K183" s="546">
        <v>1</v>
      </c>
      <c r="L183" s="547">
        <v>15.875119</v>
      </c>
    </row>
    <row r="184" spans="1:12" x14ac:dyDescent="0.2">
      <c r="G184" s="510"/>
      <c r="H184" s="349">
        <v>16420</v>
      </c>
      <c r="I184" s="181" t="s">
        <v>636</v>
      </c>
      <c r="J184" s="180" t="s">
        <v>648</v>
      </c>
      <c r="K184" s="546">
        <v>0</v>
      </c>
      <c r="L184" s="547">
        <v>0</v>
      </c>
    </row>
    <row r="185" spans="1:12" x14ac:dyDescent="0.2">
      <c r="G185" s="510"/>
      <c r="H185" s="349">
        <v>16492</v>
      </c>
      <c r="I185" s="181" t="s">
        <v>697</v>
      </c>
      <c r="J185" s="180" t="s">
        <v>660</v>
      </c>
      <c r="K185" s="546">
        <v>1</v>
      </c>
      <c r="L185" s="547">
        <v>0</v>
      </c>
    </row>
    <row r="186" spans="1:12" x14ac:dyDescent="0.2">
      <c r="G186" s="510"/>
      <c r="H186" s="349">
        <v>16791</v>
      </c>
      <c r="I186" s="181" t="s">
        <v>638</v>
      </c>
      <c r="J186" s="180" t="s">
        <v>649</v>
      </c>
      <c r="K186" s="546">
        <v>75</v>
      </c>
      <c r="L186" s="547">
        <v>2437.8332779999992</v>
      </c>
    </row>
    <row r="187" spans="1:12" x14ac:dyDescent="0.2">
      <c r="G187" s="510"/>
      <c r="H187" s="349">
        <v>16795</v>
      </c>
      <c r="I187" s="181" t="s">
        <v>639</v>
      </c>
      <c r="J187" s="180" t="s">
        <v>672</v>
      </c>
      <c r="K187" s="546">
        <v>1</v>
      </c>
      <c r="L187" s="547">
        <v>23.468658000000001</v>
      </c>
    </row>
    <row r="188" spans="1:12" x14ac:dyDescent="0.2">
      <c r="G188" s="510"/>
      <c r="H188" s="349">
        <v>16838</v>
      </c>
      <c r="I188" s="180" t="s">
        <v>742</v>
      </c>
      <c r="J188" s="180" t="s">
        <v>648</v>
      </c>
      <c r="K188" s="546">
        <v>0</v>
      </c>
      <c r="L188" s="547">
        <v>0</v>
      </c>
    </row>
    <row r="189" spans="1:12" x14ac:dyDescent="0.2">
      <c r="G189" s="510"/>
      <c r="H189" s="349">
        <v>16894</v>
      </c>
      <c r="I189" s="180" t="s">
        <v>741</v>
      </c>
      <c r="J189" s="180" t="s">
        <v>658</v>
      </c>
      <c r="K189" s="546">
        <v>0</v>
      </c>
      <c r="L189" s="547">
        <v>0</v>
      </c>
    </row>
    <row r="190" spans="1:12" x14ac:dyDescent="0.2">
      <c r="G190" s="510"/>
      <c r="H190" s="349">
        <v>16955</v>
      </c>
      <c r="I190" s="181" t="s">
        <v>641</v>
      </c>
      <c r="J190" s="180" t="s">
        <v>648</v>
      </c>
      <c r="K190" s="546">
        <v>19</v>
      </c>
      <c r="L190" s="547">
        <v>0</v>
      </c>
    </row>
    <row r="191" spans="1:12" x14ac:dyDescent="0.2">
      <c r="D191" s="549">
        <f>SUM(D3:D180)</f>
        <v>852</v>
      </c>
      <c r="E191" s="355">
        <f>SUM(E3:E180)</f>
        <v>135022.255099</v>
      </c>
      <c r="G191" s="510"/>
      <c r="H191" s="349">
        <v>17067</v>
      </c>
      <c r="I191" s="181" t="s">
        <v>728</v>
      </c>
      <c r="J191" s="180" t="s">
        <v>681</v>
      </c>
      <c r="K191" s="546">
        <v>8</v>
      </c>
      <c r="L191" s="547">
        <v>8.6197049999999997</v>
      </c>
    </row>
    <row r="192" spans="1:12" x14ac:dyDescent="0.2">
      <c r="G192" s="510"/>
      <c r="H192" s="349">
        <v>17104</v>
      </c>
      <c r="I192" s="180" t="s">
        <v>643</v>
      </c>
      <c r="J192" s="180" t="s">
        <v>665</v>
      </c>
      <c r="K192" s="546">
        <v>0</v>
      </c>
      <c r="L192" s="547">
        <v>0</v>
      </c>
    </row>
    <row r="193" spans="7:12" x14ac:dyDescent="0.2">
      <c r="G193" s="510"/>
      <c r="H193" s="349">
        <v>17173</v>
      </c>
      <c r="I193" s="181" t="s">
        <v>645</v>
      </c>
      <c r="J193" s="180" t="s">
        <v>648</v>
      </c>
      <c r="K193" s="546">
        <v>0</v>
      </c>
      <c r="L193" s="547">
        <v>0</v>
      </c>
    </row>
    <row r="194" spans="7:12" x14ac:dyDescent="0.2">
      <c r="G194" s="510"/>
      <c r="H194" s="349">
        <v>17176</v>
      </c>
      <c r="I194" s="181" t="s">
        <v>646</v>
      </c>
      <c r="J194" s="180" t="s">
        <v>670</v>
      </c>
      <c r="K194" s="546">
        <v>1</v>
      </c>
      <c r="L194" s="547">
        <v>0</v>
      </c>
    </row>
    <row r="195" spans="7:12" x14ac:dyDescent="0.2">
      <c r="G195" s="510"/>
      <c r="H195" s="349">
        <v>17195</v>
      </c>
      <c r="I195" s="181" t="s">
        <v>675</v>
      </c>
      <c r="J195" s="180" t="s">
        <v>648</v>
      </c>
      <c r="K195" s="546">
        <v>0</v>
      </c>
      <c r="L195" s="547">
        <v>0</v>
      </c>
    </row>
    <row r="196" spans="7:12" x14ac:dyDescent="0.2">
      <c r="G196" s="510"/>
      <c r="H196" s="349">
        <v>17296</v>
      </c>
      <c r="I196" s="181" t="s">
        <v>687</v>
      </c>
      <c r="J196" s="180" t="s">
        <v>688</v>
      </c>
      <c r="K196" s="546">
        <v>0</v>
      </c>
      <c r="L196" s="547">
        <v>0</v>
      </c>
    </row>
    <row r="197" spans="7:12" x14ac:dyDescent="0.2">
      <c r="G197" s="510"/>
      <c r="H197" s="349">
        <v>17391</v>
      </c>
      <c r="I197" s="180" t="s">
        <v>347</v>
      </c>
      <c r="J197" s="180" t="s">
        <v>752</v>
      </c>
      <c r="K197" s="546">
        <v>2</v>
      </c>
      <c r="L197" s="547">
        <v>0</v>
      </c>
    </row>
    <row r="198" spans="7:12" x14ac:dyDescent="0.2">
      <c r="G198" s="510"/>
      <c r="H198" s="349">
        <v>17509</v>
      </c>
      <c r="I198" s="180" t="s">
        <v>744</v>
      </c>
      <c r="J198" s="180" t="s">
        <v>662</v>
      </c>
      <c r="K198" s="546">
        <v>4</v>
      </c>
      <c r="L198" s="547">
        <v>0</v>
      </c>
    </row>
    <row r="199" spans="7:12" x14ac:dyDescent="0.2">
      <c r="G199" s="510"/>
      <c r="H199" s="349">
        <v>17527</v>
      </c>
      <c r="I199" s="180" t="s">
        <v>647</v>
      </c>
      <c r="J199" s="180" t="s">
        <v>648</v>
      </c>
      <c r="K199" s="546">
        <v>0</v>
      </c>
      <c r="L199" s="547">
        <v>0</v>
      </c>
    </row>
    <row r="200" spans="7:12" x14ac:dyDescent="0.2">
      <c r="G200" s="510"/>
      <c r="H200" s="349">
        <v>17651</v>
      </c>
      <c r="I200" s="180" t="s">
        <v>729</v>
      </c>
      <c r="J200" s="180" t="s">
        <v>648</v>
      </c>
      <c r="K200" s="546">
        <v>144</v>
      </c>
      <c r="L200" s="547">
        <v>883.84378900000002</v>
      </c>
    </row>
    <row r="201" spans="7:12" x14ac:dyDescent="0.2">
      <c r="G201" s="510"/>
      <c r="H201" s="349">
        <v>22503</v>
      </c>
      <c r="I201" s="180" t="s">
        <v>756</v>
      </c>
      <c r="J201" s="180" t="s">
        <v>648</v>
      </c>
      <c r="K201" s="546">
        <v>0</v>
      </c>
      <c r="L201" s="547">
        <v>0</v>
      </c>
    </row>
    <row r="202" spans="7:12" x14ac:dyDescent="0.2">
      <c r="G202" s="510"/>
      <c r="H202" s="349">
        <v>14024</v>
      </c>
      <c r="I202" s="180" t="s">
        <v>766</v>
      </c>
      <c r="J202" s="180" t="s">
        <v>648</v>
      </c>
      <c r="K202" s="546">
        <v>1</v>
      </c>
      <c r="L202" s="547">
        <v>0</v>
      </c>
    </row>
    <row r="203" spans="7:12" x14ac:dyDescent="0.2">
      <c r="G203" s="510"/>
      <c r="H203" s="349">
        <v>22732</v>
      </c>
      <c r="I203" s="180" t="s">
        <v>757</v>
      </c>
      <c r="J203" s="180" t="s">
        <v>752</v>
      </c>
      <c r="K203" s="546">
        <v>0</v>
      </c>
      <c r="L203" s="547">
        <v>0</v>
      </c>
    </row>
    <row r="204" spans="7:12" x14ac:dyDescent="0.2">
      <c r="G204" s="510"/>
      <c r="H204" s="349">
        <v>7</v>
      </c>
      <c r="I204" s="180" t="s">
        <v>774</v>
      </c>
      <c r="J204" s="180" t="s">
        <v>648</v>
      </c>
      <c r="K204" s="546">
        <v>0</v>
      </c>
      <c r="L204" s="547">
        <v>0</v>
      </c>
    </row>
    <row r="205" spans="7:12" x14ac:dyDescent="0.2">
      <c r="G205" s="510"/>
      <c r="H205" s="349">
        <v>23081</v>
      </c>
      <c r="I205" s="180" t="s">
        <v>775</v>
      </c>
      <c r="J205" s="180" t="s">
        <v>648</v>
      </c>
      <c r="K205" s="546">
        <v>0</v>
      </c>
      <c r="L205" s="547">
        <v>0</v>
      </c>
    </row>
    <row r="206" spans="7:12" x14ac:dyDescent="0.2">
      <c r="G206" s="510"/>
      <c r="H206" s="349">
        <v>16364</v>
      </c>
      <c r="I206" s="181" t="s">
        <v>635</v>
      </c>
      <c r="J206" s="180" t="s">
        <v>671</v>
      </c>
      <c r="K206" s="546">
        <v>0</v>
      </c>
      <c r="L206" s="547">
        <v>0</v>
      </c>
    </row>
    <row r="207" spans="7:12" x14ac:dyDescent="0.2">
      <c r="G207" s="510"/>
      <c r="H207" s="349">
        <v>7514</v>
      </c>
      <c r="I207" s="180" t="s">
        <v>784</v>
      </c>
      <c r="J207" s="180" t="s">
        <v>658</v>
      </c>
      <c r="K207" s="546">
        <v>0</v>
      </c>
      <c r="L207" s="547">
        <v>0</v>
      </c>
    </row>
    <row r="208" spans="7:12" x14ac:dyDescent="0.2">
      <c r="G208" s="510"/>
      <c r="H208" s="349">
        <v>8932</v>
      </c>
      <c r="I208" s="180" t="s">
        <v>785</v>
      </c>
      <c r="J208" s="180" t="s">
        <v>661</v>
      </c>
      <c r="K208" s="546">
        <v>0</v>
      </c>
      <c r="L208" s="547">
        <v>0</v>
      </c>
    </row>
    <row r="209" spans="7:12" x14ac:dyDescent="0.2">
      <c r="G209" s="510"/>
      <c r="H209" s="349">
        <v>12707</v>
      </c>
      <c r="I209" s="180" t="s">
        <v>786</v>
      </c>
      <c r="J209" s="180" t="s">
        <v>648</v>
      </c>
      <c r="K209" s="546">
        <v>0</v>
      </c>
      <c r="L209" s="547">
        <v>0</v>
      </c>
    </row>
    <row r="210" spans="7:12" x14ac:dyDescent="0.2">
      <c r="G210" s="510"/>
      <c r="H210" s="349">
        <v>16015</v>
      </c>
      <c r="I210" s="180" t="s">
        <v>787</v>
      </c>
      <c r="J210" s="180" t="s">
        <v>788</v>
      </c>
      <c r="K210" s="546">
        <v>3</v>
      </c>
      <c r="L210" s="547">
        <v>0</v>
      </c>
    </row>
    <row r="211" spans="7:12" x14ac:dyDescent="0.2">
      <c r="G211" s="510"/>
      <c r="H211" s="349">
        <v>16730</v>
      </c>
      <c r="I211" s="180" t="s">
        <v>789</v>
      </c>
      <c r="J211" s="180" t="s">
        <v>649</v>
      </c>
      <c r="K211" s="546">
        <v>3</v>
      </c>
      <c r="L211" s="547">
        <v>0</v>
      </c>
    </row>
    <row r="212" spans="7:12" x14ac:dyDescent="0.2">
      <c r="G212" s="510"/>
      <c r="H212" s="349">
        <v>17127</v>
      </c>
      <c r="I212" s="180" t="s">
        <v>790</v>
      </c>
      <c r="J212" s="180" t="s">
        <v>658</v>
      </c>
      <c r="K212" s="546">
        <v>2</v>
      </c>
      <c r="L212" s="547">
        <v>7</v>
      </c>
    </row>
    <row r="213" spans="7:12" x14ac:dyDescent="0.2">
      <c r="G213" s="510"/>
      <c r="H213" s="349">
        <v>17128</v>
      </c>
      <c r="I213" s="180" t="s">
        <v>791</v>
      </c>
      <c r="J213" s="180" t="s">
        <v>658</v>
      </c>
      <c r="K213" s="546">
        <v>0</v>
      </c>
      <c r="L213" s="547">
        <v>0</v>
      </c>
    </row>
    <row r="214" spans="7:12" x14ac:dyDescent="0.2">
      <c r="G214" s="510"/>
      <c r="H214" s="369">
        <v>22569</v>
      </c>
      <c r="I214" s="370" t="s">
        <v>792</v>
      </c>
      <c r="J214" s="180" t="s">
        <v>754</v>
      </c>
      <c r="K214" s="546">
        <v>0</v>
      </c>
      <c r="L214" s="547">
        <v>0</v>
      </c>
    </row>
    <row r="215" spans="7:12" x14ac:dyDescent="0.2">
      <c r="G215" s="510"/>
      <c r="H215" s="369">
        <v>11249</v>
      </c>
      <c r="I215" s="370" t="s">
        <v>797</v>
      </c>
      <c r="J215" s="180" t="s">
        <v>658</v>
      </c>
      <c r="K215" s="546">
        <v>0</v>
      </c>
      <c r="L215" s="547">
        <v>0</v>
      </c>
    </row>
    <row r="216" spans="7:12" x14ac:dyDescent="0.2">
      <c r="G216" s="510"/>
      <c r="H216" s="370">
        <v>9443</v>
      </c>
      <c r="I216" s="370" t="s">
        <v>802</v>
      </c>
      <c r="J216" s="180" t="s">
        <v>752</v>
      </c>
      <c r="K216" s="546">
        <v>0</v>
      </c>
      <c r="L216" s="547">
        <v>0</v>
      </c>
    </row>
    <row r="217" spans="7:12" x14ac:dyDescent="0.2">
      <c r="G217" s="510"/>
      <c r="H217" s="402">
        <v>6096</v>
      </c>
      <c r="I217" s="401" t="s">
        <v>808</v>
      </c>
      <c r="J217" s="180" t="s">
        <v>669</v>
      </c>
      <c r="K217" s="546">
        <v>0</v>
      </c>
      <c r="L217" s="547">
        <v>0</v>
      </c>
    </row>
    <row r="218" spans="7:12" x14ac:dyDescent="0.2">
      <c r="G218" s="510"/>
      <c r="H218" s="402">
        <v>9461</v>
      </c>
      <c r="I218" s="401" t="s">
        <v>807</v>
      </c>
      <c r="J218" s="180" t="s">
        <v>654</v>
      </c>
      <c r="K218" s="546">
        <v>0</v>
      </c>
      <c r="L218" s="547">
        <v>0</v>
      </c>
    </row>
    <row r="219" spans="7:12" x14ac:dyDescent="0.2">
      <c r="G219" s="510"/>
      <c r="H219" s="402">
        <v>11605</v>
      </c>
      <c r="I219" s="401" t="s">
        <v>806</v>
      </c>
      <c r="J219" s="180" t="s">
        <v>648</v>
      </c>
      <c r="K219" s="546">
        <v>0</v>
      </c>
      <c r="L219" s="547">
        <v>0</v>
      </c>
    </row>
    <row r="220" spans="7:12" x14ac:dyDescent="0.2">
      <c r="G220" s="510"/>
      <c r="H220" s="402">
        <v>17441</v>
      </c>
      <c r="I220" s="401" t="s">
        <v>803</v>
      </c>
      <c r="J220" s="180" t="s">
        <v>648</v>
      </c>
      <c r="K220" s="546">
        <v>6</v>
      </c>
      <c r="L220" s="547">
        <v>643.24611800000002</v>
      </c>
    </row>
    <row r="221" spans="7:12" x14ac:dyDescent="0.2">
      <c r="G221" s="510"/>
      <c r="H221" s="403">
        <v>17292</v>
      </c>
      <c r="I221" s="401" t="s">
        <v>810</v>
      </c>
      <c r="J221" s="180" t="s">
        <v>823</v>
      </c>
      <c r="K221" s="546">
        <v>10</v>
      </c>
      <c r="L221" s="547">
        <v>7791.7137110000003</v>
      </c>
    </row>
    <row r="222" spans="7:12" x14ac:dyDescent="0.2">
      <c r="G222" s="510"/>
      <c r="H222" s="403">
        <v>17482</v>
      </c>
      <c r="I222" s="401" t="s">
        <v>811</v>
      </c>
      <c r="J222" s="180" t="s">
        <v>658</v>
      </c>
      <c r="K222" s="546">
        <v>0</v>
      </c>
      <c r="L222" s="547">
        <v>0</v>
      </c>
    </row>
    <row r="223" spans="7:12" x14ac:dyDescent="0.2">
      <c r="G223" s="510"/>
      <c r="H223" s="403">
        <v>22697</v>
      </c>
      <c r="I223" s="401" t="s">
        <v>813</v>
      </c>
      <c r="J223" s="180" t="s">
        <v>661</v>
      </c>
      <c r="K223" s="546">
        <v>0</v>
      </c>
      <c r="L223" s="547">
        <v>0</v>
      </c>
    </row>
    <row r="224" spans="7:12" x14ac:dyDescent="0.2">
      <c r="G224" s="510"/>
      <c r="H224" s="403">
        <v>23104</v>
      </c>
      <c r="I224" s="401" t="s">
        <v>812</v>
      </c>
      <c r="J224" s="180" t="s">
        <v>648</v>
      </c>
      <c r="K224" s="546">
        <v>273</v>
      </c>
      <c r="L224" s="547">
        <v>5313.0138780000007</v>
      </c>
    </row>
    <row r="225" spans="7:12" x14ac:dyDescent="0.2">
      <c r="G225" s="510"/>
      <c r="H225" s="403">
        <v>6493</v>
      </c>
      <c r="I225" s="401" t="s">
        <v>822</v>
      </c>
      <c r="J225" s="180" t="s">
        <v>655</v>
      </c>
      <c r="K225" s="546">
        <v>0</v>
      </c>
      <c r="L225" s="547">
        <v>0</v>
      </c>
    </row>
    <row r="226" spans="7:12" x14ac:dyDescent="0.2">
      <c r="G226" s="510"/>
      <c r="H226" s="403">
        <v>17362</v>
      </c>
      <c r="I226" s="401" t="s">
        <v>824</v>
      </c>
      <c r="J226" s="180" t="s">
        <v>648</v>
      </c>
      <c r="K226" s="546">
        <v>5</v>
      </c>
      <c r="L226" s="547">
        <v>28</v>
      </c>
    </row>
    <row r="227" spans="7:12" x14ac:dyDescent="0.2">
      <c r="G227" s="510"/>
      <c r="H227" s="403">
        <v>19582</v>
      </c>
      <c r="I227" s="401" t="s">
        <v>825</v>
      </c>
      <c r="J227" s="180" t="s">
        <v>648</v>
      </c>
      <c r="K227" s="546">
        <v>0</v>
      </c>
      <c r="L227" s="547">
        <v>0</v>
      </c>
    </row>
    <row r="228" spans="7:12" x14ac:dyDescent="0.2">
      <c r="G228" s="510"/>
      <c r="H228" s="486">
        <v>22609</v>
      </c>
      <c r="I228" s="485" t="s">
        <v>826</v>
      </c>
      <c r="J228" s="180" t="s">
        <v>827</v>
      </c>
      <c r="K228" s="546">
        <v>0</v>
      </c>
      <c r="L228" s="547">
        <v>0</v>
      </c>
    </row>
    <row r="229" spans="7:12" x14ac:dyDescent="0.2">
      <c r="G229" s="510"/>
      <c r="H229" s="486">
        <v>10755</v>
      </c>
      <c r="I229" s="485" t="s">
        <v>875</v>
      </c>
      <c r="J229" s="180" t="s">
        <v>672</v>
      </c>
      <c r="K229" s="546">
        <v>4</v>
      </c>
      <c r="L229" s="547">
        <v>0</v>
      </c>
    </row>
    <row r="230" spans="7:12" x14ac:dyDescent="0.2">
      <c r="G230" s="510"/>
      <c r="H230" s="486">
        <v>16538</v>
      </c>
      <c r="I230" s="485" t="s">
        <v>872</v>
      </c>
      <c r="J230" s="180" t="s">
        <v>658</v>
      </c>
      <c r="K230" s="546">
        <v>8</v>
      </c>
      <c r="L230" s="547">
        <v>32.124340000000004</v>
      </c>
    </row>
    <row r="231" spans="7:12" x14ac:dyDescent="0.2">
      <c r="G231" s="510"/>
      <c r="H231" s="504">
        <v>17939</v>
      </c>
      <c r="I231" s="505" t="s">
        <v>873</v>
      </c>
      <c r="J231" s="180" t="s">
        <v>681</v>
      </c>
      <c r="K231" s="546">
        <v>39</v>
      </c>
      <c r="L231" s="547">
        <v>21</v>
      </c>
    </row>
    <row r="232" spans="7:12" x14ac:dyDescent="0.2">
      <c r="G232" s="510"/>
      <c r="H232" s="506">
        <v>17132</v>
      </c>
      <c r="I232" s="507" t="s">
        <v>926</v>
      </c>
      <c r="J232" s="180" t="s">
        <v>662</v>
      </c>
      <c r="K232" s="546">
        <v>5</v>
      </c>
      <c r="L232" s="547">
        <v>0</v>
      </c>
    </row>
    <row r="233" spans="7:12" x14ac:dyDescent="0.2">
      <c r="G233" s="510"/>
      <c r="H233" s="508">
        <v>9159</v>
      </c>
      <c r="I233" s="507" t="s">
        <v>941</v>
      </c>
      <c r="J233" s="180" t="s">
        <v>754</v>
      </c>
      <c r="K233" s="546">
        <v>3</v>
      </c>
      <c r="L233" s="547">
        <v>1655.965764</v>
      </c>
    </row>
    <row r="234" spans="7:12" x14ac:dyDescent="0.2">
      <c r="G234" s="510"/>
      <c r="H234" s="506">
        <v>16482</v>
      </c>
      <c r="I234" s="507" t="s">
        <v>937</v>
      </c>
      <c r="J234" s="180" t="s">
        <v>649</v>
      </c>
      <c r="K234" s="546">
        <v>2</v>
      </c>
      <c r="L234" s="547">
        <v>0</v>
      </c>
    </row>
    <row r="235" spans="7:12" x14ac:dyDescent="0.2">
      <c r="G235" s="510"/>
      <c r="H235" s="506">
        <v>17168</v>
      </c>
      <c r="I235" s="507" t="s">
        <v>938</v>
      </c>
      <c r="J235" s="180" t="s">
        <v>649</v>
      </c>
      <c r="K235" s="546">
        <v>31</v>
      </c>
      <c r="L235" s="547">
        <v>479.89196900000002</v>
      </c>
    </row>
    <row r="236" spans="7:12" x14ac:dyDescent="0.2">
      <c r="G236" s="510"/>
      <c r="H236" s="506">
        <v>17237</v>
      </c>
      <c r="I236" s="507" t="s">
        <v>939</v>
      </c>
      <c r="J236" s="180" t="s">
        <v>655</v>
      </c>
      <c r="K236" s="546">
        <v>1</v>
      </c>
      <c r="L236" s="547">
        <v>0</v>
      </c>
    </row>
    <row r="237" spans="7:12" x14ac:dyDescent="0.2">
      <c r="G237" s="510"/>
      <c r="H237" s="548">
        <v>12021</v>
      </c>
      <c r="I237" s="545" t="s">
        <v>1028</v>
      </c>
      <c r="J237" s="545" t="s">
        <v>648</v>
      </c>
      <c r="K237" s="546">
        <v>1</v>
      </c>
      <c r="L237" s="547">
        <v>909.22938199999999</v>
      </c>
    </row>
    <row r="238" spans="7:12" x14ac:dyDescent="0.2">
      <c r="G238" s="510"/>
      <c r="H238" s="548">
        <v>16903</v>
      </c>
      <c r="I238" s="545" t="s">
        <v>1034</v>
      </c>
      <c r="J238" s="545" t="s">
        <v>673</v>
      </c>
      <c r="K238" s="546">
        <v>1</v>
      </c>
      <c r="L238" s="547">
        <v>35</v>
      </c>
    </row>
    <row r="239" spans="7:12" x14ac:dyDescent="0.2">
      <c r="G239" s="510"/>
      <c r="H239" s="548">
        <v>10843</v>
      </c>
      <c r="I239" s="545" t="s">
        <v>1031</v>
      </c>
      <c r="J239" s="545" t="s">
        <v>662</v>
      </c>
      <c r="K239" s="546">
        <v>1</v>
      </c>
      <c r="L239" s="547">
        <v>21.024339999999999</v>
      </c>
    </row>
    <row r="240" spans="7:12" x14ac:dyDescent="0.2">
      <c r="G240" s="510"/>
      <c r="H240" s="548">
        <v>15849</v>
      </c>
      <c r="I240" s="545" t="s">
        <v>1037</v>
      </c>
      <c r="J240" s="545" t="s">
        <v>661</v>
      </c>
      <c r="K240" s="546">
        <v>2</v>
      </c>
      <c r="L240" s="547">
        <v>0</v>
      </c>
    </row>
    <row r="241" spans="7:12" x14ac:dyDescent="0.2">
      <c r="G241" s="510"/>
      <c r="H241" s="548">
        <v>23273</v>
      </c>
      <c r="I241" s="545" t="s">
        <v>1036</v>
      </c>
      <c r="J241" s="545" t="s">
        <v>648</v>
      </c>
      <c r="K241" s="546">
        <v>1</v>
      </c>
      <c r="L241" s="547">
        <v>0</v>
      </c>
    </row>
    <row r="242" spans="7:12" x14ac:dyDescent="0.2">
      <c r="G242" s="510"/>
      <c r="H242" s="548">
        <v>16803</v>
      </c>
      <c r="I242" s="545" t="s">
        <v>1033</v>
      </c>
      <c r="J242" s="545" t="s">
        <v>655</v>
      </c>
      <c r="K242" s="546">
        <v>5</v>
      </c>
      <c r="L242" s="547">
        <v>9.8000000000000007</v>
      </c>
    </row>
    <row r="243" spans="7:12" x14ac:dyDescent="0.2">
      <c r="G243" s="510"/>
      <c r="H243" s="548">
        <v>21986</v>
      </c>
      <c r="I243" s="545" t="s">
        <v>1032</v>
      </c>
      <c r="J243" s="545" t="s">
        <v>666</v>
      </c>
      <c r="K243" s="546">
        <v>1</v>
      </c>
      <c r="L243" s="547">
        <v>0</v>
      </c>
    </row>
    <row r="244" spans="7:12" x14ac:dyDescent="0.2">
      <c r="G244" s="510"/>
      <c r="H244" s="548">
        <v>22928</v>
      </c>
      <c r="I244" s="545" t="s">
        <v>1035</v>
      </c>
      <c r="J244" s="545" t="s">
        <v>672</v>
      </c>
      <c r="K244" s="546">
        <v>1</v>
      </c>
      <c r="L244" s="547">
        <v>0</v>
      </c>
    </row>
    <row r="245" spans="7:12" x14ac:dyDescent="0.2">
      <c r="G245" s="510"/>
      <c r="H245" s="548">
        <v>23395</v>
      </c>
      <c r="I245" s="545" t="s">
        <v>1025</v>
      </c>
      <c r="J245" s="545" t="s">
        <v>661</v>
      </c>
      <c r="K245" s="546">
        <v>1</v>
      </c>
      <c r="L245" s="547">
        <v>0</v>
      </c>
    </row>
    <row r="246" spans="7:12" x14ac:dyDescent="0.2">
      <c r="G246" s="510"/>
      <c r="H246" s="548">
        <v>8789</v>
      </c>
      <c r="I246" s="545" t="s">
        <v>1109</v>
      </c>
      <c r="J246" s="545" t="s">
        <v>648</v>
      </c>
      <c r="K246" s="546">
        <v>1</v>
      </c>
      <c r="L246" s="547">
        <v>0</v>
      </c>
    </row>
    <row r="247" spans="7:12" x14ac:dyDescent="0.2">
      <c r="G247" s="510"/>
      <c r="H247" s="548">
        <v>12004</v>
      </c>
      <c r="I247" s="545" t="s">
        <v>1111</v>
      </c>
      <c r="J247" s="545" t="s">
        <v>655</v>
      </c>
      <c r="K247" s="546">
        <v>2</v>
      </c>
      <c r="L247" s="547">
        <v>118</v>
      </c>
    </row>
    <row r="248" spans="7:12" x14ac:dyDescent="0.2">
      <c r="G248" s="510"/>
      <c r="H248" s="548">
        <v>13630</v>
      </c>
      <c r="I248" s="545" t="s">
        <v>1113</v>
      </c>
      <c r="J248" s="545" t="s">
        <v>657</v>
      </c>
      <c r="K248" s="546">
        <v>2</v>
      </c>
      <c r="L248" s="547">
        <v>44</v>
      </c>
    </row>
    <row r="249" spans="7:12" x14ac:dyDescent="0.2">
      <c r="G249" s="510"/>
      <c r="H249" s="548">
        <v>14044</v>
      </c>
      <c r="I249" s="545" t="s">
        <v>1110</v>
      </c>
      <c r="J249" s="545" t="s">
        <v>648</v>
      </c>
      <c r="K249" s="546">
        <v>1</v>
      </c>
      <c r="L249" s="547">
        <v>0</v>
      </c>
    </row>
    <row r="250" spans="7:12" x14ac:dyDescent="0.2">
      <c r="G250" s="510"/>
      <c r="H250" s="548">
        <v>14752</v>
      </c>
      <c r="I250" s="545" t="s">
        <v>1112</v>
      </c>
      <c r="J250" s="545" t="s">
        <v>648</v>
      </c>
      <c r="K250" s="546">
        <v>1</v>
      </c>
      <c r="L250" s="547">
        <v>0</v>
      </c>
    </row>
    <row r="251" spans="7:12" x14ac:dyDescent="0.2">
      <c r="G251" s="510"/>
      <c r="H251" s="548">
        <v>15735</v>
      </c>
      <c r="I251" s="545" t="s">
        <v>1115</v>
      </c>
      <c r="J251" s="545" t="s">
        <v>648</v>
      </c>
      <c r="K251" s="546">
        <v>3</v>
      </c>
      <c r="L251" s="547">
        <v>25.955672</v>
      </c>
    </row>
    <row r="252" spans="7:12" x14ac:dyDescent="0.2">
      <c r="G252" s="510"/>
      <c r="H252" s="548">
        <v>16814</v>
      </c>
      <c r="I252" s="545" t="s">
        <v>1117</v>
      </c>
      <c r="J252" s="545" t="s">
        <v>653</v>
      </c>
      <c r="K252" s="546">
        <v>1</v>
      </c>
      <c r="L252" s="547">
        <v>0</v>
      </c>
    </row>
    <row r="253" spans="7:12" x14ac:dyDescent="0.2">
      <c r="G253" s="510"/>
      <c r="H253" s="548">
        <v>21953</v>
      </c>
      <c r="I253" s="545" t="s">
        <v>1116</v>
      </c>
      <c r="J253" s="545" t="s">
        <v>666</v>
      </c>
      <c r="K253" s="546">
        <v>1</v>
      </c>
      <c r="L253" s="547">
        <v>7</v>
      </c>
    </row>
    <row r="259" spans="11:12" x14ac:dyDescent="0.2">
      <c r="K259" s="550">
        <f>SUM(K3:K253)</f>
        <v>2781</v>
      </c>
      <c r="L259" s="232">
        <f>SUM(L3:L253)</f>
        <v>294963.1883359999</v>
      </c>
    </row>
  </sheetData>
  <autoFilter ref="A2:E2">
    <sortState ref="A3:E173">
      <sortCondition ref="A2"/>
    </sortState>
  </autoFilter>
  <sortState ref="A2:O245">
    <sortCondition descending="1" ref="L229"/>
  </sortState>
  <mergeCells count="2">
    <mergeCell ref="A1:E1"/>
    <mergeCell ref="H1:L1"/>
  </mergeCells>
  <conditionalFormatting sqref="A159">
    <cfRule type="duplicateValues" dxfId="2" priority="4" stopIfTrue="1"/>
  </conditionalFormatting>
  <conditionalFormatting sqref="A1:A1048576">
    <cfRule type="duplicateValues" dxfId="1" priority="1"/>
  </conditionalFormatting>
  <conditionalFormatting sqref="A167:A169 A1:A158 A161:A163 A171:A65543">
    <cfRule type="duplicateValues" dxfId="0" priority="6" stopIfTrue="1"/>
  </conditionalFormatting>
  <pageMargins left="0.7" right="0.7" top="0.75" bottom="0.75" header="0.3" footer="0.3"/>
  <pageSetup scale="32" fitToWidth="0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AB135"/>
  <sheetViews>
    <sheetView workbookViewId="0">
      <pane xSplit="1" topLeftCell="B1" activePane="topRight" state="frozen"/>
      <selection sqref="A1:E1"/>
      <selection pane="topRight" activeCell="I128" sqref="I128"/>
    </sheetView>
  </sheetViews>
  <sheetFormatPr defaultColWidth="8.85546875" defaultRowHeight="12.75" x14ac:dyDescent="0.2"/>
  <cols>
    <col min="1" max="1" width="15.7109375" bestFit="1" customWidth="1"/>
    <col min="2" max="2" width="14" bestFit="1" customWidth="1"/>
    <col min="3" max="4" width="11.42578125" customWidth="1"/>
    <col min="5" max="7" width="11.28515625" customWidth="1"/>
    <col min="8" max="8" width="12.5703125" bestFit="1" customWidth="1"/>
    <col min="9" max="9" width="15" bestFit="1" customWidth="1"/>
    <col min="10" max="10" width="12.28515625" bestFit="1" customWidth="1"/>
    <col min="11" max="11" width="10.28515625" bestFit="1" customWidth="1"/>
    <col min="12" max="12" width="13.42578125" style="78" hidden="1" customWidth="1"/>
    <col min="13" max="14" width="12.28515625" hidden="1" customWidth="1"/>
    <col min="15" max="15" width="11.42578125" hidden="1" customWidth="1"/>
    <col min="16" max="16" width="10.28515625" hidden="1" customWidth="1"/>
    <col min="17" max="17" width="11.140625" bestFit="1" customWidth="1"/>
    <col min="18" max="18" width="11.28515625" style="227" hidden="1" customWidth="1"/>
    <col min="19" max="19" width="13.42578125" style="166" hidden="1" customWidth="1"/>
    <col min="20" max="21" width="14" hidden="1" customWidth="1"/>
    <col min="22" max="22" width="12" hidden="1" customWidth="1"/>
    <col min="23" max="23" width="19" bestFit="1" customWidth="1"/>
    <col min="24" max="24" width="9.7109375" bestFit="1" customWidth="1"/>
    <col min="25" max="25" width="10.7109375" bestFit="1" customWidth="1"/>
  </cols>
  <sheetData>
    <row r="1" spans="1:28" ht="15.75" customHeight="1" thickBot="1" x14ac:dyDescent="0.3">
      <c r="A1" s="568" t="s">
        <v>1008</v>
      </c>
      <c r="B1" s="569"/>
      <c r="C1" s="569"/>
      <c r="D1" s="569"/>
      <c r="E1" s="569"/>
      <c r="F1" s="569"/>
      <c r="G1" s="569"/>
      <c r="H1" s="569"/>
      <c r="I1" s="569"/>
      <c r="J1" s="569"/>
      <c r="K1" s="570"/>
      <c r="L1" s="276"/>
      <c r="M1" s="568" t="s">
        <v>739</v>
      </c>
      <c r="N1" s="569"/>
      <c r="O1" s="569"/>
      <c r="P1" s="570"/>
      <c r="W1" s="57" t="s">
        <v>772</v>
      </c>
      <c r="X1" s="340" t="s">
        <v>773</v>
      </c>
      <c r="Y1" s="340"/>
      <c r="Z1" s="340"/>
      <c r="AA1" s="340"/>
      <c r="AB1" s="340"/>
    </row>
    <row r="2" spans="1:28" s="1" customFormat="1" ht="36.75" thickBot="1" x14ac:dyDescent="0.25">
      <c r="A2" s="68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71" t="s">
        <v>7</v>
      </c>
      <c r="I2" s="100" t="s">
        <v>82</v>
      </c>
      <c r="J2" s="69" t="s">
        <v>80</v>
      </c>
      <c r="K2" s="70" t="s">
        <v>81</v>
      </c>
      <c r="L2" s="277" t="s">
        <v>749</v>
      </c>
      <c r="M2" s="150" t="s">
        <v>746</v>
      </c>
      <c r="N2" s="151" t="s">
        <v>747</v>
      </c>
      <c r="O2" s="151" t="s">
        <v>748</v>
      </c>
      <c r="P2" s="152" t="s">
        <v>750</v>
      </c>
      <c r="R2" s="233"/>
      <c r="S2" s="167"/>
    </row>
    <row r="3" spans="1:28" s="44" customFormat="1" ht="15" customHeight="1" x14ac:dyDescent="0.2">
      <c r="A3" s="60" t="s">
        <v>8</v>
      </c>
      <c r="B3" s="61"/>
      <c r="C3" s="61"/>
      <c r="D3" s="61"/>
      <c r="E3" s="62"/>
      <c r="F3" s="63"/>
      <c r="G3" s="64"/>
      <c r="H3" s="65"/>
      <c r="I3" s="171"/>
      <c r="J3" s="66"/>
      <c r="K3" s="113"/>
      <c r="L3" s="278"/>
      <c r="M3" s="80"/>
      <c r="N3" s="81"/>
      <c r="O3" s="81"/>
      <c r="P3" s="82"/>
      <c r="R3" s="234"/>
      <c r="S3" s="168"/>
    </row>
    <row r="4" spans="1:28" s="155" customFormat="1" x14ac:dyDescent="0.2">
      <c r="A4" s="238" t="s">
        <v>9</v>
      </c>
      <c r="B4" s="242">
        <f>'Orch iTunes data'!B178</f>
        <v>550505.14426099998</v>
      </c>
      <c r="C4" s="243">
        <f>'Orch iTunes data'!H178</f>
        <v>533636.59290799999</v>
      </c>
      <c r="D4" s="243">
        <f>'Orch iTunes data'!N178</f>
        <v>536679.07538100006</v>
      </c>
      <c r="E4" s="243">
        <f>'Orch iTunes data'!T178</f>
        <v>0</v>
      </c>
      <c r="F4" s="243">
        <f>'Orch iTunes data'!Z178</f>
        <v>0</v>
      </c>
      <c r="G4" s="243">
        <f>SUM(B4:F4)</f>
        <v>1620820.8125499999</v>
      </c>
      <c r="H4" s="245">
        <f>IFERROR((((B4+C4+D4+E4+F4))/COUNTIF(B4:F4, "&gt;0")*5),0)</f>
        <v>2701368.0209166668</v>
      </c>
      <c r="I4" s="341">
        <f>SUM(I5:I7)</f>
        <v>2452632.863216151</v>
      </c>
      <c r="J4" s="246">
        <f>H4-I4</f>
        <v>248735.15770051582</v>
      </c>
      <c r="K4" s="247">
        <f t="shared" ref="K4:K81" si="0">J4/I4</f>
        <v>0.10141556913428455</v>
      </c>
      <c r="L4" s="279">
        <v>4694321.4587085396</v>
      </c>
      <c r="M4" s="272">
        <f>L4+H4</f>
        <v>7395689.4796252064</v>
      </c>
      <c r="N4" s="245">
        <f>SUM(N5:N7)</f>
        <v>7370461.3527529621</v>
      </c>
      <c r="O4" s="246">
        <f t="shared" ref="O4:O35" si="1">M4-N4</f>
        <v>25228.126872244291</v>
      </c>
      <c r="P4" s="247">
        <f t="shared" ref="P4:P81" si="2">O4/N4</f>
        <v>3.4228694331083168E-3</v>
      </c>
      <c r="Q4" s="274"/>
      <c r="R4" s="273">
        <v>0.58060113667232405</v>
      </c>
      <c r="S4" s="232">
        <f>R4*$R$129</f>
        <v>2823516.8383225785</v>
      </c>
      <c r="T4" s="274"/>
      <c r="W4" s="155" t="s">
        <v>768</v>
      </c>
      <c r="Y4" s="538">
        <v>315000</v>
      </c>
    </row>
    <row r="5" spans="1:28" s="3" customFormat="1" x14ac:dyDescent="0.2">
      <c r="A5" s="267" t="s">
        <v>201</v>
      </c>
      <c r="B5" s="261">
        <f>VLOOKUP($A5,'Orch iTunes data'!$A$199:$Z$310,2,FALSE)</f>
        <v>479378.55</v>
      </c>
      <c r="C5" s="261">
        <f>VLOOKUP($A5,'Orch iTunes data'!$A$199:$Z$310,8,FALSE)</f>
        <v>462268.1</v>
      </c>
      <c r="D5" s="261">
        <f>VLOOKUP($A5,'Orch iTunes data'!$A$199:$Z$310,14,FALSE)</f>
        <v>464199.89</v>
      </c>
      <c r="E5" s="261">
        <f>VLOOKUP($A5,'Orch iTunes data'!$A$199:$Z$310,20,FALSE)</f>
        <v>0</v>
      </c>
      <c r="F5" s="261">
        <f>VLOOKUP($A5,'Orch iTunes data'!$A$199:$Z$310,26,FALSE)</f>
        <v>0</v>
      </c>
      <c r="G5" s="262">
        <f>SUM(B5:F5)</f>
        <v>1405846.54</v>
      </c>
      <c r="H5" s="245">
        <f t="shared" ref="H5:H68" si="3">IFERROR((((B5+C5+D5+E5+F5))/COUNTIF(B5:F5, "&gt;0")*5),0)</f>
        <v>2343077.5666666669</v>
      </c>
      <c r="I5" s="295">
        <f>VLOOKUP($A5,[2]ORCH!$C:$Q,15,FALSE)</f>
        <v>2109592.2655654047</v>
      </c>
      <c r="J5" s="264">
        <f>H5-I5</f>
        <v>233485.30110126222</v>
      </c>
      <c r="K5" s="265">
        <f t="shared" si="0"/>
        <v>0.11067792810601929</v>
      </c>
      <c r="L5" s="280">
        <v>4023856.3750646841</v>
      </c>
      <c r="M5" s="266">
        <f t="shared" ref="M5:M68" si="4">L5+H5</f>
        <v>6366933.9417313505</v>
      </c>
      <c r="N5" s="293">
        <f>6442034.14010355-119111.346141877</f>
        <v>6322922.793961673</v>
      </c>
      <c r="O5" s="264">
        <f t="shared" si="1"/>
        <v>44011.147769677453</v>
      </c>
      <c r="P5" s="265">
        <f t="shared" si="2"/>
        <v>6.9605701672820755E-3</v>
      </c>
      <c r="Q5" s="274"/>
      <c r="R5" s="235"/>
      <c r="S5" s="169"/>
      <c r="T5" s="274">
        <v>2053379.5859978166</v>
      </c>
      <c r="U5" s="3">
        <v>1394452.4678049856</v>
      </c>
      <c r="V5" s="296">
        <f>SUM(T5:U5)</f>
        <v>3447832.0538028022</v>
      </c>
    </row>
    <row r="6" spans="1:28" s="3" customFormat="1" x14ac:dyDescent="0.2">
      <c r="A6" s="267" t="s">
        <v>36</v>
      </c>
      <c r="B6" s="261">
        <f>VLOOKUP($A6,'Orch iTunes data'!$A$199:$Z$310,2,FALSE)</f>
        <v>51386.355818999997</v>
      </c>
      <c r="C6" s="261">
        <f>VLOOKUP($A6,'Orch iTunes data'!$A$199:$Z$310,8,FALSE)</f>
        <v>51339.090016000002</v>
      </c>
      <c r="D6" s="261">
        <f>VLOOKUP($A6,'Orch iTunes data'!$A$199:$Z$310,14,FALSE)</f>
        <v>52054.401287000001</v>
      </c>
      <c r="E6" s="261">
        <f>VLOOKUP($A6,'Orch iTunes data'!$A$199:$Z$310,20,FALSE)</f>
        <v>0</v>
      </c>
      <c r="F6" s="261">
        <f>VLOOKUP($A6,'Orch iTunes data'!$A$199:$Z$310,26,FALSE)</f>
        <v>0</v>
      </c>
      <c r="G6" s="262">
        <f>SUM(B6:F6)</f>
        <v>154779.84712200001</v>
      </c>
      <c r="H6" s="245">
        <f t="shared" si="3"/>
        <v>257966.41187000001</v>
      </c>
      <c r="I6" s="295">
        <f>VLOOKUP($A6,[2]ORCH!$C:$Q,15,FALSE)</f>
        <v>248645.35184208024</v>
      </c>
      <c r="J6" s="264">
        <f>H6-I6</f>
        <v>9321.0600279197679</v>
      </c>
      <c r="K6" s="265">
        <f t="shared" si="0"/>
        <v>3.7487368892541229E-2</v>
      </c>
      <c r="L6" s="280">
        <v>488243.21822667122</v>
      </c>
      <c r="M6" s="266">
        <f t="shared" si="4"/>
        <v>746209.63009667117</v>
      </c>
      <c r="N6" s="293">
        <v>759285.03886291885</v>
      </c>
      <c r="O6" s="264">
        <f t="shared" si="1"/>
        <v>-13075.408766247681</v>
      </c>
      <c r="P6" s="265">
        <f t="shared" si="2"/>
        <v>-1.7220685377692939E-2</v>
      </c>
      <c r="Q6" s="274"/>
      <c r="R6" s="235"/>
      <c r="S6" s="169"/>
      <c r="T6" s="273">
        <f>T5/$V$5</f>
        <v>0.59555673070938364</v>
      </c>
      <c r="U6" s="273">
        <f>U5/$V$5</f>
        <v>0.40444326929061636</v>
      </c>
      <c r="V6" s="296">
        <f>V5-200000</f>
        <v>3247832.0538028022</v>
      </c>
      <c r="W6" s="3" t="s">
        <v>769</v>
      </c>
      <c r="X6" s="338">
        <f>SUM(Summary!B7:B7)/SUM(Summary!$B$7:$B$9)</f>
        <v>2.6017669278904844E-2</v>
      </c>
      <c r="Y6" s="283">
        <f>X6*$Y$4</f>
        <v>8195.5658228550255</v>
      </c>
    </row>
    <row r="7" spans="1:28" s="3" customFormat="1" x14ac:dyDescent="0.2">
      <c r="A7" s="267" t="s">
        <v>73</v>
      </c>
      <c r="B7" s="261">
        <f>VLOOKUP($A7,'Orch iTunes data'!$A$199:$Z$310,2,FALSE)</f>
        <v>19740.238442000002</v>
      </c>
      <c r="C7" s="261">
        <f>VLOOKUP($A7,'Orch iTunes data'!$A$199:$Z$310,8,FALSE)</f>
        <v>20029.402891999998</v>
      </c>
      <c r="D7" s="261">
        <f>VLOOKUP($A7,'Orch iTunes data'!$A$199:$Z$310,14,FALSE)</f>
        <v>20424.784093999999</v>
      </c>
      <c r="E7" s="261">
        <f>VLOOKUP($A7,'Orch iTunes data'!$A$199:$Z$310,20,FALSE)</f>
        <v>0</v>
      </c>
      <c r="F7" s="261">
        <f>VLOOKUP($A7,'Orch iTunes data'!$A$199:$Z$310,26,FALSE)</f>
        <v>0</v>
      </c>
      <c r="G7" s="262">
        <f>SUM(B7:F7)</f>
        <v>60194.425428000002</v>
      </c>
      <c r="H7" s="245">
        <f t="shared" si="3"/>
        <v>100324.04238000001</v>
      </c>
      <c r="I7" s="295">
        <f>VLOOKUP($A7,[2]ORCH!$C:$Q,15,FALSE)</f>
        <v>94395.245808666135</v>
      </c>
      <c r="J7" s="264">
        <f>H7-I7</f>
        <v>5928.7965713338781</v>
      </c>
      <c r="K7" s="265">
        <f t="shared" si="0"/>
        <v>6.280821158463018E-2</v>
      </c>
      <c r="L7" s="280">
        <v>182221.86541718242</v>
      </c>
      <c r="M7" s="266">
        <f t="shared" si="4"/>
        <v>282545.90779718244</v>
      </c>
      <c r="N7" s="293">
        <v>288253.51992837078</v>
      </c>
      <c r="O7" s="264">
        <f t="shared" si="1"/>
        <v>-5707.6121311883326</v>
      </c>
      <c r="P7" s="265">
        <f t="shared" si="2"/>
        <v>-1.9800667594992903E-2</v>
      </c>
      <c r="Q7" s="274"/>
      <c r="R7" s="235"/>
      <c r="S7" s="169"/>
      <c r="T7" s="297">
        <f>T6*V6</f>
        <v>1934268.23985594</v>
      </c>
      <c r="U7" s="297">
        <f>U6*V6</f>
        <v>1313563.8139468622</v>
      </c>
      <c r="V7" s="298">
        <f>SUM(T7:U7)</f>
        <v>3247832.0538028022</v>
      </c>
      <c r="W7" s="155" t="s">
        <v>770</v>
      </c>
      <c r="X7" s="338">
        <f>SUM(Summary!B8)/SUM(Summary!$B$7:$B$9)</f>
        <v>6.0780160582336255E-2</v>
      </c>
      <c r="Y7" s="283">
        <f t="shared" ref="Y7:Y8" si="5">X7*$Y$4</f>
        <v>19145.750583435922</v>
      </c>
    </row>
    <row r="8" spans="1:28" s="155" customFormat="1" ht="12" customHeight="1" x14ac:dyDescent="0.2">
      <c r="A8" s="238" t="s">
        <v>72</v>
      </c>
      <c r="B8" s="242">
        <f>'Orch iTunes data'!B180</f>
        <v>86780.86404</v>
      </c>
      <c r="C8" s="243">
        <f>'Orch iTunes data'!H180</f>
        <v>88365.473039999997</v>
      </c>
      <c r="D8" s="243">
        <f>'Orch iTunes data'!N180</f>
        <v>83651.864088000002</v>
      </c>
      <c r="E8" s="243">
        <f>'Orch iTunes data'!T180</f>
        <v>0</v>
      </c>
      <c r="F8" s="243">
        <f>'Orch iTunes data'!Z180</f>
        <v>0</v>
      </c>
      <c r="G8" s="243">
        <f t="shared" ref="G8:G81" si="6">SUM(B8:F8)</f>
        <v>258798.201168</v>
      </c>
      <c r="H8" s="245">
        <f t="shared" si="3"/>
        <v>431330.33528</v>
      </c>
      <c r="I8" s="469">
        <f>VLOOKUP($A8,[2]ORCH!$C:$Q,15,FALSE)</f>
        <v>392410.6871891233</v>
      </c>
      <c r="J8" s="246">
        <f t="shared" ref="J8:J81" si="7">H8-I8</f>
        <v>38919.648090876697</v>
      </c>
      <c r="K8" s="247">
        <f t="shared" si="0"/>
        <v>9.918090755800256E-2</v>
      </c>
      <c r="L8" s="279">
        <v>844059.40603429067</v>
      </c>
      <c r="M8" s="272">
        <f t="shared" si="4"/>
        <v>1275389.7413142906</v>
      </c>
      <c r="N8" s="292">
        <v>1198299.3515272033</v>
      </c>
      <c r="O8" s="246">
        <f t="shared" si="1"/>
        <v>77090.389787087217</v>
      </c>
      <c r="P8" s="247">
        <f t="shared" si="2"/>
        <v>6.4333164904777251E-2</v>
      </c>
      <c r="Q8" s="274"/>
      <c r="R8" s="273">
        <v>9.2893679458250625E-2</v>
      </c>
      <c r="S8" s="232">
        <f>R8*$R$129</f>
        <v>451750.52468445071</v>
      </c>
      <c r="T8" s="274"/>
      <c r="W8" s="155" t="s">
        <v>798</v>
      </c>
      <c r="X8" s="338">
        <f>SUM(Summary!B9)/SUM(Summary!$B$7:$B$9)</f>
        <v>0.91320217013875882</v>
      </c>
      <c r="Y8" s="283">
        <f t="shared" si="5"/>
        <v>287658.68359370902</v>
      </c>
    </row>
    <row r="9" spans="1:28" s="155" customFormat="1" x14ac:dyDescent="0.2">
      <c r="A9" s="238" t="s">
        <v>92</v>
      </c>
      <c r="B9" s="242">
        <f>'Orch iTunes data'!B181</f>
        <v>38766.335088</v>
      </c>
      <c r="C9" s="243">
        <f>'Orch iTunes data'!H181</f>
        <v>37370.843015999999</v>
      </c>
      <c r="D9" s="243">
        <f>'Orch iTunes data'!N181</f>
        <v>35029.292999999998</v>
      </c>
      <c r="E9" s="243">
        <f>'Orch iTunes data'!T181</f>
        <v>0</v>
      </c>
      <c r="F9" s="243">
        <f>'Orch iTunes data'!Z181</f>
        <v>0</v>
      </c>
      <c r="G9" s="243">
        <f t="shared" si="6"/>
        <v>111166.471104</v>
      </c>
      <c r="H9" s="245">
        <f t="shared" si="3"/>
        <v>185277.45183999999</v>
      </c>
      <c r="I9" s="341">
        <f>SUM(I10:I13)</f>
        <v>163871.10655366059</v>
      </c>
      <c r="J9" s="246">
        <f t="shared" si="7"/>
        <v>21406.345286339405</v>
      </c>
      <c r="K9" s="247">
        <f t="shared" si="0"/>
        <v>0.13062916176336289</v>
      </c>
      <c r="L9" s="279">
        <v>344791.61262041325</v>
      </c>
      <c r="M9" s="272">
        <f t="shared" si="4"/>
        <v>530069.0644604133</v>
      </c>
      <c r="N9" s="292">
        <v>500411.04161533044</v>
      </c>
      <c r="O9" s="246">
        <f t="shared" si="1"/>
        <v>29658.022845082858</v>
      </c>
      <c r="P9" s="247">
        <f t="shared" si="2"/>
        <v>5.926732301778663E-2</v>
      </c>
      <c r="Q9" s="274"/>
      <c r="R9" s="273">
        <v>3.8792496080332355E-2</v>
      </c>
      <c r="S9" s="232">
        <f>R9*$R$129</f>
        <v>188651.48372108268</v>
      </c>
      <c r="T9" s="274">
        <v>119111.346141877</v>
      </c>
      <c r="U9" s="274">
        <v>80888.653858123304</v>
      </c>
      <c r="X9" s="338"/>
      <c r="Y9" s="283"/>
    </row>
    <row r="10" spans="1:28" s="3" customFormat="1" x14ac:dyDescent="0.2">
      <c r="A10" s="267" t="s">
        <v>39</v>
      </c>
      <c r="B10" s="261">
        <f>VLOOKUP($A10,'Orch iTunes data'!$A$199:$Z$310,2,FALSE)</f>
        <v>26143.611624000001</v>
      </c>
      <c r="C10" s="261">
        <f>VLOOKUP($A10,'Orch iTunes data'!$A$199:$Z$310,8,FALSE)</f>
        <v>24289.641479999998</v>
      </c>
      <c r="D10" s="261">
        <f>VLOOKUP($A10,'Orch iTunes data'!$A$199:$Z$310,14,FALSE)</f>
        <v>21979.815623999999</v>
      </c>
      <c r="E10" s="261">
        <f>VLOOKUP($A10,'Orch iTunes data'!$A$199:$Z$310,20,FALSE)</f>
        <v>0</v>
      </c>
      <c r="F10" s="261">
        <f>VLOOKUP($A10,'Orch iTunes data'!$A$199:$Z$310,26,FALSE)</f>
        <v>0</v>
      </c>
      <c r="G10" s="262">
        <f>SUM(B10:F10)</f>
        <v>72413.068727999998</v>
      </c>
      <c r="H10" s="245">
        <f t="shared" si="3"/>
        <v>120688.44788000001</v>
      </c>
      <c r="I10" s="295">
        <f>VLOOKUP($A10,[2]ORCH!$C:$Q,15,FALSE)</f>
        <v>106239.91313909192</v>
      </c>
      <c r="J10" s="264">
        <f>H10-I10</f>
        <v>14448.534740908086</v>
      </c>
      <c r="K10" s="265">
        <f t="shared" si="0"/>
        <v>0.13599912042465345</v>
      </c>
      <c r="L10" s="280">
        <v>227260.0326550006</v>
      </c>
      <c r="M10" s="266">
        <f t="shared" si="4"/>
        <v>347948.48053500062</v>
      </c>
      <c r="N10" s="293">
        <v>324423.42468497617</v>
      </c>
      <c r="O10" s="264">
        <f t="shared" si="1"/>
        <v>23525.055850024452</v>
      </c>
      <c r="P10" s="265">
        <f t="shared" si="2"/>
        <v>7.2513431706936429E-2</v>
      </c>
      <c r="Q10" s="274"/>
      <c r="R10" s="235"/>
      <c r="S10" s="169"/>
      <c r="T10" s="274"/>
    </row>
    <row r="11" spans="1:28" s="3" customFormat="1" x14ac:dyDescent="0.2">
      <c r="A11" s="267" t="s">
        <v>35</v>
      </c>
      <c r="B11" s="261">
        <f>VLOOKUP($A11,'Orch iTunes data'!$A$199:$Z$310,2,FALSE)</f>
        <v>6800.6749200000004</v>
      </c>
      <c r="C11" s="261">
        <f>VLOOKUP($A11,'Orch iTunes data'!$A$199:$Z$310,8,FALSE)</f>
        <v>6795.5325359999997</v>
      </c>
      <c r="D11" s="261">
        <f>VLOOKUP($A11,'Orch iTunes data'!$A$199:$Z$310,14,FALSE)</f>
        <v>6605.9039279999997</v>
      </c>
      <c r="E11" s="261">
        <f>VLOOKUP($A11,'Orch iTunes data'!$A$199:$Z$310,20,FALSE)</f>
        <v>0</v>
      </c>
      <c r="F11" s="261">
        <f>VLOOKUP($A11,'Orch iTunes data'!$A$199:$Z$310,26,FALSE)</f>
        <v>0</v>
      </c>
      <c r="G11" s="262">
        <f>SUM(B11:F11)</f>
        <v>20202.111384</v>
      </c>
      <c r="H11" s="245">
        <f t="shared" si="3"/>
        <v>33670.185639999996</v>
      </c>
      <c r="I11" s="295">
        <f>VLOOKUP($A11,[2]ORCH!$C:$Q,15,FALSE)</f>
        <v>26170.50810558139</v>
      </c>
      <c r="J11" s="264">
        <f>H11-I11</f>
        <v>7499.6775344186062</v>
      </c>
      <c r="K11" s="265">
        <f t="shared" si="0"/>
        <v>0.28656980996173892</v>
      </c>
      <c r="L11" s="280">
        <v>54334.635793685913</v>
      </c>
      <c r="M11" s="266">
        <f t="shared" si="4"/>
        <v>88004.821433685909</v>
      </c>
      <c r="N11" s="293">
        <v>79916.536210293198</v>
      </c>
      <c r="O11" s="264">
        <f t="shared" si="1"/>
        <v>8088.2852233927115</v>
      </c>
      <c r="P11" s="265">
        <f t="shared" si="2"/>
        <v>0.10120915653938146</v>
      </c>
      <c r="Q11" s="274"/>
      <c r="R11" s="235"/>
      <c r="S11" s="169"/>
      <c r="T11" s="274"/>
    </row>
    <row r="12" spans="1:28" s="3" customFormat="1" x14ac:dyDescent="0.2">
      <c r="A12" s="267" t="s">
        <v>43</v>
      </c>
      <c r="B12" s="261">
        <f>VLOOKUP($A12,'Orch iTunes data'!$A$199:$Z$310,2,FALSE)</f>
        <v>806.56118400000003</v>
      </c>
      <c r="C12" s="261">
        <f>VLOOKUP($A12,'Orch iTunes data'!$A$199:$Z$310,8,FALSE)</f>
        <v>895.58071199999995</v>
      </c>
      <c r="D12" s="261">
        <f>VLOOKUP($A12,'Orch iTunes data'!$A$199:$Z$310,14,FALSE)</f>
        <v>983.14195199999995</v>
      </c>
      <c r="E12" s="261">
        <f>VLOOKUP($A12,'Orch iTunes data'!$A$199:$Z$310,20,FALSE)</f>
        <v>0</v>
      </c>
      <c r="F12" s="261">
        <f>VLOOKUP($A12,'Orch iTunes data'!$A$199:$Z$310,26,FALSE)</f>
        <v>0</v>
      </c>
      <c r="G12" s="262">
        <f>SUM(B12:F12)</f>
        <v>2685.283848</v>
      </c>
      <c r="H12" s="245">
        <f t="shared" si="3"/>
        <v>4475.4730799999998</v>
      </c>
      <c r="I12" s="295">
        <f>VLOOKUP($A12,[2]ORCH!$C:$Q,15,FALSE)</f>
        <v>4037.9727918587332</v>
      </c>
      <c r="J12" s="264">
        <f>H12-I12</f>
        <v>437.50028814126654</v>
      </c>
      <c r="K12" s="265">
        <f t="shared" si="0"/>
        <v>0.10834651709970519</v>
      </c>
      <c r="L12" s="280">
        <v>8646.4739815592802</v>
      </c>
      <c r="M12" s="266">
        <f t="shared" si="4"/>
        <v>13121.94706155928</v>
      </c>
      <c r="N12" s="293">
        <v>12330.704376654219</v>
      </c>
      <c r="O12" s="264">
        <f t="shared" si="1"/>
        <v>791.24268490506074</v>
      </c>
      <c r="P12" s="265">
        <f t="shared" si="2"/>
        <v>6.4168490358354896E-2</v>
      </c>
      <c r="Q12" s="274"/>
      <c r="R12" s="235"/>
      <c r="S12" s="169"/>
      <c r="T12" s="274"/>
    </row>
    <row r="13" spans="1:28" s="3" customFormat="1" x14ac:dyDescent="0.2">
      <c r="A13" s="267" t="s">
        <v>44</v>
      </c>
      <c r="B13" s="261">
        <f>VLOOKUP($A13,'Orch iTunes data'!$A$199:$Z$310,2,FALSE)</f>
        <v>5015.4873600000001</v>
      </c>
      <c r="C13" s="261">
        <f>VLOOKUP($A13,'Orch iTunes data'!$A$199:$Z$310,8,FALSE)</f>
        <v>5390.0882879999999</v>
      </c>
      <c r="D13" s="261">
        <f>VLOOKUP($A13,'Orch iTunes data'!$A$199:$Z$310,14,FALSE)</f>
        <v>5460.4314960000002</v>
      </c>
      <c r="E13" s="261">
        <f>VLOOKUP($A13,'Orch iTunes data'!$A$199:$Z$310,20,FALSE)</f>
        <v>0</v>
      </c>
      <c r="F13" s="261">
        <f>VLOOKUP($A13,'Orch iTunes data'!$A$199:$Z$310,26,FALSE)</f>
        <v>0</v>
      </c>
      <c r="G13" s="262">
        <f>SUM(B13:F13)</f>
        <v>15866.007143999999</v>
      </c>
      <c r="H13" s="245">
        <f t="shared" si="3"/>
        <v>26443.345239999999</v>
      </c>
      <c r="I13" s="295">
        <f>VLOOKUP($A13,[2]ORCH!$C:$Q,15,FALSE)</f>
        <v>27422.712517128544</v>
      </c>
      <c r="J13" s="264">
        <f>H13-I13</f>
        <v>-979.36727712854554</v>
      </c>
      <c r="K13" s="265">
        <f t="shared" si="0"/>
        <v>-3.5713727316975717E-2</v>
      </c>
      <c r="L13" s="280">
        <v>54550.470190167427</v>
      </c>
      <c r="M13" s="266">
        <f t="shared" si="4"/>
        <v>80993.815430167422</v>
      </c>
      <c r="N13" s="293">
        <v>83740.376343406795</v>
      </c>
      <c r="O13" s="264">
        <f t="shared" si="1"/>
        <v>-2746.5609132393729</v>
      </c>
      <c r="P13" s="265">
        <f t="shared" si="2"/>
        <v>-3.279852602973906E-2</v>
      </c>
      <c r="Q13" s="274"/>
      <c r="R13" s="235"/>
      <c r="S13" s="169"/>
      <c r="T13" s="274"/>
    </row>
    <row r="14" spans="1:28" s="155" customFormat="1" x14ac:dyDescent="0.2">
      <c r="A14" s="238" t="s">
        <v>85</v>
      </c>
      <c r="B14" s="242">
        <f>'Orch iTunes data'!B182</f>
        <v>53283.643295999995</v>
      </c>
      <c r="C14" s="243">
        <f>'Orch iTunes data'!H182</f>
        <v>48306.135384000001</v>
      </c>
      <c r="D14" s="243">
        <f>'Orch iTunes data'!N182</f>
        <v>49772.699808000005</v>
      </c>
      <c r="E14" s="243">
        <f>'Orch iTunes data'!T182</f>
        <v>0</v>
      </c>
      <c r="F14" s="243">
        <f>'Orch iTunes data'!Z182</f>
        <v>0</v>
      </c>
      <c r="G14" s="243">
        <f t="shared" si="6"/>
        <v>151362.47848799999</v>
      </c>
      <c r="H14" s="245">
        <f t="shared" si="3"/>
        <v>252270.79748000001</v>
      </c>
      <c r="I14" s="341">
        <f>SUM(I15:I17)</f>
        <v>243762.73213754391</v>
      </c>
      <c r="J14" s="246">
        <f t="shared" si="7"/>
        <v>8508.0653424561024</v>
      </c>
      <c r="K14" s="247">
        <f t="shared" si="0"/>
        <v>3.4903060315452157E-2</v>
      </c>
      <c r="L14" s="279">
        <v>488805.78828215576</v>
      </c>
      <c r="M14" s="272">
        <f t="shared" si="4"/>
        <v>741076.58576215571</v>
      </c>
      <c r="N14" s="292">
        <v>744375.04732418072</v>
      </c>
      <c r="O14" s="246">
        <f t="shared" si="1"/>
        <v>-3298.4615620250115</v>
      </c>
      <c r="P14" s="247">
        <f t="shared" si="2"/>
        <v>-4.4311823372936189E-3</v>
      </c>
      <c r="Q14" s="274"/>
      <c r="R14" s="273">
        <v>5.7704893985568356E-2</v>
      </c>
      <c r="S14" s="232">
        <f>R14*$R$129</f>
        <v>280624.2177817598</v>
      </c>
      <c r="T14" s="274"/>
    </row>
    <row r="15" spans="1:28" s="3" customFormat="1" x14ac:dyDescent="0.2">
      <c r="A15" s="267" t="s">
        <v>40</v>
      </c>
      <c r="B15" s="261">
        <f>VLOOKUP($A15,'Orch iTunes data'!$A$199:$Z$310,2,FALSE)</f>
        <v>36560.636112</v>
      </c>
      <c r="C15" s="261">
        <f>VLOOKUP($A15,'Orch iTunes data'!$A$199:$Z$310,8,FALSE)</f>
        <v>32371.703831999999</v>
      </c>
      <c r="D15" s="261">
        <f>VLOOKUP($A15,'Orch iTunes data'!$A$199:$Z$310,14,FALSE)</f>
        <v>33611.312592000002</v>
      </c>
      <c r="E15" s="261">
        <f>VLOOKUP($A15,'Orch iTunes data'!$A$199:$Z$310,20,FALSE)</f>
        <v>0</v>
      </c>
      <c r="F15" s="261">
        <f>VLOOKUP($A15,'Orch iTunes data'!$A$199:$Z$310,26,FALSE)</f>
        <v>0</v>
      </c>
      <c r="G15" s="262">
        <f>SUM(B15:F15)</f>
        <v>102543.65253600001</v>
      </c>
      <c r="H15" s="245">
        <f t="shared" si="3"/>
        <v>170906.08756000001</v>
      </c>
      <c r="I15" s="295">
        <f>VLOOKUP($A15,[2]ORCH!$C:$Q,15,FALSE)</f>
        <v>166156.32436949832</v>
      </c>
      <c r="J15" s="264">
        <f>H15-I15</f>
        <v>4749.7631905016897</v>
      </c>
      <c r="K15" s="265">
        <f t="shared" si="0"/>
        <v>2.8586111353421428E-2</v>
      </c>
      <c r="L15" s="280">
        <v>334160.64618724573</v>
      </c>
      <c r="M15" s="266">
        <f t="shared" si="4"/>
        <v>505066.73374724574</v>
      </c>
      <c r="N15" s="293">
        <v>507389.38118714944</v>
      </c>
      <c r="O15" s="264">
        <f t="shared" si="1"/>
        <v>-2322.6474399036961</v>
      </c>
      <c r="P15" s="265">
        <f t="shared" si="2"/>
        <v>-4.577642981942881E-3</v>
      </c>
      <c r="Q15" s="274"/>
      <c r="R15" s="235"/>
      <c r="S15" s="169"/>
      <c r="T15" s="274"/>
    </row>
    <row r="16" spans="1:28" s="3" customFormat="1" x14ac:dyDescent="0.2">
      <c r="A16" s="267" t="s">
        <v>34</v>
      </c>
      <c r="B16" s="261">
        <f>VLOOKUP($A16,'Orch iTunes data'!$A$199:$Z$310,2,FALSE)</f>
        <v>3944.7074160000002</v>
      </c>
      <c r="C16" s="261">
        <f>VLOOKUP($A16,'Orch iTunes data'!$A$199:$Z$310,8,FALSE)</f>
        <v>3586.9919279999999</v>
      </c>
      <c r="D16" s="261">
        <f>VLOOKUP($A16,'Orch iTunes data'!$A$199:$Z$310,14,FALSE)</f>
        <v>3890.1367439999999</v>
      </c>
      <c r="E16" s="261">
        <f>VLOOKUP($A16,'Orch iTunes data'!$A$199:$Z$310,20,FALSE)</f>
        <v>0</v>
      </c>
      <c r="F16" s="261">
        <f>VLOOKUP($A16,'Orch iTunes data'!$A$199:$Z$310,26,FALSE)</f>
        <v>0</v>
      </c>
      <c r="G16" s="262">
        <f>SUM(B16:F16)</f>
        <v>11421.836088</v>
      </c>
      <c r="H16" s="245">
        <f t="shared" si="3"/>
        <v>19036.393479999999</v>
      </c>
      <c r="I16" s="295">
        <f>VLOOKUP($A16,[2]ORCH!$C:$Q,15,FALSE)</f>
        <v>17308.761528477844</v>
      </c>
      <c r="J16" s="264">
        <f>H16-I16</f>
        <v>1727.6319515221548</v>
      </c>
      <c r="K16" s="265">
        <f t="shared" si="0"/>
        <v>9.9812568835714099E-2</v>
      </c>
      <c r="L16" s="280">
        <v>36807.823809921749</v>
      </c>
      <c r="M16" s="266">
        <f t="shared" si="4"/>
        <v>55844.217289921748</v>
      </c>
      <c r="N16" s="293">
        <v>52855.537304257407</v>
      </c>
      <c r="O16" s="264">
        <f t="shared" si="1"/>
        <v>2988.6799856643411</v>
      </c>
      <c r="P16" s="265">
        <f t="shared" si="2"/>
        <v>5.654431187522161E-2</v>
      </c>
      <c r="Q16" s="274"/>
      <c r="R16" s="235"/>
      <c r="S16" s="169"/>
      <c r="T16" s="274"/>
    </row>
    <row r="17" spans="1:20" s="3" customFormat="1" x14ac:dyDescent="0.2">
      <c r="A17" s="267" t="s">
        <v>50</v>
      </c>
      <c r="B17" s="261">
        <f>VLOOKUP($A17,'Orch iTunes data'!$A$199:$Z$310,2,FALSE)</f>
        <v>12778.299768000001</v>
      </c>
      <c r="C17" s="261">
        <f>VLOOKUP($A17,'Orch iTunes data'!$A$199:$Z$310,8,FALSE)</f>
        <v>12347.439624000001</v>
      </c>
      <c r="D17" s="261">
        <f>VLOOKUP($A17,'Orch iTunes data'!$A$199:$Z$310,14,FALSE)</f>
        <v>12271.250472</v>
      </c>
      <c r="E17" s="261">
        <f>VLOOKUP($A17,'Orch iTunes data'!$A$199:$Z$310,20,FALSE)</f>
        <v>0</v>
      </c>
      <c r="F17" s="261">
        <f>VLOOKUP($A17,'Orch iTunes data'!$A$199:$Z$310,26,FALSE)</f>
        <v>0</v>
      </c>
      <c r="G17" s="262">
        <f>SUM(B17:F17)</f>
        <v>37396.989864000003</v>
      </c>
      <c r="H17" s="245">
        <f t="shared" si="3"/>
        <v>62328.31644000001</v>
      </c>
      <c r="I17" s="295">
        <f>VLOOKUP($A17,[2]ORCH!$C:$Q,15,FALSE)</f>
        <v>60297.646239567715</v>
      </c>
      <c r="J17" s="264">
        <f>H17-I17</f>
        <v>2030.6702004322942</v>
      </c>
      <c r="K17" s="265">
        <f t="shared" si="0"/>
        <v>3.3677437297705906E-2</v>
      </c>
      <c r="L17" s="280">
        <v>117837.31828498829</v>
      </c>
      <c r="M17" s="266">
        <f t="shared" si="4"/>
        <v>180165.63472498831</v>
      </c>
      <c r="N17" s="293">
        <v>184130.12883277397</v>
      </c>
      <c r="O17" s="264">
        <f t="shared" si="1"/>
        <v>-3964.4941077856638</v>
      </c>
      <c r="P17" s="265">
        <f t="shared" si="2"/>
        <v>-2.1530936479092981E-2</v>
      </c>
      <c r="Q17" s="274"/>
      <c r="R17" s="235"/>
      <c r="S17" s="169"/>
      <c r="T17" s="274"/>
    </row>
    <row r="18" spans="1:20" s="155" customFormat="1" x14ac:dyDescent="0.2">
      <c r="A18" s="238" t="s">
        <v>76</v>
      </c>
      <c r="B18" s="242">
        <f>'Orch iTunes data'!B183</f>
        <v>32472.696671999998</v>
      </c>
      <c r="C18" s="243">
        <f>'Orch iTunes data'!H183</f>
        <v>32123.385527999999</v>
      </c>
      <c r="D18" s="243">
        <f>'Orch iTunes data'!N183</f>
        <v>35030.034935999996</v>
      </c>
      <c r="E18" s="243">
        <f>'Orch iTunes data'!T183</f>
        <v>0</v>
      </c>
      <c r="F18" s="243">
        <f>'Orch iTunes data'!Z183</f>
        <v>0</v>
      </c>
      <c r="G18" s="243">
        <f t="shared" si="6"/>
        <v>99626.117135999986</v>
      </c>
      <c r="H18" s="245">
        <f t="shared" si="3"/>
        <v>166043.52855999998</v>
      </c>
      <c r="I18" s="341">
        <f>SUM(I19:I21)</f>
        <v>121165.39555495672</v>
      </c>
      <c r="J18" s="246">
        <f t="shared" si="7"/>
        <v>44878.133005043259</v>
      </c>
      <c r="K18" s="247">
        <f t="shared" si="0"/>
        <v>0.37038737668865185</v>
      </c>
      <c r="L18" s="279">
        <v>306398.5451394915</v>
      </c>
      <c r="M18" s="272">
        <f t="shared" si="4"/>
        <v>472442.07369949145</v>
      </c>
      <c r="N18" s="292">
        <v>370001.17392589239</v>
      </c>
      <c r="O18" s="246">
        <f t="shared" si="1"/>
        <v>102440.89977359906</v>
      </c>
      <c r="P18" s="247">
        <f t="shared" si="2"/>
        <v>0.2768664182511944</v>
      </c>
      <c r="Q18" s="274"/>
      <c r="R18" s="273">
        <v>2.8682958399371235E-2</v>
      </c>
      <c r="S18" s="232">
        <f>R18*$R$129</f>
        <v>139487.87024031876</v>
      </c>
      <c r="T18" s="274"/>
    </row>
    <row r="19" spans="1:20" s="3" customFormat="1" x14ac:dyDescent="0.2">
      <c r="A19" s="267" t="s">
        <v>11</v>
      </c>
      <c r="B19" s="261">
        <f>VLOOKUP($A19,'Orch iTunes data'!$A$199:$Z$310,2,FALSE)</f>
        <v>19496.146487999998</v>
      </c>
      <c r="C19" s="261">
        <f>VLOOKUP($A19,'Orch iTunes data'!$A$199:$Z$310,8,FALSE)</f>
        <v>17784.819936</v>
      </c>
      <c r="D19" s="261">
        <f>VLOOKUP($A19,'Orch iTunes data'!$A$199:$Z$310,14,FALSE)</f>
        <v>20649.831384000001</v>
      </c>
      <c r="E19" s="261">
        <f>VLOOKUP($A19,'Orch iTunes data'!$A$199:$Z$310,20,FALSE)</f>
        <v>0</v>
      </c>
      <c r="F19" s="261">
        <f>VLOOKUP($A19,'Orch iTunes data'!$A$199:$Z$310,26,FALSE)</f>
        <v>0</v>
      </c>
      <c r="G19" s="262">
        <f>SUM(B19:F19)</f>
        <v>57930.797808000003</v>
      </c>
      <c r="H19" s="245">
        <f t="shared" si="3"/>
        <v>96551.329679999995</v>
      </c>
      <c r="I19" s="295">
        <f>VLOOKUP($A19,[2]ORCH!$C:$Q,15,FALSE)</f>
        <v>57884.259365647493</v>
      </c>
      <c r="J19" s="264">
        <f>H19-I19</f>
        <v>38667.070314352502</v>
      </c>
      <c r="K19" s="265">
        <f t="shared" si="0"/>
        <v>0.66800665220742561</v>
      </c>
      <c r="L19" s="280">
        <v>173361.78457242256</v>
      </c>
      <c r="M19" s="266">
        <f t="shared" si="4"/>
        <v>269913.11425242259</v>
      </c>
      <c r="N19" s="293">
        <v>176760.40109493333</v>
      </c>
      <c r="O19" s="264">
        <f t="shared" si="1"/>
        <v>93152.713157489256</v>
      </c>
      <c r="P19" s="265">
        <f t="shared" si="2"/>
        <v>0.52699989692521343</v>
      </c>
      <c r="Q19" s="274"/>
      <c r="R19" s="235"/>
      <c r="S19" s="169"/>
      <c r="T19" s="274"/>
    </row>
    <row r="20" spans="1:20" s="3" customFormat="1" x14ac:dyDescent="0.2">
      <c r="A20" s="267" t="s">
        <v>47</v>
      </c>
      <c r="B20" s="261">
        <f>VLOOKUP($A20,'Orch iTunes data'!$A$199:$Z$310,2,FALSE)</f>
        <v>2594.5629840000001</v>
      </c>
      <c r="C20" s="261">
        <f>VLOOKUP($A20,'Orch iTunes data'!$A$199:$Z$310,8,FALSE)</f>
        <v>2702.3227919999999</v>
      </c>
      <c r="D20" s="261">
        <f>VLOOKUP($A20,'Orch iTunes data'!$A$199:$Z$310,14,FALSE)</f>
        <v>2717.890656</v>
      </c>
      <c r="E20" s="261">
        <f>VLOOKUP($A20,'Orch iTunes data'!$A$199:$Z$310,20,FALSE)</f>
        <v>0</v>
      </c>
      <c r="F20" s="261">
        <f>VLOOKUP($A20,'Orch iTunes data'!$A$199:$Z$310,26,FALSE)</f>
        <v>0</v>
      </c>
      <c r="G20" s="262">
        <f>SUM(B20:F20)</f>
        <v>8014.7764320000006</v>
      </c>
      <c r="H20" s="245">
        <f t="shared" si="3"/>
        <v>13357.960720000001</v>
      </c>
      <c r="I20" s="295">
        <f>VLOOKUP($A20,[2]ORCH!$C:$Q,15,FALSE)</f>
        <v>10776.533554886511</v>
      </c>
      <c r="J20" s="264">
        <f>H20-I20</f>
        <v>2581.4271651134895</v>
      </c>
      <c r="K20" s="265">
        <f t="shared" si="0"/>
        <v>0.23954151415813735</v>
      </c>
      <c r="L20" s="280">
        <v>23986.484645843499</v>
      </c>
      <c r="M20" s="266">
        <f t="shared" si="4"/>
        <v>37344.445365843501</v>
      </c>
      <c r="N20" s="293">
        <v>32908.158702385081</v>
      </c>
      <c r="O20" s="264">
        <f t="shared" si="1"/>
        <v>4436.2866634584207</v>
      </c>
      <c r="P20" s="265">
        <f t="shared" si="2"/>
        <v>0.13480810955056238</v>
      </c>
      <c r="Q20" s="274"/>
      <c r="R20" s="235"/>
      <c r="S20" s="169"/>
      <c r="T20" s="274"/>
    </row>
    <row r="21" spans="1:20" s="3" customFormat="1" x14ac:dyDescent="0.2">
      <c r="A21" s="267" t="s">
        <v>48</v>
      </c>
      <c r="B21" s="261">
        <f>VLOOKUP($A21,'Orch iTunes data'!$A$199:$Z$310,2,FALSE)</f>
        <v>10381.9872</v>
      </c>
      <c r="C21" s="261">
        <f>VLOOKUP($A21,'Orch iTunes data'!$A$199:$Z$310,8,FALSE)</f>
        <v>11636.2428</v>
      </c>
      <c r="D21" s="261">
        <f>VLOOKUP($A21,'Orch iTunes data'!$A$199:$Z$310,14,FALSE)</f>
        <v>11662.312895999999</v>
      </c>
      <c r="E21" s="261">
        <f>VLOOKUP($A21,'Orch iTunes data'!$A$199:$Z$310,20,FALSE)</f>
        <v>0</v>
      </c>
      <c r="F21" s="261">
        <f>VLOOKUP($A21,'Orch iTunes data'!$A$199:$Z$310,26,FALSE)</f>
        <v>0</v>
      </c>
      <c r="G21" s="262">
        <f>SUM(B21:F21)</f>
        <v>33680.542895999999</v>
      </c>
      <c r="H21" s="245">
        <f t="shared" si="3"/>
        <v>56134.238159999994</v>
      </c>
      <c r="I21" s="295">
        <f>VLOOKUP($A21,[2]ORCH!$C:$Q,15,FALSE)</f>
        <v>52504.602634422714</v>
      </c>
      <c r="J21" s="264">
        <f>H21-I21</f>
        <v>3629.6355255772796</v>
      </c>
      <c r="K21" s="265">
        <f t="shared" si="0"/>
        <v>6.9129854212012315E-2</v>
      </c>
      <c r="L21" s="280">
        <v>109050.27592122546</v>
      </c>
      <c r="M21" s="266">
        <f t="shared" si="4"/>
        <v>165184.51408122544</v>
      </c>
      <c r="N21" s="293">
        <v>160332.61412857394</v>
      </c>
      <c r="O21" s="264">
        <f t="shared" si="1"/>
        <v>4851.8999526514963</v>
      </c>
      <c r="P21" s="265">
        <f t="shared" si="2"/>
        <v>3.0261466009408794E-2</v>
      </c>
      <c r="Q21" s="274"/>
      <c r="R21" s="235"/>
      <c r="S21" s="169"/>
      <c r="T21" s="274"/>
    </row>
    <row r="22" spans="1:20" s="155" customFormat="1" x14ac:dyDescent="0.2">
      <c r="A22" s="238" t="s">
        <v>86</v>
      </c>
      <c r="B22" s="242">
        <f>'Orch iTunes data'!B184</f>
        <v>14862.321239999999</v>
      </c>
      <c r="C22" s="243">
        <f>'Orch iTunes data'!H184</f>
        <v>12521.756208000001</v>
      </c>
      <c r="D22" s="243">
        <f>'Orch iTunes data'!N184</f>
        <v>10981.484279999999</v>
      </c>
      <c r="E22" s="243">
        <f>'Orch iTunes data'!T184</f>
        <v>0</v>
      </c>
      <c r="F22" s="243">
        <f>'Orch iTunes data'!Z184</f>
        <v>0</v>
      </c>
      <c r="G22" s="243">
        <f t="shared" si="6"/>
        <v>38365.561728000001</v>
      </c>
      <c r="H22" s="245">
        <f t="shared" si="3"/>
        <v>63942.602880000006</v>
      </c>
      <c r="I22" s="341">
        <f>SUM(I23:I26)</f>
        <v>53993.37793690541</v>
      </c>
      <c r="J22" s="246">
        <f t="shared" si="7"/>
        <v>9949.2249430945958</v>
      </c>
      <c r="K22" s="247">
        <f t="shared" si="0"/>
        <v>0.18426750322457836</v>
      </c>
      <c r="L22" s="279">
        <v>104241.78058516978</v>
      </c>
      <c r="M22" s="272">
        <f t="shared" si="4"/>
        <v>168184.38346516978</v>
      </c>
      <c r="N22" s="292">
        <v>164878.86767817449</v>
      </c>
      <c r="O22" s="246">
        <f t="shared" si="1"/>
        <v>3305.5157869952964</v>
      </c>
      <c r="P22" s="247">
        <f t="shared" si="2"/>
        <v>2.0048147064227185E-2</v>
      </c>
      <c r="Q22" s="274"/>
      <c r="R22" s="273">
        <v>1.2781618102367776E-2</v>
      </c>
      <c r="S22" s="232">
        <f>R22*$R$129</f>
        <v>62158.18684042956</v>
      </c>
      <c r="T22" s="274"/>
    </row>
    <row r="23" spans="1:20" s="3" customFormat="1" x14ac:dyDescent="0.2">
      <c r="A23" s="267" t="s">
        <v>37</v>
      </c>
      <c r="B23" s="261">
        <f>VLOOKUP($A23,'Orch iTunes data'!$A$199:$Z$310,2,FALSE)</f>
        <v>9141.086448</v>
      </c>
      <c r="C23" s="261">
        <f>VLOOKUP($A23,'Orch iTunes data'!$A$199:$Z$310,8,FALSE)</f>
        <v>6907.3090320000001</v>
      </c>
      <c r="D23" s="261">
        <f>VLOOKUP($A23,'Orch iTunes data'!$A$199:$Z$310,14,FALSE)</f>
        <v>5401.5882959999999</v>
      </c>
      <c r="E23" s="261">
        <f>VLOOKUP($A23,'Orch iTunes data'!$A$199:$Z$310,20,FALSE)</f>
        <v>0</v>
      </c>
      <c r="F23" s="261">
        <f>VLOOKUP($A23,'Orch iTunes data'!$A$199:$Z$310,26,FALSE)</f>
        <v>0</v>
      </c>
      <c r="G23" s="262">
        <f>SUM(B23:F23)</f>
        <v>21449.983776000001</v>
      </c>
      <c r="H23" s="245">
        <f t="shared" si="3"/>
        <v>35749.972959999999</v>
      </c>
      <c r="I23" s="295">
        <f>VLOOKUP($A23,[2]ORCH!$C:$Q,15,FALSE)</f>
        <v>23930.375849862448</v>
      </c>
      <c r="J23" s="264">
        <f>H23-I23</f>
        <v>11819.597110137551</v>
      </c>
      <c r="K23" s="265">
        <f t="shared" si="0"/>
        <v>0.49391606652118208</v>
      </c>
      <c r="L23" s="280">
        <v>42298.036639928832</v>
      </c>
      <c r="M23" s="266">
        <f t="shared" si="4"/>
        <v>78048.009599928831</v>
      </c>
      <c r="N23" s="293">
        <v>73075.87382010337</v>
      </c>
      <c r="O23" s="264">
        <f t="shared" si="1"/>
        <v>4972.1357798254612</v>
      </c>
      <c r="P23" s="265">
        <f t="shared" si="2"/>
        <v>6.8040729722449289E-2</v>
      </c>
      <c r="Q23" s="274"/>
      <c r="R23" s="235"/>
      <c r="S23" s="169"/>
      <c r="T23" s="274"/>
    </row>
    <row r="24" spans="1:20" s="3" customFormat="1" x14ac:dyDescent="0.2">
      <c r="A24" s="267" t="s">
        <v>38</v>
      </c>
      <c r="B24" s="261">
        <f>VLOOKUP($A24,'Orch iTunes data'!$A$199:$Z$310,2,FALSE)</f>
        <v>912.55569600000001</v>
      </c>
      <c r="C24" s="261">
        <f>VLOOKUP($A24,'Orch iTunes data'!$A$199:$Z$310,8,FALSE)</f>
        <v>942.29709600000001</v>
      </c>
      <c r="D24" s="261">
        <f>VLOOKUP($A24,'Orch iTunes data'!$A$199:$Z$310,14,FALSE)</f>
        <v>801.78976799999998</v>
      </c>
      <c r="E24" s="261">
        <f>VLOOKUP($A24,'Orch iTunes data'!$A$199:$Z$310,20,FALSE)</f>
        <v>0</v>
      </c>
      <c r="F24" s="261">
        <f>VLOOKUP($A24,'Orch iTunes data'!$A$199:$Z$310,26,FALSE)</f>
        <v>0</v>
      </c>
      <c r="G24" s="262">
        <f>SUM(B24:F24)</f>
        <v>2656.6425600000002</v>
      </c>
      <c r="H24" s="245">
        <f t="shared" si="3"/>
        <v>4427.7376000000004</v>
      </c>
      <c r="I24" s="295">
        <f>VLOOKUP($A24,[2]ORCH!$C:$Q,15,FALSE)</f>
        <v>4703.3748567264001</v>
      </c>
      <c r="J24" s="264">
        <f>H24-I24</f>
        <v>-275.63725672639976</v>
      </c>
      <c r="K24" s="265">
        <f t="shared" si="0"/>
        <v>-5.8604143859000486E-2</v>
      </c>
      <c r="L24" s="280">
        <v>9505.5225186943971</v>
      </c>
      <c r="M24" s="266">
        <f t="shared" si="4"/>
        <v>13933.260118694398</v>
      </c>
      <c r="N24" s="293">
        <v>14362.633905758768</v>
      </c>
      <c r="O24" s="264">
        <f t="shared" si="1"/>
        <v>-429.37378706437084</v>
      </c>
      <c r="P24" s="265">
        <f t="shared" si="2"/>
        <v>-2.9895198184520411E-2</v>
      </c>
      <c r="Q24" s="274"/>
      <c r="R24" s="235"/>
      <c r="S24" s="169"/>
      <c r="T24" s="274"/>
    </row>
    <row r="25" spans="1:20" s="3" customFormat="1" x14ac:dyDescent="0.2">
      <c r="A25" s="267" t="s">
        <v>46</v>
      </c>
      <c r="B25" s="261">
        <f>VLOOKUP($A25,'Orch iTunes data'!$A$199:$Z$310,2,FALSE)</f>
        <v>2571.2815439999999</v>
      </c>
      <c r="C25" s="261">
        <f>VLOOKUP($A25,'Orch iTunes data'!$A$199:$Z$310,8,FALSE)</f>
        <v>2676.8027520000001</v>
      </c>
      <c r="D25" s="261">
        <f>VLOOKUP($A25,'Orch iTunes data'!$A$199:$Z$310,14,FALSE)</f>
        <v>2614.8766799999999</v>
      </c>
      <c r="E25" s="261">
        <f>VLOOKUP($A25,'Orch iTunes data'!$A$199:$Z$310,20,FALSE)</f>
        <v>0</v>
      </c>
      <c r="F25" s="261">
        <f>VLOOKUP($A25,'Orch iTunes data'!$A$199:$Z$310,26,FALSE)</f>
        <v>0</v>
      </c>
      <c r="G25" s="262">
        <f>SUM(B25:F25)</f>
        <v>7862.9609760000003</v>
      </c>
      <c r="H25" s="245">
        <f t="shared" si="3"/>
        <v>13104.934960000001</v>
      </c>
      <c r="I25" s="295">
        <f>VLOOKUP($A25,[2]ORCH!$C:$Q,15,FALSE)</f>
        <v>14269.841072573146</v>
      </c>
      <c r="J25" s="264">
        <f>H25-I25</f>
        <v>-1164.9061125731459</v>
      </c>
      <c r="K25" s="265">
        <f t="shared" si="0"/>
        <v>-8.1634133600276271E-2</v>
      </c>
      <c r="L25" s="280">
        <v>29612.299630701524</v>
      </c>
      <c r="M25" s="266">
        <f t="shared" si="4"/>
        <v>42717.234590701526</v>
      </c>
      <c r="N25" s="293">
        <v>43575.625898841776</v>
      </c>
      <c r="O25" s="264">
        <f t="shared" si="1"/>
        <v>-858.39130814024975</v>
      </c>
      <c r="P25" s="265">
        <f t="shared" si="2"/>
        <v>-1.9698886486058838E-2</v>
      </c>
      <c r="Q25" s="274"/>
      <c r="R25" s="235"/>
      <c r="S25" s="169"/>
      <c r="T25" s="274"/>
    </row>
    <row r="26" spans="1:20" s="3" customFormat="1" x14ac:dyDescent="0.2">
      <c r="A26" s="267" t="s">
        <v>49</v>
      </c>
      <c r="B26" s="261">
        <f>VLOOKUP($A26,'Orch iTunes data'!$A$199:$Z$310,2,FALSE)</f>
        <v>2237.3975519999999</v>
      </c>
      <c r="C26" s="261">
        <f>VLOOKUP($A26,'Orch iTunes data'!$A$199:$Z$310,8,FALSE)</f>
        <v>1995.3473280000001</v>
      </c>
      <c r="D26" s="261">
        <f>VLOOKUP($A26,'Orch iTunes data'!$A$199:$Z$310,14,FALSE)</f>
        <v>2163.2295359999998</v>
      </c>
      <c r="E26" s="261">
        <f>VLOOKUP($A26,'Orch iTunes data'!$A$199:$Z$310,20,FALSE)</f>
        <v>0</v>
      </c>
      <c r="F26" s="261">
        <f>VLOOKUP($A26,'Orch iTunes data'!$A$199:$Z$310,26,FALSE)</f>
        <v>0</v>
      </c>
      <c r="G26" s="262">
        <f>SUM(B26:F26)</f>
        <v>6395.974416</v>
      </c>
      <c r="H26" s="245">
        <f t="shared" si="3"/>
        <v>10659.95736</v>
      </c>
      <c r="I26" s="295">
        <f>VLOOKUP($A26,[2]ORCH!$C:$Q,15,FALSE)</f>
        <v>11089.786157743418</v>
      </c>
      <c r="J26" s="264">
        <f>H26-I26</f>
        <v>-429.82879774341745</v>
      </c>
      <c r="K26" s="265">
        <f t="shared" si="0"/>
        <v>-3.8758979806232829E-2</v>
      </c>
      <c r="L26" s="280">
        <v>22825.921795845032</v>
      </c>
      <c r="M26" s="266">
        <f t="shared" si="4"/>
        <v>33485.879155845032</v>
      </c>
      <c r="N26" s="293">
        <v>33864.734053470587</v>
      </c>
      <c r="O26" s="264">
        <f t="shared" si="1"/>
        <v>-378.85489762555517</v>
      </c>
      <c r="P26" s="265">
        <f t="shared" si="2"/>
        <v>-1.1187298770082284E-2</v>
      </c>
      <c r="Q26" s="274"/>
      <c r="R26" s="235"/>
      <c r="S26" s="169"/>
      <c r="T26" s="274"/>
    </row>
    <row r="27" spans="1:20" s="155" customFormat="1" x14ac:dyDescent="0.2">
      <c r="A27" s="238" t="s">
        <v>12</v>
      </c>
      <c r="B27" s="242">
        <f>'Orch iTunes data'!B185</f>
        <v>7367.7570720000003</v>
      </c>
      <c r="C27" s="243">
        <f>'Orch iTunes data'!H185</f>
        <v>6269.4871199999998</v>
      </c>
      <c r="D27" s="243">
        <f>'Orch iTunes data'!N185</f>
        <v>5806.3015919999998</v>
      </c>
      <c r="E27" s="243">
        <f>'Orch iTunes data'!T185</f>
        <v>0</v>
      </c>
      <c r="F27" s="243">
        <f>'Orch iTunes data'!Z185</f>
        <v>0</v>
      </c>
      <c r="G27" s="243">
        <f t="shared" si="6"/>
        <v>19443.545784000002</v>
      </c>
      <c r="H27" s="245">
        <f t="shared" si="3"/>
        <v>32405.909640000005</v>
      </c>
      <c r="I27" s="341">
        <f>SUM(I28:I29)</f>
        <v>28182.678821626239</v>
      </c>
      <c r="J27" s="246">
        <f t="shared" si="7"/>
        <v>4223.2308183737659</v>
      </c>
      <c r="K27" s="247">
        <f t="shared" si="0"/>
        <v>0.14985200112109395</v>
      </c>
      <c r="L27" s="279">
        <v>67482.955228447914</v>
      </c>
      <c r="M27" s="272">
        <f t="shared" si="4"/>
        <v>99888.864868447912</v>
      </c>
      <c r="N27" s="292">
        <v>86061.075446648145</v>
      </c>
      <c r="O27" s="246">
        <f t="shared" si="1"/>
        <v>13827.789421799767</v>
      </c>
      <c r="P27" s="247">
        <f t="shared" si="2"/>
        <v>0.16067414159113119</v>
      </c>
      <c r="Q27" s="274"/>
      <c r="R27" s="273">
        <v>6.671563283568856E-3</v>
      </c>
      <c r="S27" s="232">
        <f>R27*$R$129</f>
        <v>32444.427127814248</v>
      </c>
      <c r="T27" s="274"/>
    </row>
    <row r="28" spans="1:20" s="3" customFormat="1" x14ac:dyDescent="0.2">
      <c r="A28" s="267" t="s">
        <v>42</v>
      </c>
      <c r="B28" s="261">
        <f>VLOOKUP($A28,'Orch iTunes data'!$A$199:$Z$310,2,FALSE)</f>
        <v>6205.3352400000003</v>
      </c>
      <c r="C28" s="261">
        <f>VLOOKUP($A28,'Orch iTunes data'!$A$199:$Z$310,8,FALSE)</f>
        <v>5007.0830159999996</v>
      </c>
      <c r="D28" s="261">
        <f>VLOOKUP($A28,'Orch iTunes data'!$A$199:$Z$310,14,FALSE)</f>
        <v>4683.2919119999997</v>
      </c>
      <c r="E28" s="261">
        <f>VLOOKUP($A28,'Orch iTunes data'!$A$199:$Z$310,20,FALSE)</f>
        <v>0</v>
      </c>
      <c r="F28" s="261">
        <f>VLOOKUP($A28,'Orch iTunes data'!$A$199:$Z$310,26,FALSE)</f>
        <v>0</v>
      </c>
      <c r="G28" s="262">
        <f>SUM(B28:F28)</f>
        <v>15895.710168000001</v>
      </c>
      <c r="H28" s="245">
        <f t="shared" si="3"/>
        <v>26492.850280000002</v>
      </c>
      <c r="I28" s="295">
        <f>VLOOKUP($A28,[2]ORCH!$C:$Q,15,FALSE)</f>
        <v>22106.966532783266</v>
      </c>
      <c r="J28" s="264">
        <f>H28-I28</f>
        <v>4385.8837472167361</v>
      </c>
      <c r="K28" s="265">
        <f t="shared" si="0"/>
        <v>0.1983937389470754</v>
      </c>
      <c r="L28" s="280">
        <v>51763.047839224339</v>
      </c>
      <c r="M28" s="266">
        <f t="shared" si="4"/>
        <v>78255.898119224337</v>
      </c>
      <c r="N28" s="293">
        <v>67507.752783757634</v>
      </c>
      <c r="O28" s="264">
        <f t="shared" si="1"/>
        <v>10748.145335466703</v>
      </c>
      <c r="P28" s="265">
        <f t="shared" si="2"/>
        <v>0.15921349611348204</v>
      </c>
      <c r="Q28" s="274"/>
      <c r="R28" s="235"/>
      <c r="S28" s="169"/>
      <c r="T28" s="274"/>
    </row>
    <row r="29" spans="1:20" s="3" customFormat="1" x14ac:dyDescent="0.2">
      <c r="A29" s="267" t="s">
        <v>41</v>
      </c>
      <c r="B29" s="261">
        <f>VLOOKUP($A29,'Orch iTunes data'!$A$199:$Z$310,2,FALSE)</f>
        <v>1162.421832</v>
      </c>
      <c r="C29" s="261">
        <f>VLOOKUP($A29,'Orch iTunes data'!$A$199:$Z$310,8,FALSE)</f>
        <v>1262.404104</v>
      </c>
      <c r="D29" s="261">
        <f>VLOOKUP($A29,'Orch iTunes data'!$A$199:$Z$310,14,FALSE)</f>
        <v>1123.0096799999999</v>
      </c>
      <c r="E29" s="261">
        <f>VLOOKUP($A29,'Orch iTunes data'!$A$199:$Z$310,20,FALSE)</f>
        <v>0</v>
      </c>
      <c r="F29" s="261">
        <f>VLOOKUP($A29,'Orch iTunes data'!$A$199:$Z$310,26,FALSE)</f>
        <v>0</v>
      </c>
      <c r="G29" s="262">
        <f>SUM(B29:F29)</f>
        <v>3547.8356160000003</v>
      </c>
      <c r="H29" s="245">
        <f t="shared" si="3"/>
        <v>5913.0593600000011</v>
      </c>
      <c r="I29" s="295">
        <f>VLOOKUP($A29,[2]ORCH!$C:$Q,15,FALSE)</f>
        <v>6075.712288842974</v>
      </c>
      <c r="J29" s="264">
        <f>H29-I29</f>
        <v>-162.65292884297287</v>
      </c>
      <c r="K29" s="265">
        <f t="shared" si="0"/>
        <v>-2.6771005786705483E-2</v>
      </c>
      <c r="L29" s="280">
        <v>15719.907389223572</v>
      </c>
      <c r="M29" s="266">
        <f t="shared" si="4"/>
        <v>21632.966749223575</v>
      </c>
      <c r="N29" s="293">
        <v>18553.322662890507</v>
      </c>
      <c r="O29" s="264">
        <f t="shared" si="1"/>
        <v>3079.6440863330681</v>
      </c>
      <c r="P29" s="265">
        <f t="shared" si="2"/>
        <v>0.16598881732881351</v>
      </c>
      <c r="Q29" s="274"/>
      <c r="R29" s="235"/>
      <c r="S29" s="169"/>
      <c r="T29" s="274"/>
    </row>
    <row r="30" spans="1:20" s="155" customFormat="1" x14ac:dyDescent="0.2">
      <c r="A30" s="238" t="s">
        <v>13</v>
      </c>
      <c r="B30" s="242">
        <f>'Orch iTunes data'!B190</f>
        <v>20179.061369999999</v>
      </c>
      <c r="C30" s="243">
        <f>'Orch iTunes data'!H190</f>
        <v>19649.380724999999</v>
      </c>
      <c r="D30" s="243">
        <f>'Orch iTunes data'!N190</f>
        <v>19244.281094999998</v>
      </c>
      <c r="E30" s="243">
        <f>'Orch iTunes data'!T190</f>
        <v>0</v>
      </c>
      <c r="F30" s="243">
        <f>'Orch iTunes data'!Z190</f>
        <v>0</v>
      </c>
      <c r="G30" s="243">
        <f t="shared" si="6"/>
        <v>59072.723189999997</v>
      </c>
      <c r="H30" s="245">
        <f t="shared" si="3"/>
        <v>98454.538650000002</v>
      </c>
      <c r="I30" s="469">
        <f>VLOOKUP($A30,[2]ORCH!$C:$Q,15,FALSE)</f>
        <v>87831.854779267203</v>
      </c>
      <c r="J30" s="246">
        <f t="shared" si="7"/>
        <v>10622.683870732799</v>
      </c>
      <c r="K30" s="247">
        <f t="shared" si="0"/>
        <v>0.12094340825921274</v>
      </c>
      <c r="L30" s="279">
        <v>156380.6079056263</v>
      </c>
      <c r="M30" s="272">
        <f t="shared" si="4"/>
        <v>254835.1465556263</v>
      </c>
      <c r="N30" s="292">
        <v>268210.97911307006</v>
      </c>
      <c r="O30" s="246">
        <f t="shared" si="1"/>
        <v>-13375.832557443762</v>
      </c>
      <c r="P30" s="247">
        <f t="shared" si="2"/>
        <v>-4.9870563098033713E-2</v>
      </c>
      <c r="Q30" s="274"/>
      <c r="R30" s="273">
        <v>2.0792053913038847E-2</v>
      </c>
      <c r="S30" s="232">
        <f>R30*$R$129</f>
        <v>101113.67446376283</v>
      </c>
      <c r="T30" s="274"/>
    </row>
    <row r="31" spans="1:20" s="155" customFormat="1" x14ac:dyDescent="0.2">
      <c r="A31" s="238" t="s">
        <v>14</v>
      </c>
      <c r="B31" s="242">
        <f>'Orch iTunes data'!B189</f>
        <v>51185.052492000003</v>
      </c>
      <c r="C31" s="243">
        <f>'Orch iTunes data'!H189</f>
        <v>52409.482123999995</v>
      </c>
      <c r="D31" s="243">
        <f>'Orch iTunes data'!N189</f>
        <v>52135.891047999998</v>
      </c>
      <c r="E31" s="243">
        <f>'Orch iTunes data'!T189</f>
        <v>0</v>
      </c>
      <c r="F31" s="243">
        <f>'Orch iTunes data'!Z189</f>
        <v>0</v>
      </c>
      <c r="G31" s="243">
        <f t="shared" si="6"/>
        <v>155730.42566399998</v>
      </c>
      <c r="H31" s="245">
        <f t="shared" si="3"/>
        <v>259550.70943999995</v>
      </c>
      <c r="I31" s="469">
        <f>SUM(I32:I33)</f>
        <v>269135.80590990174</v>
      </c>
      <c r="J31" s="246">
        <f t="shared" si="7"/>
        <v>-9585.0964699017932</v>
      </c>
      <c r="K31" s="247">
        <f t="shared" si="0"/>
        <v>-3.5614348813589609E-2</v>
      </c>
      <c r="L31" s="279">
        <v>490864.00663304323</v>
      </c>
      <c r="M31" s="272">
        <f t="shared" si="4"/>
        <v>750414.71607304318</v>
      </c>
      <c r="N31" s="292">
        <v>821856.46880497527</v>
      </c>
      <c r="O31" s="246">
        <f t="shared" si="1"/>
        <v>-71441.752731932094</v>
      </c>
      <c r="P31" s="247">
        <f t="shared" si="2"/>
        <v>-8.6927286507597068E-2</v>
      </c>
      <c r="Q31" s="274"/>
      <c r="R31" s="273">
        <v>6.3711351655626761E-2</v>
      </c>
      <c r="S31" s="232">
        <f>R31*$R$129</f>
        <v>309834.1750120935</v>
      </c>
      <c r="T31" s="274"/>
    </row>
    <row r="32" spans="1:20" s="3" customFormat="1" x14ac:dyDescent="0.2">
      <c r="A32" s="260" t="s">
        <v>33</v>
      </c>
      <c r="B32" s="261">
        <f>VLOOKUP($A32,'Orch iTunes data'!$A$199:$Z$310,2,FALSE)</f>
        <v>46262.921448000001</v>
      </c>
      <c r="C32" s="261">
        <f>VLOOKUP($A32,'Orch iTunes data'!$A$199:$Z$310,8,FALSE)</f>
        <v>47930.451567999997</v>
      </c>
      <c r="D32" s="261">
        <f>VLOOKUP($A32,'Orch iTunes data'!$A$199:$Z$310,14,FALSE)</f>
        <v>47374.779704</v>
      </c>
      <c r="E32" s="261">
        <f>VLOOKUP($A32,'Orch iTunes data'!$A$199:$Z$310,20,FALSE)</f>
        <v>0</v>
      </c>
      <c r="F32" s="261">
        <f>VLOOKUP($A32,'Orch iTunes data'!$A$199:$Z$310,26,FALSE)</f>
        <v>0</v>
      </c>
      <c r="G32" s="262">
        <f>SUM(B32:F32)</f>
        <v>141568.15272000001</v>
      </c>
      <c r="H32" s="245">
        <f t="shared" si="3"/>
        <v>235946.92120000004</v>
      </c>
      <c r="I32" s="295">
        <f>VLOOKUP($A32,[2]ORCH!$C:$Q,15,FALSE)</f>
        <v>246207.71515393781</v>
      </c>
      <c r="J32" s="264">
        <f>H32-I32</f>
        <v>-10260.793953937769</v>
      </c>
      <c r="K32" s="265">
        <f t="shared" si="0"/>
        <v>-4.1675355085937726E-2</v>
      </c>
      <c r="L32" s="280">
        <v>448976.80550193781</v>
      </c>
      <c r="M32" s="266">
        <f t="shared" si="4"/>
        <v>684923.72670193785</v>
      </c>
      <c r="N32" s="293">
        <v>751841.25978650386</v>
      </c>
      <c r="O32" s="264">
        <f t="shared" si="1"/>
        <v>-66917.533084566006</v>
      </c>
      <c r="P32" s="265">
        <f t="shared" si="2"/>
        <v>-8.9004869330486333E-2</v>
      </c>
      <c r="Q32" s="274"/>
      <c r="R32" s="235"/>
      <c r="S32" s="169"/>
      <c r="T32" s="274"/>
    </row>
    <row r="33" spans="1:20" s="3" customFormat="1" x14ac:dyDescent="0.2">
      <c r="A33" s="260" t="s">
        <v>45</v>
      </c>
      <c r="B33" s="261">
        <f>VLOOKUP($A33,'Orch iTunes data'!$A$199:$Z$310,2,FALSE)</f>
        <v>4922.1310439999997</v>
      </c>
      <c r="C33" s="261">
        <f>VLOOKUP($A33,'Orch iTunes data'!$A$199:$Z$310,8,FALSE)</f>
        <v>4479.0305559999997</v>
      </c>
      <c r="D33" s="261">
        <f>VLOOKUP($A33,'Orch iTunes data'!$A$199:$Z$310,14,FALSE)</f>
        <v>4761.1113439999999</v>
      </c>
      <c r="E33" s="261">
        <f>VLOOKUP($A33,'Orch iTunes data'!$A$199:$Z$310,20,FALSE)</f>
        <v>0</v>
      </c>
      <c r="F33" s="261">
        <f>VLOOKUP($A33,'Orch iTunes data'!$A$199:$Z$310,26,FALSE)</f>
        <v>0</v>
      </c>
      <c r="G33" s="262">
        <f>SUM(B33:F33)</f>
        <v>14162.272944</v>
      </c>
      <c r="H33" s="245">
        <f t="shared" si="3"/>
        <v>23603.788239999998</v>
      </c>
      <c r="I33" s="295">
        <f>VLOOKUP($A33,[2]ORCH!$C:$Q,15,FALSE)</f>
        <v>22928.09075596392</v>
      </c>
      <c r="J33" s="264">
        <f>H33-I33</f>
        <v>675.69748403607809</v>
      </c>
      <c r="K33" s="265">
        <f t="shared" si="0"/>
        <v>2.9470290013586049E-2</v>
      </c>
      <c r="L33" s="280">
        <v>41887.201131105438</v>
      </c>
      <c r="M33" s="266">
        <f t="shared" si="4"/>
        <v>65490.989371105432</v>
      </c>
      <c r="N33" s="293">
        <v>70015.209018471331</v>
      </c>
      <c r="O33" s="264">
        <f t="shared" si="1"/>
        <v>-4524.2196473658987</v>
      </c>
      <c r="P33" s="265">
        <f t="shared" si="2"/>
        <v>-6.461766965763574E-2</v>
      </c>
      <c r="Q33" s="274"/>
      <c r="R33" s="235"/>
      <c r="S33" s="169"/>
      <c r="T33" s="274"/>
    </row>
    <row r="34" spans="1:20" s="155" customFormat="1" x14ac:dyDescent="0.2">
      <c r="A34" s="239" t="s">
        <v>182</v>
      </c>
      <c r="B34" s="248">
        <f>'Orch iTunes data'!B132</f>
        <v>26825.461987999999</v>
      </c>
      <c r="C34" s="248">
        <f>'Orch iTunes data'!H132</f>
        <v>25997.972393</v>
      </c>
      <c r="D34" s="248">
        <f>'Orch iTunes data'!N132</f>
        <v>24720.778880999998</v>
      </c>
      <c r="E34" s="248">
        <f>'Orch iTunes data'!T132</f>
        <v>0</v>
      </c>
      <c r="F34" s="248">
        <f>'Orch iTunes data'!Z132</f>
        <v>0</v>
      </c>
      <c r="G34" s="243">
        <f t="shared" si="6"/>
        <v>77544.213262000005</v>
      </c>
      <c r="H34" s="245">
        <f t="shared" si="3"/>
        <v>129240.35543666666</v>
      </c>
      <c r="I34" s="469">
        <f>VLOOKUP($A34,[2]ORCH!$C:$Q,15,FALSE)</f>
        <v>99590.989166848885</v>
      </c>
      <c r="J34" s="246">
        <f t="shared" ref="J34:J35" si="8">H34-I34</f>
        <v>29649.36626981778</v>
      </c>
      <c r="K34" s="247">
        <f t="shared" ref="K34:K35" si="9">J34/I34</f>
        <v>0.29771133430701219</v>
      </c>
      <c r="L34" s="279">
        <v>250611.70750659716</v>
      </c>
      <c r="M34" s="272">
        <f t="shared" si="4"/>
        <v>379852.06294326379</v>
      </c>
      <c r="N34" s="292">
        <v>304119.69304768619</v>
      </c>
      <c r="O34" s="246">
        <f t="shared" si="1"/>
        <v>75732.369895577605</v>
      </c>
      <c r="P34" s="247">
        <f t="shared" si="2"/>
        <v>0.24902159125782991</v>
      </c>
      <c r="Q34" s="274"/>
      <c r="R34" s="273"/>
      <c r="S34" s="232"/>
      <c r="T34" s="274"/>
    </row>
    <row r="35" spans="1:20" s="155" customFormat="1" x14ac:dyDescent="0.2">
      <c r="A35" s="239" t="s">
        <v>192</v>
      </c>
      <c r="B35" s="248">
        <f>'Orch iTunes data'!B133</f>
        <v>7945.2070569999996</v>
      </c>
      <c r="C35" s="248">
        <f>'Orch iTunes data'!H133</f>
        <v>8587.7112969999998</v>
      </c>
      <c r="D35" s="248">
        <f>'Orch iTunes data'!N133</f>
        <v>9069.4734239999998</v>
      </c>
      <c r="E35" s="248">
        <f>'Orch iTunes data'!T133</f>
        <v>0</v>
      </c>
      <c r="F35" s="248">
        <f>'Orch iTunes data'!Z133</f>
        <v>0</v>
      </c>
      <c r="G35" s="243">
        <f t="shared" si="6"/>
        <v>25602.391778000001</v>
      </c>
      <c r="H35" s="245">
        <f t="shared" si="3"/>
        <v>42670.652963333334</v>
      </c>
      <c r="I35" s="469">
        <f>VLOOKUP($A35,[2]ORCH!$C:$Q,15,FALSE)</f>
        <v>30602.243960684664</v>
      </c>
      <c r="J35" s="246">
        <f t="shared" si="8"/>
        <v>12068.40900264867</v>
      </c>
      <c r="K35" s="247">
        <f t="shared" si="9"/>
        <v>0.39436353158131821</v>
      </c>
      <c r="L35" s="279">
        <v>79048.342426404342</v>
      </c>
      <c r="M35" s="272">
        <f t="shared" si="4"/>
        <v>121718.99538973768</v>
      </c>
      <c r="N35" s="292">
        <v>93449.669671438402</v>
      </c>
      <c r="O35" s="246">
        <f t="shared" si="1"/>
        <v>28269.325718299282</v>
      </c>
      <c r="P35" s="247">
        <f t="shared" si="2"/>
        <v>0.30250856763530554</v>
      </c>
      <c r="Q35" s="274"/>
      <c r="R35" s="273"/>
      <c r="S35" s="232"/>
      <c r="T35" s="274"/>
    </row>
    <row r="36" spans="1:20" s="155" customFormat="1" x14ac:dyDescent="0.2">
      <c r="A36" s="239" t="s">
        <v>88</v>
      </c>
      <c r="B36" s="248">
        <f>'Orch iTunes data'!B186</f>
        <v>4297.8433680000007</v>
      </c>
      <c r="C36" s="249">
        <f>'Orch iTunes data'!H186</f>
        <v>4174.2982320000001</v>
      </c>
      <c r="D36" s="249">
        <f>'Orch iTunes data'!N186</f>
        <v>3859.3975679999999</v>
      </c>
      <c r="E36" s="249">
        <f>'Orch iTunes data'!T186</f>
        <v>0</v>
      </c>
      <c r="F36" s="249">
        <f>'Orch iTunes data'!Z186</f>
        <v>0</v>
      </c>
      <c r="G36" s="243">
        <f t="shared" si="6"/>
        <v>12331.539168000001</v>
      </c>
      <c r="H36" s="245">
        <f t="shared" si="3"/>
        <v>20552.565280000003</v>
      </c>
      <c r="I36" s="341">
        <f>SUM(I37:I48)</f>
        <v>17853.80904718901</v>
      </c>
      <c r="J36" s="246">
        <f t="shared" si="7"/>
        <v>2698.7562328109925</v>
      </c>
      <c r="K36" s="247">
        <f t="shared" si="0"/>
        <v>0.15115856933822744</v>
      </c>
      <c r="L36" s="279">
        <v>36995.703056812294</v>
      </c>
      <c r="M36" s="272">
        <f t="shared" si="4"/>
        <v>57548.268336812296</v>
      </c>
      <c r="N36" s="292">
        <v>54519.941739573784</v>
      </c>
      <c r="O36" s="246">
        <f t="shared" ref="O36:O67" si="10">M36-N36</f>
        <v>3028.3265972385125</v>
      </c>
      <c r="P36" s="247">
        <f t="shared" si="2"/>
        <v>5.5545301418405128E-2</v>
      </c>
      <c r="Q36" s="274"/>
      <c r="R36" s="273">
        <v>4.2264547548855908E-3</v>
      </c>
      <c r="S36" s="232">
        <f>R36*$R$129</f>
        <v>20553.639001163247</v>
      </c>
      <c r="T36" s="274"/>
    </row>
    <row r="37" spans="1:20" s="3" customFormat="1" x14ac:dyDescent="0.2">
      <c r="A37" s="260" t="s">
        <v>62</v>
      </c>
      <c r="B37" s="261">
        <f>VLOOKUP($A37,'Orch iTunes data'!$A$199:$Z$310,2,FALSE)</f>
        <v>150.024576</v>
      </c>
      <c r="C37" s="261">
        <f>VLOOKUP($A37,'Orch iTunes data'!$A$199:$Z$310,8,FALSE)</f>
        <v>138.012888</v>
      </c>
      <c r="D37" s="261">
        <f>VLOOKUP($A37,'Orch iTunes data'!$A$199:$Z$310,14,FALSE)</f>
        <v>156.76596000000001</v>
      </c>
      <c r="E37" s="261">
        <f>VLOOKUP($A37,'Orch iTunes data'!$A$199:$Z$310,20,FALSE)</f>
        <v>0</v>
      </c>
      <c r="F37" s="261">
        <f>VLOOKUP($A37,'Orch iTunes data'!$A$199:$Z$310,26,FALSE)</f>
        <v>0</v>
      </c>
      <c r="G37" s="262">
        <f t="shared" ref="G37:G48" si="11">SUM(B37:F37)</f>
        <v>444.80342400000001</v>
      </c>
      <c r="H37" s="245">
        <f t="shared" si="3"/>
        <v>741.33904000000007</v>
      </c>
      <c r="I37" s="295">
        <f>VLOOKUP($A37,[2]ORCH!$C:$Q,15,FALSE)</f>
        <v>442.16324102429661</v>
      </c>
      <c r="J37" s="264">
        <f t="shared" ref="J37:J48" si="12">H37-I37</f>
        <v>299.17579897570346</v>
      </c>
      <c r="K37" s="265">
        <f t="shared" si="0"/>
        <v>0.6766184323297556</v>
      </c>
      <c r="L37" s="280">
        <v>927.98335105180729</v>
      </c>
      <c r="M37" s="266">
        <f t="shared" si="4"/>
        <v>1669.3223910518072</v>
      </c>
      <c r="N37" s="293">
        <v>1350.2280704531925</v>
      </c>
      <c r="O37" s="264">
        <f t="shared" si="10"/>
        <v>319.09432059861479</v>
      </c>
      <c r="P37" s="265">
        <f t="shared" si="2"/>
        <v>0.23632623819730952</v>
      </c>
      <c r="Q37" s="274"/>
      <c r="R37" s="235"/>
      <c r="S37" s="169"/>
      <c r="T37" s="274"/>
    </row>
    <row r="38" spans="1:20" s="3" customFormat="1" x14ac:dyDescent="0.2">
      <c r="A38" s="260" t="s">
        <v>61</v>
      </c>
      <c r="B38" s="261">
        <f>VLOOKUP($A38,'Orch iTunes data'!$A$199:$Z$310,2,FALSE)</f>
        <v>170.12080800000001</v>
      </c>
      <c r="C38" s="261">
        <f>VLOOKUP($A38,'Orch iTunes data'!$A$199:$Z$310,8,FALSE)</f>
        <v>159.989544</v>
      </c>
      <c r="D38" s="261">
        <f>VLOOKUP($A38,'Orch iTunes data'!$A$199:$Z$310,14,FALSE)</f>
        <v>109.256472</v>
      </c>
      <c r="E38" s="261">
        <f>VLOOKUP($A38,'Orch iTunes data'!$A$199:$Z$310,20,FALSE)</f>
        <v>0</v>
      </c>
      <c r="F38" s="261">
        <f>VLOOKUP($A38,'Orch iTunes data'!$A$199:$Z$310,26,FALSE)</f>
        <v>0</v>
      </c>
      <c r="G38" s="262">
        <f t="shared" si="11"/>
        <v>439.36682400000007</v>
      </c>
      <c r="H38" s="245">
        <f t="shared" si="3"/>
        <v>732.27804000000003</v>
      </c>
      <c r="I38" s="295">
        <f>VLOOKUP($A38,[2]ORCH!$C:$Q,15,FALSE)</f>
        <v>600.73449980180885</v>
      </c>
      <c r="J38" s="264">
        <f t="shared" si="12"/>
        <v>131.54354019819118</v>
      </c>
      <c r="K38" s="265">
        <f t="shared" si="0"/>
        <v>0.21897117652072476</v>
      </c>
      <c r="L38" s="280">
        <v>1346.5853532552737</v>
      </c>
      <c r="M38" s="266">
        <f t="shared" si="4"/>
        <v>2078.8633932552739</v>
      </c>
      <c r="N38" s="293">
        <v>1834.4550366580315</v>
      </c>
      <c r="O38" s="264">
        <f t="shared" si="10"/>
        <v>244.40835659724235</v>
      </c>
      <c r="P38" s="265">
        <f t="shared" si="2"/>
        <v>0.13323213254793093</v>
      </c>
      <c r="Q38" s="274"/>
      <c r="R38" s="235"/>
      <c r="S38" s="169"/>
      <c r="T38" s="274"/>
    </row>
    <row r="39" spans="1:20" s="3" customFormat="1" x14ac:dyDescent="0.2">
      <c r="A39" s="260" t="s">
        <v>60</v>
      </c>
      <c r="B39" s="261">
        <f>VLOOKUP($A39,'Orch iTunes data'!$A$199:$Z$310,2,FALSE)</f>
        <v>791.59454400000004</v>
      </c>
      <c r="C39" s="261">
        <f>VLOOKUP($A39,'Orch iTunes data'!$A$199:$Z$310,8,FALSE)</f>
        <v>787.48831199999995</v>
      </c>
      <c r="D39" s="261">
        <f>VLOOKUP($A39,'Orch iTunes data'!$A$199:$Z$310,14,FALSE)</f>
        <v>705.453216</v>
      </c>
      <c r="E39" s="261">
        <f>VLOOKUP($A39,'Orch iTunes data'!$A$199:$Z$310,20,FALSE)</f>
        <v>0</v>
      </c>
      <c r="F39" s="261">
        <f>VLOOKUP($A39,'Orch iTunes data'!$A$199:$Z$310,26,FALSE)</f>
        <v>0</v>
      </c>
      <c r="G39" s="262">
        <f t="shared" si="11"/>
        <v>2284.5360719999999</v>
      </c>
      <c r="H39" s="245">
        <f t="shared" si="3"/>
        <v>3807.5601200000001</v>
      </c>
      <c r="I39" s="295">
        <f>VLOOKUP($A39,[2]ORCH!$C:$Q,15,FALSE)</f>
        <v>2896.1794260162883</v>
      </c>
      <c r="J39" s="264">
        <f t="shared" si="12"/>
        <v>911.38069398371181</v>
      </c>
      <c r="K39" s="265">
        <f t="shared" si="0"/>
        <v>0.31468378160441574</v>
      </c>
      <c r="L39" s="280">
        <v>6239.9419488310814</v>
      </c>
      <c r="M39" s="266">
        <f t="shared" si="4"/>
        <v>10047.502068831081</v>
      </c>
      <c r="N39" s="293">
        <v>8844.0250008510484</v>
      </c>
      <c r="O39" s="264">
        <f t="shared" si="10"/>
        <v>1203.4770679800331</v>
      </c>
      <c r="P39" s="265">
        <f t="shared" si="2"/>
        <v>0.13607798122056688</v>
      </c>
      <c r="Q39" s="274"/>
      <c r="R39" s="235"/>
      <c r="S39" s="169"/>
      <c r="T39" s="274"/>
    </row>
    <row r="40" spans="1:20" s="3" customFormat="1" x14ac:dyDescent="0.2">
      <c r="A40" s="260" t="s">
        <v>59</v>
      </c>
      <c r="B40" s="261">
        <f>VLOOKUP($A40,'Orch iTunes data'!$A$199:$Z$310,2,FALSE)</f>
        <v>201.80659199999999</v>
      </c>
      <c r="C40" s="261">
        <f>VLOOKUP($A40,'Orch iTunes data'!$A$199:$Z$310,8,FALSE)</f>
        <v>108.23311200000001</v>
      </c>
      <c r="D40" s="261">
        <f>VLOOKUP($A40,'Orch iTunes data'!$A$199:$Z$310,14,FALSE)</f>
        <v>127.13968800000001</v>
      </c>
      <c r="E40" s="261">
        <f>VLOOKUP($A40,'Orch iTunes data'!$A$199:$Z$310,20,FALSE)</f>
        <v>0</v>
      </c>
      <c r="F40" s="261">
        <f>VLOOKUP($A40,'Orch iTunes data'!$A$199:$Z$310,26,FALSE)</f>
        <v>0</v>
      </c>
      <c r="G40" s="262">
        <f t="shared" si="11"/>
        <v>437.17939200000001</v>
      </c>
      <c r="H40" s="245">
        <f t="shared" si="3"/>
        <v>728.63231999999994</v>
      </c>
      <c r="I40" s="295">
        <f>VLOOKUP($A40,[2]ORCH!$C:$Q,15,FALSE)</f>
        <v>571.00422253087606</v>
      </c>
      <c r="J40" s="264">
        <f t="shared" si="12"/>
        <v>157.62809746912387</v>
      </c>
      <c r="K40" s="265">
        <f t="shared" si="0"/>
        <v>0.27605417131674609</v>
      </c>
      <c r="L40" s="280">
        <v>1310.8376622796059</v>
      </c>
      <c r="M40" s="266">
        <f t="shared" si="4"/>
        <v>2039.4699822796058</v>
      </c>
      <c r="N40" s="293">
        <v>1743.6680801924122</v>
      </c>
      <c r="O40" s="264">
        <f t="shared" si="10"/>
        <v>295.80190208719364</v>
      </c>
      <c r="P40" s="265">
        <f t="shared" si="2"/>
        <v>0.1696434691025325</v>
      </c>
      <c r="Q40" s="274"/>
      <c r="R40" s="235"/>
      <c r="S40" s="169"/>
      <c r="T40" s="274"/>
    </row>
    <row r="41" spans="1:20" s="3" customFormat="1" x14ac:dyDescent="0.2">
      <c r="A41" s="260" t="s">
        <v>58</v>
      </c>
      <c r="B41" s="261">
        <f>VLOOKUP($A41,'Orch iTunes data'!$A$199:$Z$310,2,FALSE)</f>
        <v>402.05256000000003</v>
      </c>
      <c r="C41" s="261">
        <f>VLOOKUP($A41,'Orch iTunes data'!$A$199:$Z$310,8,FALSE)</f>
        <v>425.67938400000003</v>
      </c>
      <c r="D41" s="261">
        <f>VLOOKUP($A41,'Orch iTunes data'!$A$199:$Z$310,14,FALSE)</f>
        <v>405.12263999999999</v>
      </c>
      <c r="E41" s="261">
        <f>VLOOKUP($A41,'Orch iTunes data'!$A$199:$Z$310,20,FALSE)</f>
        <v>0</v>
      </c>
      <c r="F41" s="261">
        <f>VLOOKUP($A41,'Orch iTunes data'!$A$199:$Z$310,26,FALSE)</f>
        <v>0</v>
      </c>
      <c r="G41" s="262">
        <f t="shared" si="11"/>
        <v>1232.8545840000002</v>
      </c>
      <c r="H41" s="245">
        <f t="shared" si="3"/>
        <v>2054.7576400000003</v>
      </c>
      <c r="I41" s="295">
        <f>VLOOKUP($A41,[2]ORCH!$C:$Q,15,FALSE)</f>
        <v>1490.0227441539628</v>
      </c>
      <c r="J41" s="264">
        <f t="shared" si="12"/>
        <v>564.73489584603749</v>
      </c>
      <c r="K41" s="265">
        <f t="shared" si="0"/>
        <v>0.3790109231968099</v>
      </c>
      <c r="L41" s="280">
        <v>3233.2631244659433</v>
      </c>
      <c r="M41" s="266">
        <f t="shared" si="4"/>
        <v>5288.020764465944</v>
      </c>
      <c r="N41" s="293">
        <v>4550.0628458163146</v>
      </c>
      <c r="O41" s="264">
        <f t="shared" si="10"/>
        <v>737.95791864962939</v>
      </c>
      <c r="P41" s="265">
        <f t="shared" si="2"/>
        <v>0.16218631338865261</v>
      </c>
      <c r="Q41" s="274"/>
      <c r="R41" s="235"/>
      <c r="S41" s="169"/>
      <c r="T41" s="274"/>
    </row>
    <row r="42" spans="1:20" s="3" customFormat="1" x14ac:dyDescent="0.2">
      <c r="A42" s="260" t="s">
        <v>57</v>
      </c>
      <c r="B42" s="261">
        <f>VLOOKUP($A42,'Orch iTunes data'!$A$199:$Z$310,2,FALSE)</f>
        <v>283.16371199999998</v>
      </c>
      <c r="C42" s="261">
        <f>VLOOKUP($A42,'Orch iTunes data'!$A$199:$Z$310,8,FALSE)</f>
        <v>282.06360000000001</v>
      </c>
      <c r="D42" s="261">
        <f>VLOOKUP($A42,'Orch iTunes data'!$A$199:$Z$310,14,FALSE)</f>
        <v>272.52076799999998</v>
      </c>
      <c r="E42" s="261">
        <f>VLOOKUP($A42,'Orch iTunes data'!$A$199:$Z$310,20,FALSE)</f>
        <v>0</v>
      </c>
      <c r="F42" s="261">
        <f>VLOOKUP($A42,'Orch iTunes data'!$A$199:$Z$310,26,FALSE)</f>
        <v>0</v>
      </c>
      <c r="G42" s="262">
        <f t="shared" si="11"/>
        <v>837.74807999999996</v>
      </c>
      <c r="H42" s="245">
        <f t="shared" si="3"/>
        <v>1396.2467999999999</v>
      </c>
      <c r="I42" s="295">
        <f>VLOOKUP($A42,[2]ORCH!$C:$Q,15,FALSE)</f>
        <v>979.51213731239329</v>
      </c>
      <c r="J42" s="264">
        <f t="shared" si="12"/>
        <v>416.7346626876066</v>
      </c>
      <c r="K42" s="265">
        <f t="shared" si="0"/>
        <v>0.42545124946695628</v>
      </c>
      <c r="L42" s="280">
        <v>2346.0452281832681</v>
      </c>
      <c r="M42" s="266">
        <f t="shared" si="4"/>
        <v>3742.292028183268</v>
      </c>
      <c r="N42" s="293">
        <v>2991.1233237864772</v>
      </c>
      <c r="O42" s="264">
        <f t="shared" si="10"/>
        <v>751.16870439679087</v>
      </c>
      <c r="P42" s="265">
        <f t="shared" si="2"/>
        <v>0.25113264251702028</v>
      </c>
      <c r="Q42" s="274"/>
      <c r="R42" s="235"/>
      <c r="S42" s="169"/>
      <c r="T42" s="274"/>
    </row>
    <row r="43" spans="1:20" s="3" customFormat="1" x14ac:dyDescent="0.2">
      <c r="A43" s="260" t="s">
        <v>56</v>
      </c>
      <c r="B43" s="261">
        <f>VLOOKUP($A43,'Orch iTunes data'!$A$199:$Z$310,2,FALSE)</f>
        <v>62.731968000000002</v>
      </c>
      <c r="C43" s="261">
        <f>VLOOKUP($A43,'Orch iTunes data'!$A$199:$Z$310,8,FALSE)</f>
        <v>96.681935999999993</v>
      </c>
      <c r="D43" s="261">
        <f>VLOOKUP($A43,'Orch iTunes data'!$A$199:$Z$310,14,FALSE)</f>
        <v>129.88996800000001</v>
      </c>
      <c r="E43" s="261">
        <f>VLOOKUP($A43,'Orch iTunes data'!$A$199:$Z$310,20,FALSE)</f>
        <v>0</v>
      </c>
      <c r="F43" s="261">
        <f>VLOOKUP($A43,'Orch iTunes data'!$A$199:$Z$310,26,FALSE)</f>
        <v>0</v>
      </c>
      <c r="G43" s="262">
        <f t="shared" si="11"/>
        <v>289.30387200000001</v>
      </c>
      <c r="H43" s="245">
        <f t="shared" si="3"/>
        <v>482.17311999999998</v>
      </c>
      <c r="I43" s="295">
        <f>VLOOKUP($A43,[2]ORCH!$C:$Q,15,FALSE)</f>
        <v>319.86137449688493</v>
      </c>
      <c r="J43" s="264">
        <f t="shared" si="12"/>
        <v>162.31174550311505</v>
      </c>
      <c r="K43" s="265">
        <f t="shared" si="0"/>
        <v>0.50744403183540931</v>
      </c>
      <c r="L43" s="280">
        <v>731.02615004777954</v>
      </c>
      <c r="M43" s="266">
        <f t="shared" si="4"/>
        <v>1213.1992700477795</v>
      </c>
      <c r="N43" s="293">
        <v>976.75647007414409</v>
      </c>
      <c r="O43" s="264">
        <f t="shared" si="10"/>
        <v>236.44279997363537</v>
      </c>
      <c r="P43" s="265">
        <f t="shared" si="2"/>
        <v>0.24206934606298269</v>
      </c>
      <c r="Q43" s="274"/>
      <c r="R43" s="235"/>
      <c r="S43" s="169"/>
      <c r="T43" s="274"/>
    </row>
    <row r="44" spans="1:20" s="3" customFormat="1" x14ac:dyDescent="0.2">
      <c r="A44" s="260" t="s">
        <v>55</v>
      </c>
      <c r="B44" s="261">
        <f>VLOOKUP($A44,'Orch iTunes data'!$A$199:$Z$310,2,FALSE)</f>
        <v>113.541792</v>
      </c>
      <c r="C44" s="261">
        <f>VLOOKUP($A44,'Orch iTunes data'!$A$199:$Z$310,8,FALSE)</f>
        <v>41.970551999999998</v>
      </c>
      <c r="D44" s="261">
        <f>VLOOKUP($A44,'Orch iTunes data'!$A$199:$Z$310,14,FALSE)</f>
        <v>93.471143999999995</v>
      </c>
      <c r="E44" s="261">
        <f>VLOOKUP($A44,'Orch iTunes data'!$A$199:$Z$310,20,FALSE)</f>
        <v>0</v>
      </c>
      <c r="F44" s="261">
        <f>VLOOKUP($A44,'Orch iTunes data'!$A$199:$Z$310,26,FALSE)</f>
        <v>0</v>
      </c>
      <c r="G44" s="262">
        <f t="shared" si="11"/>
        <v>248.98348799999997</v>
      </c>
      <c r="H44" s="245">
        <f t="shared" si="3"/>
        <v>414.9724799999999</v>
      </c>
      <c r="I44" s="295">
        <f>VLOOKUP($A44,[2]ORCH!$C:$Q,15,FALSE)</f>
        <v>345.33306221437363</v>
      </c>
      <c r="J44" s="264">
        <f t="shared" si="12"/>
        <v>69.639417785626279</v>
      </c>
      <c r="K44" s="265">
        <f t="shared" si="0"/>
        <v>0.20165870403221331</v>
      </c>
      <c r="L44" s="280">
        <v>844.53840041160652</v>
      </c>
      <c r="M44" s="266">
        <f t="shared" si="4"/>
        <v>1259.5108804116064</v>
      </c>
      <c r="N44" s="293">
        <v>1054.5390276614701</v>
      </c>
      <c r="O44" s="264">
        <f t="shared" si="10"/>
        <v>204.97185275013635</v>
      </c>
      <c r="P44" s="265">
        <f t="shared" si="2"/>
        <v>0.19437104495286331</v>
      </c>
      <c r="Q44" s="274"/>
      <c r="R44" s="235"/>
      <c r="S44" s="169"/>
      <c r="T44" s="274"/>
    </row>
    <row r="45" spans="1:20" s="3" customFormat="1" x14ac:dyDescent="0.2">
      <c r="A45" s="260" t="s">
        <v>54</v>
      </c>
      <c r="B45" s="261">
        <f>VLOOKUP($A45,'Orch iTunes data'!$A$199:$Z$310,2,FALSE)</f>
        <v>1378.862472</v>
      </c>
      <c r="C45" s="261">
        <f>VLOOKUP($A45,'Orch iTunes data'!$A$199:$Z$310,8,FALSE)</f>
        <v>1417.1105520000001</v>
      </c>
      <c r="D45" s="261">
        <f>VLOOKUP($A45,'Orch iTunes data'!$A$199:$Z$310,14,FALSE)</f>
        <v>1178.744424</v>
      </c>
      <c r="E45" s="261">
        <f>VLOOKUP($A45,'Orch iTunes data'!$A$199:$Z$310,20,FALSE)</f>
        <v>0</v>
      </c>
      <c r="F45" s="261">
        <f>VLOOKUP($A45,'Orch iTunes data'!$A$199:$Z$310,26,FALSE)</f>
        <v>0</v>
      </c>
      <c r="G45" s="262">
        <f t="shared" si="11"/>
        <v>3974.7174479999999</v>
      </c>
      <c r="H45" s="245">
        <f t="shared" si="3"/>
        <v>6624.5290800000002</v>
      </c>
      <c r="I45" s="295">
        <f>VLOOKUP($A45,[2]ORCH!$C:$Q,15,FALSE)</f>
        <v>6737.4420247924008</v>
      </c>
      <c r="J45" s="264">
        <f t="shared" si="12"/>
        <v>-112.91294479240059</v>
      </c>
      <c r="K45" s="265">
        <f t="shared" si="0"/>
        <v>-1.6759022842334551E-2</v>
      </c>
      <c r="L45" s="280">
        <v>12332.289452672008</v>
      </c>
      <c r="M45" s="266">
        <f t="shared" si="4"/>
        <v>18956.818532672009</v>
      </c>
      <c r="N45" s="293">
        <v>20574.038049503564</v>
      </c>
      <c r="O45" s="264">
        <f t="shared" si="10"/>
        <v>-1617.2195168315557</v>
      </c>
      <c r="P45" s="265">
        <f t="shared" si="2"/>
        <v>-7.8604866625614986E-2</v>
      </c>
      <c r="Q45" s="274"/>
      <c r="R45" s="235"/>
      <c r="S45" s="169"/>
      <c r="T45" s="274"/>
    </row>
    <row r="46" spans="1:20" s="3" customFormat="1" x14ac:dyDescent="0.2">
      <c r="A46" s="260" t="s">
        <v>53</v>
      </c>
      <c r="B46" s="261">
        <f>VLOOKUP($A46,'Orch iTunes data'!$A$199:$Z$310,2,FALSE)</f>
        <v>319.966296</v>
      </c>
      <c r="C46" s="261">
        <f>VLOOKUP($A46,'Orch iTunes data'!$A$199:$Z$310,8,FALSE)</f>
        <v>398.57313599999998</v>
      </c>
      <c r="D46" s="261">
        <f>VLOOKUP($A46,'Orch iTunes data'!$A$199:$Z$310,14,FALSE)</f>
        <v>344.14317599999998</v>
      </c>
      <c r="E46" s="261">
        <f>VLOOKUP($A46,'Orch iTunes data'!$A$199:$Z$310,20,FALSE)</f>
        <v>0</v>
      </c>
      <c r="F46" s="261">
        <f>VLOOKUP($A46,'Orch iTunes data'!$A$199:$Z$310,26,FALSE)</f>
        <v>0</v>
      </c>
      <c r="G46" s="262">
        <f t="shared" si="11"/>
        <v>1062.6826080000001</v>
      </c>
      <c r="H46" s="245">
        <f t="shared" si="3"/>
        <v>1771.1376800000003</v>
      </c>
      <c r="I46" s="295">
        <f>VLOOKUP($A46,[2]ORCH!$C:$Q,15,FALSE)</f>
        <v>1865.7466511181535</v>
      </c>
      <c r="J46" s="264">
        <f t="shared" si="12"/>
        <v>-94.608971118153249</v>
      </c>
      <c r="K46" s="265">
        <f t="shared" si="0"/>
        <v>-5.0708369789356722E-2</v>
      </c>
      <c r="L46" s="280">
        <v>3750.1042786240582</v>
      </c>
      <c r="M46" s="266">
        <f t="shared" si="4"/>
        <v>5521.2419586240585</v>
      </c>
      <c r="N46" s="293">
        <v>5697.4059961609119</v>
      </c>
      <c r="O46" s="264">
        <f t="shared" si="10"/>
        <v>-176.16403753685336</v>
      </c>
      <c r="P46" s="265">
        <f t="shared" si="2"/>
        <v>-3.0920042850300318E-2</v>
      </c>
      <c r="Q46" s="274"/>
      <c r="R46" s="235"/>
      <c r="S46" s="169"/>
      <c r="T46" s="274"/>
    </row>
    <row r="47" spans="1:20" s="3" customFormat="1" x14ac:dyDescent="0.2">
      <c r="A47" s="260" t="s">
        <v>52</v>
      </c>
      <c r="B47" s="261">
        <f>VLOOKUP($A47,'Orch iTunes data'!$A$199:$Z$310,2,FALSE)</f>
        <v>310.87118400000003</v>
      </c>
      <c r="C47" s="261">
        <f>VLOOKUP($A47,'Orch iTunes data'!$A$199:$Z$310,8,FALSE)</f>
        <v>210.97845599999999</v>
      </c>
      <c r="D47" s="261">
        <f>VLOOKUP($A47,'Orch iTunes data'!$A$199:$Z$310,14,FALSE)</f>
        <v>215.22540000000001</v>
      </c>
      <c r="E47" s="261">
        <f>VLOOKUP($A47,'Orch iTunes data'!$A$199:$Z$310,20,FALSE)</f>
        <v>0</v>
      </c>
      <c r="F47" s="261">
        <f>VLOOKUP($A47,'Orch iTunes data'!$A$199:$Z$310,26,FALSE)</f>
        <v>0</v>
      </c>
      <c r="G47" s="262">
        <f t="shared" si="11"/>
        <v>737.07504000000006</v>
      </c>
      <c r="H47" s="245">
        <f t="shared" si="3"/>
        <v>1228.4584</v>
      </c>
      <c r="I47" s="295">
        <f>VLOOKUP($A47,[2]ORCH!$C:$Q,15,FALSE)</f>
        <v>1065.2729024750636</v>
      </c>
      <c r="J47" s="264">
        <f t="shared" si="12"/>
        <v>163.18549752493641</v>
      </c>
      <c r="K47" s="265">
        <f t="shared" si="0"/>
        <v>0.15318656575774145</v>
      </c>
      <c r="L47" s="280">
        <v>2764.422866165638</v>
      </c>
      <c r="M47" s="266">
        <f t="shared" si="4"/>
        <v>3992.881266165638</v>
      </c>
      <c r="N47" s="293">
        <v>3253.0098437919219</v>
      </c>
      <c r="O47" s="264">
        <f t="shared" si="10"/>
        <v>739.87142237371609</v>
      </c>
      <c r="P47" s="265">
        <f t="shared" si="2"/>
        <v>0.22744210989268737</v>
      </c>
      <c r="Q47" s="274"/>
      <c r="R47" s="235"/>
      <c r="S47" s="169"/>
      <c r="T47" s="274"/>
    </row>
    <row r="48" spans="1:20" s="3" customFormat="1" x14ac:dyDescent="0.2">
      <c r="A48" s="260" t="s">
        <v>90</v>
      </c>
      <c r="B48" s="261">
        <f>VLOOKUP($A48,'Orch iTunes data'!$A$199:$Z$310,2,FALSE)</f>
        <v>113.106864</v>
      </c>
      <c r="C48" s="261">
        <f>VLOOKUP($A48,'Orch iTunes data'!$A$199:$Z$310,8,FALSE)</f>
        <v>107.51676</v>
      </c>
      <c r="D48" s="261">
        <f>VLOOKUP($A48,'Orch iTunes data'!$A$199:$Z$310,14,FALSE)</f>
        <v>121.66471199999999</v>
      </c>
      <c r="E48" s="261">
        <f>VLOOKUP($A48,'Orch iTunes data'!$A$199:$Z$310,20,FALSE)</f>
        <v>0</v>
      </c>
      <c r="F48" s="261">
        <f>VLOOKUP($A48,'Orch iTunes data'!$A$199:$Z$310,26,FALSE)</f>
        <v>0</v>
      </c>
      <c r="G48" s="262">
        <f t="shared" si="11"/>
        <v>342.28833600000002</v>
      </c>
      <c r="H48" s="245">
        <f t="shared" si="3"/>
        <v>570.48055999999997</v>
      </c>
      <c r="I48" s="295">
        <f>VLOOKUP($A48,[2]ORCH!$C:$Q,15,FALSE)</f>
        <v>540.53676125250968</v>
      </c>
      <c r="J48" s="264">
        <f t="shared" si="12"/>
        <v>29.943798747490291</v>
      </c>
      <c r="K48" s="265">
        <f t="shared" si="0"/>
        <v>5.5396414997022116E-2</v>
      </c>
      <c r="L48" s="280">
        <v>1168.6652408242223</v>
      </c>
      <c r="M48" s="266">
        <f t="shared" si="4"/>
        <v>1739.1458008242223</v>
      </c>
      <c r="N48" s="293">
        <v>1650.6299946242918</v>
      </c>
      <c r="O48" s="264">
        <f t="shared" si="10"/>
        <v>88.515806199930466</v>
      </c>
      <c r="P48" s="265">
        <f t="shared" si="2"/>
        <v>5.3625468147437849E-2</v>
      </c>
      <c r="Q48" s="274"/>
      <c r="R48" s="235"/>
      <c r="S48" s="169"/>
      <c r="T48" s="274"/>
    </row>
    <row r="49" spans="1:20" s="155" customFormat="1" x14ac:dyDescent="0.2">
      <c r="A49" s="239" t="s">
        <v>95</v>
      </c>
      <c r="B49" s="248">
        <f>'Orch iTunes data'!B191</f>
        <v>18032.36</v>
      </c>
      <c r="C49" s="249">
        <f>'Orch iTunes data'!H191</f>
        <v>19179.050000000003</v>
      </c>
      <c r="D49" s="249">
        <f>'Orch iTunes data'!N191</f>
        <v>20791.390000000003</v>
      </c>
      <c r="E49" s="249">
        <f>'Orch iTunes data'!T191</f>
        <v>0</v>
      </c>
      <c r="F49" s="249">
        <f>'Orch iTunes data'!Z191</f>
        <v>0</v>
      </c>
      <c r="G49" s="243">
        <f t="shared" si="6"/>
        <v>58002.8</v>
      </c>
      <c r="H49" s="245">
        <f t="shared" si="3"/>
        <v>96671.333333333328</v>
      </c>
      <c r="I49" s="341">
        <f>SUM(I50:I66)</f>
        <v>83443.544535668858</v>
      </c>
      <c r="J49" s="246">
        <f t="shared" si="7"/>
        <v>13227.788797664471</v>
      </c>
      <c r="K49" s="247">
        <f t="shared" si="0"/>
        <v>0.15852381237244911</v>
      </c>
      <c r="L49" s="279">
        <v>198602.06977194562</v>
      </c>
      <c r="M49" s="272">
        <f t="shared" si="4"/>
        <v>295273.40310527897</v>
      </c>
      <c r="N49" s="292">
        <v>254810.45387031662</v>
      </c>
      <c r="O49" s="246">
        <f t="shared" si="10"/>
        <v>40462.949234962347</v>
      </c>
      <c r="P49" s="247">
        <f t="shared" si="2"/>
        <v>0.15879626844334882</v>
      </c>
      <c r="Q49" s="274"/>
      <c r="R49" s="273">
        <v>1.9753228268273172E-2</v>
      </c>
      <c r="S49" s="232">
        <f>R49*$R$129</f>
        <v>96061.769610650939</v>
      </c>
      <c r="T49" s="274"/>
    </row>
    <row r="50" spans="1:20" s="3" customFormat="1" x14ac:dyDescent="0.2">
      <c r="A50" s="260" t="s">
        <v>128</v>
      </c>
      <c r="B50" s="261">
        <f>VLOOKUP($A50,'Orch iTunes data'!$A$199:$Z$310,2,FALSE)</f>
        <v>1441.92</v>
      </c>
      <c r="C50" s="261">
        <f>VLOOKUP($A50,'Orch iTunes data'!$A$199:$Z$310,8,FALSE)</f>
        <v>1612.61</v>
      </c>
      <c r="D50" s="261">
        <f>VLOOKUP($A50,'Orch iTunes data'!$A$199:$Z$310,14,FALSE)</f>
        <v>1452.72</v>
      </c>
      <c r="E50" s="261">
        <f>VLOOKUP($A50,'Orch iTunes data'!$A$199:$Z$310,20,FALSE)</f>
        <v>0</v>
      </c>
      <c r="F50" s="261">
        <f>VLOOKUP($A50,'Orch iTunes data'!$A$199:$Z$310,26,FALSE)</f>
        <v>0</v>
      </c>
      <c r="G50" s="262">
        <f t="shared" ref="G50:G66" si="13">SUM(B50:F50)</f>
        <v>4507.25</v>
      </c>
      <c r="H50" s="245">
        <f t="shared" si="3"/>
        <v>7512.0833333333339</v>
      </c>
      <c r="I50" s="295">
        <f>VLOOKUP($A50,[2]ORCH!$C:$Q,15,FALSE)</f>
        <v>9162.2390621548802</v>
      </c>
      <c r="J50" s="264">
        <f t="shared" ref="J50:J66" si="14">H50-I50</f>
        <v>-1650.1557288215463</v>
      </c>
      <c r="K50" s="265">
        <f t="shared" si="0"/>
        <v>-0.18010398087489368</v>
      </c>
      <c r="L50" s="280">
        <v>22012.969971656788</v>
      </c>
      <c r="M50" s="266">
        <f t="shared" si="4"/>
        <v>29525.053304990121</v>
      </c>
      <c r="N50" s="293">
        <v>27978.608853295584</v>
      </c>
      <c r="O50" s="264">
        <f t="shared" si="10"/>
        <v>1546.4444516945368</v>
      </c>
      <c r="P50" s="265">
        <f t="shared" si="2"/>
        <v>5.5272385407124418E-2</v>
      </c>
      <c r="Q50" s="274"/>
      <c r="R50" s="235"/>
      <c r="S50" s="169"/>
      <c r="T50" s="274"/>
    </row>
    <row r="51" spans="1:20" s="3" customFormat="1" x14ac:dyDescent="0.2">
      <c r="A51" s="260" t="s">
        <v>134</v>
      </c>
      <c r="B51" s="261">
        <f>VLOOKUP($A51,'Orch iTunes data'!$A$199:$Z$310,2,FALSE)</f>
        <v>1.83</v>
      </c>
      <c r="C51" s="261">
        <f>VLOOKUP($A51,'Orch iTunes data'!$A$199:$Z$310,8,FALSE)</f>
        <v>10.98</v>
      </c>
      <c r="D51" s="261">
        <f>VLOOKUP($A51,'Orch iTunes data'!$A$199:$Z$310,14,FALSE)</f>
        <v>4.88</v>
      </c>
      <c r="E51" s="261">
        <f>VLOOKUP($A51,'Orch iTunes data'!$A$199:$Z$310,20,FALSE)</f>
        <v>0</v>
      </c>
      <c r="F51" s="261">
        <f>VLOOKUP($A51,'Orch iTunes data'!$A$199:$Z$310,26,FALSE)</f>
        <v>0</v>
      </c>
      <c r="G51" s="262">
        <f t="shared" si="13"/>
        <v>17.690000000000001</v>
      </c>
      <c r="H51" s="245">
        <f t="shared" si="3"/>
        <v>29.483333333333338</v>
      </c>
      <c r="I51" s="295">
        <f>VLOOKUP($A51,[2]ORCH!$C:$Q,15,FALSE)</f>
        <v>34.426303897990735</v>
      </c>
      <c r="J51" s="264">
        <f t="shared" si="14"/>
        <v>-4.9429705646573971</v>
      </c>
      <c r="K51" s="265">
        <f t="shared" si="0"/>
        <v>-0.14358121566880985</v>
      </c>
      <c r="L51" s="280">
        <v>76.249999403953495</v>
      </c>
      <c r="M51" s="266">
        <f t="shared" si="4"/>
        <v>105.73333273728683</v>
      </c>
      <c r="N51" s="293">
        <v>105.12715117913888</v>
      </c>
      <c r="O51" s="264">
        <f t="shared" si="10"/>
        <v>0.60618155814795216</v>
      </c>
      <c r="P51" s="265">
        <f t="shared" si="2"/>
        <v>5.7661750684654817E-3</v>
      </c>
      <c r="Q51" s="274"/>
      <c r="R51" s="235"/>
      <c r="S51" s="169"/>
      <c r="T51" s="274"/>
    </row>
    <row r="52" spans="1:20" s="3" customFormat="1" x14ac:dyDescent="0.2">
      <c r="A52" s="260" t="s">
        <v>136</v>
      </c>
      <c r="B52" s="261">
        <f>VLOOKUP($A52,'Orch iTunes data'!$A$199:$Z$310,2,FALSE)</f>
        <v>34.159999999999997</v>
      </c>
      <c r="C52" s="261">
        <f>VLOOKUP($A52,'Orch iTunes data'!$A$199:$Z$310,8,FALSE)</f>
        <v>42.7</v>
      </c>
      <c r="D52" s="261">
        <f>VLOOKUP($A52,'Orch iTunes data'!$A$199:$Z$310,14,FALSE)</f>
        <v>21.96</v>
      </c>
      <c r="E52" s="261">
        <f>VLOOKUP($A52,'Orch iTunes data'!$A$199:$Z$310,20,FALSE)</f>
        <v>0</v>
      </c>
      <c r="F52" s="261">
        <f>VLOOKUP($A52,'Orch iTunes data'!$A$199:$Z$310,26,FALSE)</f>
        <v>0</v>
      </c>
      <c r="G52" s="262">
        <f t="shared" si="13"/>
        <v>98.82</v>
      </c>
      <c r="H52" s="245">
        <f t="shared" si="3"/>
        <v>164.7</v>
      </c>
      <c r="I52" s="295">
        <f>VLOOKUP($A52,[2]ORCH!$C:$Q,15,FALSE)</f>
        <v>114.48002017373395</v>
      </c>
      <c r="J52" s="264">
        <f t="shared" si="14"/>
        <v>50.219979826266041</v>
      </c>
      <c r="K52" s="265">
        <f t="shared" si="0"/>
        <v>0.4386789917581479</v>
      </c>
      <c r="L52" s="280">
        <v>245.21999859809875</v>
      </c>
      <c r="M52" s="266">
        <f t="shared" si="4"/>
        <v>409.91999859809874</v>
      </c>
      <c r="N52" s="293">
        <v>349.58613110068461</v>
      </c>
      <c r="O52" s="264">
        <f t="shared" si="10"/>
        <v>60.333867497414133</v>
      </c>
      <c r="P52" s="265">
        <f t="shared" si="2"/>
        <v>0.17258655916197466</v>
      </c>
      <c r="Q52" s="274"/>
      <c r="R52" s="235"/>
      <c r="S52" s="169"/>
      <c r="T52" s="274"/>
    </row>
    <row r="53" spans="1:20" s="3" customFormat="1" x14ac:dyDescent="0.2">
      <c r="A53" s="260" t="s">
        <v>138</v>
      </c>
      <c r="B53" s="261">
        <f>VLOOKUP($A53,'Orch iTunes data'!$A$199:$Z$310,2,FALSE)</f>
        <v>8877.76</v>
      </c>
      <c r="C53" s="261">
        <f>VLOOKUP($A53,'Orch iTunes data'!$A$199:$Z$310,8,FALSE)</f>
        <v>10210.280000000001</v>
      </c>
      <c r="D53" s="261">
        <f>VLOOKUP($A53,'Orch iTunes data'!$A$199:$Z$310,14,FALSE)</f>
        <v>11309.81</v>
      </c>
      <c r="E53" s="261">
        <f>VLOOKUP($A53,'Orch iTunes data'!$A$199:$Z$310,20,FALSE)</f>
        <v>0</v>
      </c>
      <c r="F53" s="261">
        <f>VLOOKUP($A53,'Orch iTunes data'!$A$199:$Z$310,26,FALSE)</f>
        <v>0</v>
      </c>
      <c r="G53" s="262">
        <f t="shared" si="13"/>
        <v>30397.85</v>
      </c>
      <c r="H53" s="245">
        <f t="shared" si="3"/>
        <v>50663.083333333336</v>
      </c>
      <c r="I53" s="295">
        <f>VLOOKUP($A53,[2]ORCH!$C:$Q,15,FALSE)</f>
        <v>41216.563965694062</v>
      </c>
      <c r="J53" s="264">
        <f t="shared" si="14"/>
        <v>9446.5193676392737</v>
      </c>
      <c r="K53" s="265">
        <f t="shared" si="0"/>
        <v>0.22919230665375043</v>
      </c>
      <c r="L53" s="280">
        <v>97447.699763357799</v>
      </c>
      <c r="M53" s="266">
        <f t="shared" si="4"/>
        <v>148110.78309669113</v>
      </c>
      <c r="N53" s="293">
        <v>125862.47899121864</v>
      </c>
      <c r="O53" s="264">
        <f t="shared" si="10"/>
        <v>22248.304105472489</v>
      </c>
      <c r="P53" s="265">
        <f t="shared" si="2"/>
        <v>0.17676677182740649</v>
      </c>
      <c r="Q53" s="274"/>
      <c r="R53" s="235"/>
      <c r="S53" s="169"/>
      <c r="T53" s="274"/>
    </row>
    <row r="54" spans="1:20" s="3" customFormat="1" x14ac:dyDescent="0.2">
      <c r="A54" s="260" t="s">
        <v>144</v>
      </c>
      <c r="B54" s="261">
        <f>VLOOKUP($A54,'Orch iTunes data'!$A$199:$Z$310,2,FALSE)</f>
        <v>3023.27</v>
      </c>
      <c r="C54" s="261">
        <f>VLOOKUP($A54,'Orch iTunes data'!$A$199:$Z$310,8,FALSE)</f>
        <v>2755.02</v>
      </c>
      <c r="D54" s="261">
        <f>VLOOKUP($A54,'Orch iTunes data'!$A$199:$Z$310,14,FALSE)</f>
        <v>2715.87</v>
      </c>
      <c r="E54" s="261">
        <f>VLOOKUP($A54,'Orch iTunes data'!$A$199:$Z$310,20,FALSE)</f>
        <v>0</v>
      </c>
      <c r="F54" s="261">
        <f>VLOOKUP($A54,'Orch iTunes data'!$A$199:$Z$310,26,FALSE)</f>
        <v>0</v>
      </c>
      <c r="G54" s="262">
        <f t="shared" si="13"/>
        <v>8494.16</v>
      </c>
      <c r="H54" s="245">
        <f t="shared" si="3"/>
        <v>14156.933333333334</v>
      </c>
      <c r="I54" s="295">
        <f>VLOOKUP($A54,[2]ORCH!$C:$Q,15,FALSE)</f>
        <v>11092.793810560428</v>
      </c>
      <c r="J54" s="264">
        <f t="shared" si="14"/>
        <v>3064.1395227729063</v>
      </c>
      <c r="K54" s="265">
        <f t="shared" si="0"/>
        <v>0.27622793455836359</v>
      </c>
      <c r="L54" s="280">
        <v>27692.909942507744</v>
      </c>
      <c r="M54" s="266">
        <f t="shared" si="4"/>
        <v>41849.843275841078</v>
      </c>
      <c r="N54" s="293">
        <v>33873.918483298577</v>
      </c>
      <c r="O54" s="264">
        <f t="shared" si="10"/>
        <v>7975.9247925425007</v>
      </c>
      <c r="P54" s="265">
        <f t="shared" si="2"/>
        <v>0.23545917182492493</v>
      </c>
      <c r="Q54" s="274"/>
      <c r="R54" s="235"/>
      <c r="S54" s="169"/>
      <c r="T54" s="274"/>
    </row>
    <row r="55" spans="1:20" s="3" customFormat="1" x14ac:dyDescent="0.2">
      <c r="A55" s="260" t="s">
        <v>145</v>
      </c>
      <c r="B55" s="261">
        <f>VLOOKUP($A55,'Orch iTunes data'!$A$199:$Z$310,2,FALSE)</f>
        <v>1768.22</v>
      </c>
      <c r="C55" s="261">
        <f>VLOOKUP($A55,'Orch iTunes data'!$A$199:$Z$310,8,FALSE)</f>
        <v>1690.28</v>
      </c>
      <c r="D55" s="261">
        <f>VLOOKUP($A55,'Orch iTunes data'!$A$199:$Z$310,14,FALSE)</f>
        <v>1838.54</v>
      </c>
      <c r="E55" s="261">
        <f>VLOOKUP($A55,'Orch iTunes data'!$A$199:$Z$310,20,FALSE)</f>
        <v>0</v>
      </c>
      <c r="F55" s="261">
        <f>VLOOKUP($A55,'Orch iTunes data'!$A$199:$Z$310,26,FALSE)</f>
        <v>0</v>
      </c>
      <c r="G55" s="262">
        <f t="shared" si="13"/>
        <v>5297.04</v>
      </c>
      <c r="H55" s="245">
        <f t="shared" si="3"/>
        <v>8828.4</v>
      </c>
      <c r="I55" s="295">
        <f>VLOOKUP($A55,[2]ORCH!$C:$Q,15,FALSE)</f>
        <v>8425.1869762915558</v>
      </c>
      <c r="J55" s="264">
        <f t="shared" si="14"/>
        <v>403.21302370844387</v>
      </c>
      <c r="K55" s="265">
        <f t="shared" si="0"/>
        <v>4.7858050491114773E-2</v>
      </c>
      <c r="L55" s="280">
        <v>21063.700030505661</v>
      </c>
      <c r="M55" s="266">
        <f t="shared" si="4"/>
        <v>29892.100030505659</v>
      </c>
      <c r="N55" s="293">
        <v>25727.882597957563</v>
      </c>
      <c r="O55" s="264">
        <f t="shared" si="10"/>
        <v>4164.2174325480955</v>
      </c>
      <c r="P55" s="265">
        <f t="shared" si="2"/>
        <v>0.16185620471070855</v>
      </c>
      <c r="Q55" s="274"/>
      <c r="R55" s="235"/>
      <c r="S55" s="169"/>
      <c r="T55" s="274"/>
    </row>
    <row r="56" spans="1:20" s="3" customFormat="1" x14ac:dyDescent="0.2">
      <c r="A56" s="260" t="s">
        <v>146</v>
      </c>
      <c r="B56" s="261">
        <f>VLOOKUP($A56,'Orch iTunes data'!$A$199:$Z$310,2,FALSE)</f>
        <v>406.26</v>
      </c>
      <c r="C56" s="261">
        <f>VLOOKUP($A56,'Orch iTunes data'!$A$199:$Z$310,8,FALSE)</f>
        <v>452.19</v>
      </c>
      <c r="D56" s="261">
        <f>VLOOKUP($A56,'Orch iTunes data'!$A$199:$Z$310,14,FALSE)</f>
        <v>523.45000000000005</v>
      </c>
      <c r="E56" s="261">
        <f>VLOOKUP($A56,'Orch iTunes data'!$A$199:$Z$310,20,FALSE)</f>
        <v>0</v>
      </c>
      <c r="F56" s="261">
        <f>VLOOKUP($A56,'Orch iTunes data'!$A$199:$Z$310,26,FALSE)</f>
        <v>0</v>
      </c>
      <c r="G56" s="262">
        <f t="shared" si="13"/>
        <v>1381.9</v>
      </c>
      <c r="H56" s="245">
        <f t="shared" si="3"/>
        <v>2303.166666666667</v>
      </c>
      <c r="I56" s="295">
        <f>VLOOKUP($A56,[2]ORCH!$C:$Q,15,FALSE)</f>
        <v>2184.326695696006</v>
      </c>
      <c r="J56" s="264">
        <f t="shared" si="14"/>
        <v>118.83997097066094</v>
      </c>
      <c r="K56" s="265">
        <f t="shared" si="0"/>
        <v>5.4405767784106211E-2</v>
      </c>
      <c r="L56" s="280">
        <v>4766.7500057816505</v>
      </c>
      <c r="M56" s="266">
        <f t="shared" si="4"/>
        <v>7069.9166724483175</v>
      </c>
      <c r="N56" s="293">
        <v>6670.2496859230141</v>
      </c>
      <c r="O56" s="264">
        <f t="shared" si="10"/>
        <v>399.6669865253034</v>
      </c>
      <c r="P56" s="265">
        <f t="shared" si="2"/>
        <v>5.9917844959951956E-2</v>
      </c>
      <c r="Q56" s="274"/>
      <c r="R56" s="235"/>
      <c r="S56" s="169"/>
      <c r="T56" s="274"/>
    </row>
    <row r="57" spans="1:20" s="3" customFormat="1" x14ac:dyDescent="0.2">
      <c r="A57" s="260" t="s">
        <v>148</v>
      </c>
      <c r="B57" s="261">
        <f>VLOOKUP($A57,'Orch iTunes data'!$A$199:$Z$310,2,FALSE)</f>
        <v>198.97</v>
      </c>
      <c r="C57" s="261">
        <f>VLOOKUP($A57,'Orch iTunes data'!$A$199:$Z$310,8,FALSE)</f>
        <v>265.89</v>
      </c>
      <c r="D57" s="261">
        <f>VLOOKUP($A57,'Orch iTunes data'!$A$199:$Z$310,14,FALSE)</f>
        <v>288.91000000000003</v>
      </c>
      <c r="E57" s="261">
        <f>VLOOKUP($A57,'Orch iTunes data'!$A$199:$Z$310,20,FALSE)</f>
        <v>0</v>
      </c>
      <c r="F57" s="261">
        <f>VLOOKUP($A57,'Orch iTunes data'!$A$199:$Z$310,26,FALSE)</f>
        <v>0</v>
      </c>
      <c r="G57" s="262">
        <f t="shared" si="13"/>
        <v>753.77</v>
      </c>
      <c r="H57" s="245">
        <f t="shared" si="3"/>
        <v>1256.2833333333333</v>
      </c>
      <c r="I57" s="295">
        <f>VLOOKUP($A57,[2]ORCH!$C:$Q,15,FALSE)</f>
        <v>713.98045093774692</v>
      </c>
      <c r="J57" s="264">
        <f t="shared" si="14"/>
        <v>542.30288239558638</v>
      </c>
      <c r="K57" s="265">
        <f t="shared" si="0"/>
        <v>0.75954864266006439</v>
      </c>
      <c r="L57" s="280">
        <v>1496.1100043058409</v>
      </c>
      <c r="M57" s="266">
        <f t="shared" si="4"/>
        <v>2752.3933376391742</v>
      </c>
      <c r="N57" s="293">
        <v>2180.2727073777742</v>
      </c>
      <c r="O57" s="264">
        <f t="shared" si="10"/>
        <v>572.12063026140004</v>
      </c>
      <c r="P57" s="265">
        <f t="shared" si="2"/>
        <v>0.26240783014226354</v>
      </c>
      <c r="Q57" s="274"/>
      <c r="R57" s="235"/>
      <c r="S57" s="169"/>
      <c r="T57" s="274"/>
    </row>
    <row r="58" spans="1:20" s="3" customFormat="1" x14ac:dyDescent="0.2">
      <c r="A58" s="260" t="s">
        <v>149</v>
      </c>
      <c r="B58" s="261">
        <f>VLOOKUP($A58,'Orch iTunes data'!$A$199:$Z$310,2,FALSE)</f>
        <v>459.4</v>
      </c>
      <c r="C58" s="261">
        <f>VLOOKUP($A58,'Orch iTunes data'!$A$199:$Z$310,8,FALSE)</f>
        <v>480.79</v>
      </c>
      <c r="D58" s="261">
        <f>VLOOKUP($A58,'Orch iTunes data'!$A$199:$Z$310,14,FALSE)</f>
        <v>540.82000000000005</v>
      </c>
      <c r="E58" s="261">
        <f>VLOOKUP($A58,'Orch iTunes data'!$A$199:$Z$310,20,FALSE)</f>
        <v>0</v>
      </c>
      <c r="F58" s="261">
        <f>VLOOKUP($A58,'Orch iTunes data'!$A$199:$Z$310,26,FALSE)</f>
        <v>0</v>
      </c>
      <c r="G58" s="262">
        <f t="shared" si="13"/>
        <v>1481.0100000000002</v>
      </c>
      <c r="H58" s="245">
        <f t="shared" si="3"/>
        <v>2468.3500000000004</v>
      </c>
      <c r="I58" s="295">
        <f>VLOOKUP($A58,[2]ORCH!$C:$Q,15,FALSE)</f>
        <v>2508.1082488332104</v>
      </c>
      <c r="J58" s="264">
        <f t="shared" si="14"/>
        <v>-39.758248833210018</v>
      </c>
      <c r="K58" s="265">
        <f t="shared" si="0"/>
        <v>-1.58518871152016E-2</v>
      </c>
      <c r="L58" s="280">
        <v>5696.8600167036057</v>
      </c>
      <c r="M58" s="266">
        <f t="shared" si="4"/>
        <v>8165.210016703606</v>
      </c>
      <c r="N58" s="293">
        <v>7658.9771539233734</v>
      </c>
      <c r="O58" s="264">
        <f t="shared" si="10"/>
        <v>506.23286278023261</v>
      </c>
      <c r="P58" s="265">
        <f t="shared" si="2"/>
        <v>6.6096667036134288E-2</v>
      </c>
      <c r="Q58" s="274"/>
      <c r="R58" s="235"/>
      <c r="S58" s="169"/>
      <c r="T58" s="274"/>
    </row>
    <row r="59" spans="1:20" s="3" customFormat="1" x14ac:dyDescent="0.2">
      <c r="A59" s="260" t="s">
        <v>150</v>
      </c>
      <c r="B59" s="261">
        <f>VLOOKUP($A59,'Orch iTunes data'!$A$199:$Z$310,2,FALSE)</f>
        <v>49.16</v>
      </c>
      <c r="C59" s="261">
        <f>VLOOKUP($A59,'Orch iTunes data'!$A$199:$Z$310,8,FALSE)</f>
        <v>65.31</v>
      </c>
      <c r="D59" s="261">
        <f>VLOOKUP($A59,'Orch iTunes data'!$A$199:$Z$310,14,FALSE)</f>
        <v>107.97</v>
      </c>
      <c r="E59" s="261">
        <f>VLOOKUP($A59,'Orch iTunes data'!$A$199:$Z$310,20,FALSE)</f>
        <v>0</v>
      </c>
      <c r="F59" s="261">
        <f>VLOOKUP($A59,'Orch iTunes data'!$A$199:$Z$310,26,FALSE)</f>
        <v>0</v>
      </c>
      <c r="G59" s="262">
        <f t="shared" si="13"/>
        <v>222.44</v>
      </c>
      <c r="H59" s="245">
        <f t="shared" si="3"/>
        <v>370.73333333333329</v>
      </c>
      <c r="I59" s="295">
        <f>VLOOKUP($A59,[2]ORCH!$C:$Q,15,FALSE)</f>
        <v>419.56207710565405</v>
      </c>
      <c r="J59" s="264">
        <f t="shared" si="14"/>
        <v>-48.828743772320763</v>
      </c>
      <c r="K59" s="265">
        <f t="shared" si="0"/>
        <v>-0.11638026036377143</v>
      </c>
      <c r="L59" s="280">
        <v>834.86000066995598</v>
      </c>
      <c r="M59" s="266">
        <f t="shared" si="4"/>
        <v>1205.5933340032893</v>
      </c>
      <c r="N59" s="293">
        <v>1281.2111936156443</v>
      </c>
      <c r="O59" s="264">
        <f t="shared" si="10"/>
        <v>-75.617859612355005</v>
      </c>
      <c r="P59" s="265">
        <f t="shared" si="2"/>
        <v>-5.9020604869176554E-2</v>
      </c>
      <c r="Q59" s="274"/>
      <c r="R59" s="235"/>
      <c r="S59" s="169"/>
      <c r="T59" s="274"/>
    </row>
    <row r="60" spans="1:20" s="3" customFormat="1" x14ac:dyDescent="0.2">
      <c r="A60" s="260" t="s">
        <v>155</v>
      </c>
      <c r="B60" s="261">
        <f>VLOOKUP($A60,'Orch iTunes data'!$A$199:$Z$310,2,FALSE)</f>
        <v>226.67</v>
      </c>
      <c r="C60" s="261">
        <f>VLOOKUP($A60,'Orch iTunes data'!$A$199:$Z$310,8,FALSE)</f>
        <v>177.73</v>
      </c>
      <c r="D60" s="261">
        <f>VLOOKUP($A60,'Orch iTunes data'!$A$199:$Z$310,14,FALSE)</f>
        <v>248.99</v>
      </c>
      <c r="E60" s="261">
        <f>VLOOKUP($A60,'Orch iTunes data'!$A$199:$Z$310,20,FALSE)</f>
        <v>0</v>
      </c>
      <c r="F60" s="261">
        <f>VLOOKUP($A60,'Orch iTunes data'!$A$199:$Z$310,26,FALSE)</f>
        <v>0</v>
      </c>
      <c r="G60" s="262">
        <f t="shared" si="13"/>
        <v>653.39</v>
      </c>
      <c r="H60" s="245">
        <f t="shared" si="3"/>
        <v>1088.9833333333333</v>
      </c>
      <c r="I60" s="295">
        <f>VLOOKUP($A60,[2]ORCH!$C:$Q,15,FALSE)</f>
        <v>1025.1533452094154</v>
      </c>
      <c r="J60" s="264">
        <f t="shared" si="14"/>
        <v>63.829988123917929</v>
      </c>
      <c r="K60" s="265">
        <f t="shared" si="0"/>
        <v>6.2263844157752733E-2</v>
      </c>
      <c r="L60" s="280">
        <v>2391.0599999427795</v>
      </c>
      <c r="M60" s="266">
        <f t="shared" si="4"/>
        <v>3480.0433332761131</v>
      </c>
      <c r="N60" s="293">
        <v>3130.4972797245355</v>
      </c>
      <c r="O60" s="264">
        <f t="shared" si="10"/>
        <v>349.54605355157764</v>
      </c>
      <c r="P60" s="265">
        <f t="shared" si="2"/>
        <v>0.11165831569811667</v>
      </c>
      <c r="Q60" s="274"/>
      <c r="R60" s="235"/>
      <c r="S60" s="169"/>
      <c r="T60" s="274"/>
    </row>
    <row r="61" spans="1:20" s="3" customFormat="1" x14ac:dyDescent="0.2">
      <c r="A61" s="260" t="s">
        <v>157</v>
      </c>
      <c r="B61" s="261">
        <f>VLOOKUP($A61,'Orch iTunes data'!$A$199:$Z$310,2,FALSE)</f>
        <v>75.03</v>
      </c>
      <c r="C61" s="261">
        <f>VLOOKUP($A61,'Orch iTunes data'!$A$199:$Z$310,8,FALSE)</f>
        <v>53.68</v>
      </c>
      <c r="D61" s="261">
        <f>VLOOKUP($A61,'Orch iTunes data'!$A$199:$Z$310,14,FALSE)</f>
        <v>125.23</v>
      </c>
      <c r="E61" s="261">
        <f>VLOOKUP($A61,'Orch iTunes data'!$A$199:$Z$310,20,FALSE)</f>
        <v>0</v>
      </c>
      <c r="F61" s="261">
        <f>VLOOKUP($A61,'Orch iTunes data'!$A$199:$Z$310,26,FALSE)</f>
        <v>0</v>
      </c>
      <c r="G61" s="262">
        <f t="shared" si="13"/>
        <v>253.94</v>
      </c>
      <c r="H61" s="245">
        <f t="shared" si="3"/>
        <v>423.23333333333329</v>
      </c>
      <c r="I61" s="295">
        <f>VLOOKUP($A61,[2]ORCH!$C:$Q,15,FALSE)</f>
        <v>543.40868128699753</v>
      </c>
      <c r="J61" s="264">
        <f t="shared" si="14"/>
        <v>-120.17534795366424</v>
      </c>
      <c r="K61" s="265">
        <f t="shared" si="0"/>
        <v>-0.22115095340222302</v>
      </c>
      <c r="L61" s="280">
        <v>1210.0600019097326</v>
      </c>
      <c r="M61" s="266">
        <f t="shared" si="4"/>
        <v>1633.2933352430659</v>
      </c>
      <c r="N61" s="293">
        <v>1659.3999390404749</v>
      </c>
      <c r="O61" s="264">
        <f t="shared" si="10"/>
        <v>-26.10660379740898</v>
      </c>
      <c r="P61" s="265">
        <f t="shared" si="2"/>
        <v>-1.573255680152957E-2</v>
      </c>
      <c r="Q61" s="274"/>
      <c r="R61" s="235"/>
      <c r="S61" s="169"/>
      <c r="T61" s="274"/>
    </row>
    <row r="62" spans="1:20" s="3" customFormat="1" x14ac:dyDescent="0.2">
      <c r="A62" s="260" t="s">
        <v>174</v>
      </c>
      <c r="B62" s="261">
        <f>VLOOKUP($A62,'Orch iTunes data'!$A$199:$Z$310,2,FALSE)</f>
        <v>55.51</v>
      </c>
      <c r="C62" s="261">
        <f>VLOOKUP($A62,'Orch iTunes data'!$A$199:$Z$310,8,FALSE)</f>
        <v>36.6</v>
      </c>
      <c r="D62" s="261">
        <f>VLOOKUP($A62,'Orch iTunes data'!$A$199:$Z$310,14,FALSE)</f>
        <v>35.130000000000003</v>
      </c>
      <c r="E62" s="261">
        <f>VLOOKUP($A62,'Orch iTunes data'!$A$199:$Z$310,20,FALSE)</f>
        <v>0</v>
      </c>
      <c r="F62" s="261">
        <f>VLOOKUP($A62,'Orch iTunes data'!$A$199:$Z$310,26,FALSE)</f>
        <v>0</v>
      </c>
      <c r="G62" s="262">
        <f t="shared" si="13"/>
        <v>127.24000000000001</v>
      </c>
      <c r="H62" s="245">
        <f t="shared" si="3"/>
        <v>212.06666666666666</v>
      </c>
      <c r="I62" s="295">
        <f>VLOOKUP($A62,[2]ORCH!$C:$Q,15,FALSE)</f>
        <v>245.759011540552</v>
      </c>
      <c r="J62" s="264">
        <f t="shared" si="14"/>
        <v>-33.692344873885332</v>
      </c>
      <c r="K62" s="265">
        <f t="shared" si="0"/>
        <v>-0.1370950536571712</v>
      </c>
      <c r="L62" s="280">
        <v>556.25000137090683</v>
      </c>
      <c r="M62" s="266">
        <f t="shared" si="4"/>
        <v>768.31666803757344</v>
      </c>
      <c r="N62" s="293">
        <v>750.47105946703857</v>
      </c>
      <c r="O62" s="264">
        <f t="shared" si="10"/>
        <v>17.845608570534864</v>
      </c>
      <c r="P62" s="265">
        <f t="shared" si="2"/>
        <v>2.3779209531688359E-2</v>
      </c>
      <c r="Q62" s="274"/>
      <c r="R62" s="235"/>
      <c r="S62" s="169"/>
      <c r="T62" s="274"/>
    </row>
    <row r="63" spans="1:20" s="3" customFormat="1" x14ac:dyDescent="0.2">
      <c r="A63" s="260" t="s">
        <v>177</v>
      </c>
      <c r="B63" s="261">
        <f>VLOOKUP($A63,'Orch iTunes data'!$A$199:$Z$310,2,FALSE)</f>
        <v>168.11</v>
      </c>
      <c r="C63" s="261">
        <f>VLOOKUP($A63,'Orch iTunes data'!$A$199:$Z$310,8,FALSE)</f>
        <v>224.23</v>
      </c>
      <c r="D63" s="261">
        <f>VLOOKUP($A63,'Orch iTunes data'!$A$199:$Z$310,14,FALSE)</f>
        <v>191.18</v>
      </c>
      <c r="E63" s="261">
        <f>VLOOKUP($A63,'Orch iTunes data'!$A$199:$Z$310,20,FALSE)</f>
        <v>0</v>
      </c>
      <c r="F63" s="261">
        <f>VLOOKUP($A63,'Orch iTunes data'!$A$199:$Z$310,26,FALSE)</f>
        <v>0</v>
      </c>
      <c r="G63" s="262">
        <f t="shared" si="13"/>
        <v>583.52</v>
      </c>
      <c r="H63" s="245">
        <f t="shared" si="3"/>
        <v>972.5333333333333</v>
      </c>
      <c r="I63" s="295">
        <f>VLOOKUP($A63,[2]ORCH!$C:$Q,15,FALSE)</f>
        <v>953.06944119400475</v>
      </c>
      <c r="J63" s="264">
        <f t="shared" si="14"/>
        <v>19.46389213932855</v>
      </c>
      <c r="K63" s="265">
        <f t="shared" si="0"/>
        <v>2.0422323178198011E-2</v>
      </c>
      <c r="L63" s="280">
        <v>2234.5599969625482</v>
      </c>
      <c r="M63" s="266">
        <f t="shared" si="4"/>
        <v>3207.0933302958815</v>
      </c>
      <c r="N63" s="293">
        <v>2910.3756106233432</v>
      </c>
      <c r="O63" s="264">
        <f t="shared" si="10"/>
        <v>296.71771967253835</v>
      </c>
      <c r="P63" s="265">
        <f t="shared" si="2"/>
        <v>0.1019516926232719</v>
      </c>
      <c r="Q63" s="274"/>
      <c r="R63" s="235"/>
      <c r="S63" s="169"/>
      <c r="T63" s="274"/>
    </row>
    <row r="64" spans="1:20" s="3" customFormat="1" x14ac:dyDescent="0.2">
      <c r="A64" s="260" t="s">
        <v>179</v>
      </c>
      <c r="B64" s="261">
        <f>VLOOKUP($A64,'Orch iTunes data'!$A$199:$Z$310,2,FALSE)</f>
        <v>126.45</v>
      </c>
      <c r="C64" s="261">
        <f>VLOOKUP($A64,'Orch iTunes data'!$A$199:$Z$310,8,FALSE)</f>
        <v>109.98</v>
      </c>
      <c r="D64" s="261">
        <f>VLOOKUP($A64,'Orch iTunes data'!$A$199:$Z$310,14,FALSE)</f>
        <v>112.78</v>
      </c>
      <c r="E64" s="261">
        <f>VLOOKUP($A64,'Orch iTunes data'!$A$199:$Z$310,20,FALSE)</f>
        <v>0</v>
      </c>
      <c r="F64" s="261">
        <f>VLOOKUP($A64,'Orch iTunes data'!$A$199:$Z$310,26,FALSE)</f>
        <v>0</v>
      </c>
      <c r="G64" s="262">
        <f t="shared" si="13"/>
        <v>349.21000000000004</v>
      </c>
      <c r="H64" s="245">
        <f t="shared" si="3"/>
        <v>582.01666666666677</v>
      </c>
      <c r="I64" s="295">
        <f>VLOOKUP($A64,[2]ORCH!$C:$Q,15,FALSE)</f>
        <v>595.74248254457643</v>
      </c>
      <c r="J64" s="264">
        <f t="shared" si="14"/>
        <v>-13.725815877909668</v>
      </c>
      <c r="K64" s="265">
        <f t="shared" si="0"/>
        <v>-2.3039847383861254E-2</v>
      </c>
      <c r="L64" s="280">
        <v>1268.3000048398949</v>
      </c>
      <c r="M64" s="266">
        <f t="shared" si="4"/>
        <v>1850.3166715065618</v>
      </c>
      <c r="N64" s="293">
        <v>1819.2109792522479</v>
      </c>
      <c r="O64" s="264">
        <f t="shared" si="10"/>
        <v>31.105692254313908</v>
      </c>
      <c r="P64" s="265">
        <f t="shared" si="2"/>
        <v>1.7098452356031465E-2</v>
      </c>
      <c r="Q64" s="274"/>
      <c r="R64" s="235"/>
      <c r="S64" s="169"/>
      <c r="T64" s="274"/>
    </row>
    <row r="65" spans="1:20" s="3" customFormat="1" x14ac:dyDescent="0.2">
      <c r="A65" s="260" t="s">
        <v>180</v>
      </c>
      <c r="B65" s="261">
        <f>VLOOKUP($A65,'Orch iTunes data'!$A$199:$Z$310,2,FALSE)</f>
        <v>934.02</v>
      </c>
      <c r="C65" s="261">
        <f>VLOOKUP($A65,'Orch iTunes data'!$A$199:$Z$310,8,FALSE)</f>
        <v>912.7</v>
      </c>
      <c r="D65" s="261">
        <f>VLOOKUP($A65,'Orch iTunes data'!$A$199:$Z$310,14,FALSE)</f>
        <v>1066.79</v>
      </c>
      <c r="E65" s="261">
        <f>VLOOKUP($A65,'Orch iTunes data'!$A$199:$Z$310,20,FALSE)</f>
        <v>0</v>
      </c>
      <c r="F65" s="261">
        <f>VLOOKUP($A65,'Orch iTunes data'!$A$199:$Z$310,26,FALSE)</f>
        <v>0</v>
      </c>
      <c r="G65" s="262">
        <f t="shared" si="13"/>
        <v>2913.51</v>
      </c>
      <c r="H65" s="245">
        <f t="shared" si="3"/>
        <v>4855.8500000000004</v>
      </c>
      <c r="I65" s="295">
        <f>VLOOKUP($A65,[2]ORCH!$C:$Q,15,FALSE)</f>
        <v>3180.1990360591617</v>
      </c>
      <c r="J65" s="264">
        <f t="shared" si="14"/>
        <v>1675.6509639408387</v>
      </c>
      <c r="K65" s="265">
        <f t="shared" si="0"/>
        <v>0.52690128666200442</v>
      </c>
      <c r="L65" s="280">
        <v>8016.9500306844693</v>
      </c>
      <c r="M65" s="266">
        <f t="shared" si="4"/>
        <v>12872.80003068447</v>
      </c>
      <c r="N65" s="293">
        <v>9711.3319464729375</v>
      </c>
      <c r="O65" s="264">
        <f t="shared" si="10"/>
        <v>3161.4680842115322</v>
      </c>
      <c r="P65" s="265">
        <f t="shared" si="2"/>
        <v>0.32554423035243346</v>
      </c>
      <c r="Q65" s="274"/>
      <c r="R65" s="235"/>
      <c r="S65" s="169"/>
      <c r="T65" s="274"/>
    </row>
    <row r="66" spans="1:20" s="3" customFormat="1" x14ac:dyDescent="0.2">
      <c r="A66" s="260" t="s">
        <v>197</v>
      </c>
      <c r="B66" s="261">
        <f>VLOOKUP($A66,'Orch iTunes data'!$A$199:$Z$310,2,FALSE)</f>
        <v>185.62</v>
      </c>
      <c r="C66" s="261">
        <f>VLOOKUP($A66,'Orch iTunes data'!$A$199:$Z$310,8,FALSE)</f>
        <v>78.08</v>
      </c>
      <c r="D66" s="261">
        <f>VLOOKUP($A66,'Orch iTunes data'!$A$199:$Z$310,14,FALSE)</f>
        <v>206.36</v>
      </c>
      <c r="E66" s="261">
        <f>VLOOKUP($A66,'Orch iTunes data'!$A$199:$Z$310,20,FALSE)</f>
        <v>0</v>
      </c>
      <c r="F66" s="261">
        <f>VLOOKUP($A66,'Orch iTunes data'!$A$199:$Z$310,26,FALSE)</f>
        <v>0</v>
      </c>
      <c r="G66" s="262">
        <f t="shared" si="13"/>
        <v>470.06</v>
      </c>
      <c r="H66" s="245">
        <f t="shared" si="3"/>
        <v>783.43333333333339</v>
      </c>
      <c r="I66" s="295">
        <f>VLOOKUP($A66,[2]ORCH!$C:$Q,15,FALSE)</f>
        <v>1028.5449264888957</v>
      </c>
      <c r="J66" s="264">
        <f t="shared" si="14"/>
        <v>-245.11159315556233</v>
      </c>
      <c r="K66" s="265">
        <f t="shared" si="0"/>
        <v>-0.23830907804123866</v>
      </c>
      <c r="L66" s="280">
        <v>1591.5600027441983</v>
      </c>
      <c r="M66" s="266">
        <f t="shared" si="4"/>
        <v>2374.9933360775317</v>
      </c>
      <c r="N66" s="293">
        <v>3140.8541068460518</v>
      </c>
      <c r="O66" s="264">
        <f t="shared" si="10"/>
        <v>-765.86077076852007</v>
      </c>
      <c r="P66" s="265">
        <f t="shared" si="2"/>
        <v>-0.2438383779428627</v>
      </c>
      <c r="Q66" s="274"/>
      <c r="R66" s="235"/>
      <c r="S66" s="169"/>
      <c r="T66" s="274"/>
    </row>
    <row r="67" spans="1:20" s="155" customFormat="1" x14ac:dyDescent="0.2">
      <c r="A67" s="239" t="s">
        <v>100</v>
      </c>
      <c r="B67" s="248">
        <f>'Orch iTunes data'!B192</f>
        <v>4320.3908040000006</v>
      </c>
      <c r="C67" s="248">
        <f>'Orch iTunes data'!H192</f>
        <v>5444.9732089999989</v>
      </c>
      <c r="D67" s="249">
        <f>'Orch iTunes data'!N192</f>
        <v>4950.2867959999994</v>
      </c>
      <c r="E67" s="249">
        <f>'Orch iTunes data'!T192</f>
        <v>0</v>
      </c>
      <c r="F67" s="249">
        <f>'Orch iTunes data'!Z192</f>
        <v>0</v>
      </c>
      <c r="G67" s="243">
        <f t="shared" si="6"/>
        <v>14715.650808999999</v>
      </c>
      <c r="H67" s="245">
        <f t="shared" si="3"/>
        <v>24526.084681666667</v>
      </c>
      <c r="I67" s="341">
        <f>SUM(I68:I80)</f>
        <v>58459.06601642348</v>
      </c>
      <c r="J67" s="246">
        <f t="shared" si="7"/>
        <v>-33932.981334756812</v>
      </c>
      <c r="K67" s="247">
        <f t="shared" si="0"/>
        <v>-0.58045712405367011</v>
      </c>
      <c r="L67" s="279">
        <v>110957.16255310181</v>
      </c>
      <c r="M67" s="272">
        <f t="shared" si="4"/>
        <v>135483.24723476847</v>
      </c>
      <c r="N67" s="292">
        <v>178515.68060021964</v>
      </c>
      <c r="O67" s="246">
        <f t="shared" si="10"/>
        <v>-43032.433365451172</v>
      </c>
      <c r="P67" s="247">
        <f t="shared" si="2"/>
        <v>-0.24105688206640502</v>
      </c>
      <c r="Q67" s="274"/>
      <c r="R67" s="273">
        <v>1.383876106651786E-2</v>
      </c>
      <c r="S67" s="232">
        <f>R67*$R$129</f>
        <v>67299.17050591037</v>
      </c>
      <c r="T67" s="274"/>
    </row>
    <row r="68" spans="1:20" s="3" customFormat="1" x14ac:dyDescent="0.2">
      <c r="A68" s="260" t="s">
        <v>139</v>
      </c>
      <c r="B68" s="261">
        <f>VLOOKUP($A68,'Orch iTunes data'!$A$199:$Z$310,2,FALSE)</f>
        <v>21.08</v>
      </c>
      <c r="C68" s="261">
        <f>VLOOKUP($A68,'Orch iTunes data'!$A$199:$Z$310,8,FALSE)</f>
        <v>44.64</v>
      </c>
      <c r="D68" s="261">
        <f>VLOOKUP($A68,'Orch iTunes data'!$A$199:$Z$310,14,FALSE)</f>
        <v>14.12</v>
      </c>
      <c r="E68" s="261">
        <f>VLOOKUP($A68,'Orch iTunes data'!$A$199:$Z$310,20,FALSE)</f>
        <v>0</v>
      </c>
      <c r="F68" s="261">
        <f>VLOOKUP($A68,'Orch iTunes data'!$A$199:$Z$310,26,FALSE)</f>
        <v>0</v>
      </c>
      <c r="G68" s="262">
        <f t="shared" ref="G68:G80" si="15">SUM(B68:F68)</f>
        <v>79.84</v>
      </c>
      <c r="H68" s="245">
        <f t="shared" si="3"/>
        <v>133.06666666666666</v>
      </c>
      <c r="I68" s="295">
        <f>VLOOKUP($A68,[2]ORCH!$C:$Q,15,FALSE)</f>
        <v>105.72761946195995</v>
      </c>
      <c r="J68" s="264">
        <f t="shared" ref="J68:J80" si="16">H68-I68</f>
        <v>27.339047204706716</v>
      </c>
      <c r="K68" s="265">
        <f t="shared" si="0"/>
        <v>0.25857999398674736</v>
      </c>
      <c r="L68" s="280">
        <v>155.38999825716019</v>
      </c>
      <c r="M68" s="266">
        <f t="shared" si="4"/>
        <v>288.45666492382685</v>
      </c>
      <c r="N68" s="293">
        <v>322.85904022466491</v>
      </c>
      <c r="O68" s="264">
        <f t="shared" ref="O68:O99" si="17">M68-N68</f>
        <v>-34.40237530083806</v>
      </c>
      <c r="P68" s="265">
        <f t="shared" si="2"/>
        <v>-0.10655540348784659</v>
      </c>
      <c r="Q68" s="274"/>
      <c r="R68" s="235"/>
      <c r="S68" s="169"/>
      <c r="T68" s="274"/>
    </row>
    <row r="69" spans="1:20" s="3" customFormat="1" x14ac:dyDescent="0.2">
      <c r="A69" s="260" t="s">
        <v>141</v>
      </c>
      <c r="B69" s="261">
        <f>VLOOKUP($A69,'Orch iTunes data'!$A$199:$Z$310,2,FALSE)</f>
        <v>1.86</v>
      </c>
      <c r="C69" s="261">
        <f>VLOOKUP($A69,'Orch iTunes data'!$A$199:$Z$310,8,FALSE)</f>
        <v>0.62</v>
      </c>
      <c r="D69" s="261">
        <f>VLOOKUP($A69,'Orch iTunes data'!$A$199:$Z$310,14,FALSE)</f>
        <v>4.96</v>
      </c>
      <c r="E69" s="261">
        <f>VLOOKUP($A69,'Orch iTunes data'!$A$199:$Z$310,20,FALSE)</f>
        <v>0</v>
      </c>
      <c r="F69" s="261">
        <f>VLOOKUP($A69,'Orch iTunes data'!$A$199:$Z$310,26,FALSE)</f>
        <v>0</v>
      </c>
      <c r="G69" s="262">
        <f t="shared" si="15"/>
        <v>7.4399999999999995</v>
      </c>
      <c r="H69" s="245">
        <f t="shared" ref="H69:H125" si="18">IFERROR((((B69+C69+D69+E69+F69))/COUNTIF(B69:F69, "&gt;0")*5),0)</f>
        <v>12.4</v>
      </c>
      <c r="I69" s="295">
        <f>VLOOKUP($A69,[2]ORCH!$C:$Q,15,FALSE)</f>
        <v>38.481419209408244</v>
      </c>
      <c r="J69" s="264">
        <f t="shared" si="16"/>
        <v>-26.081419209408246</v>
      </c>
      <c r="K69" s="265">
        <f t="shared" si="0"/>
        <v>-0.6777665622849911</v>
      </c>
      <c r="L69" s="280">
        <v>114.49333139260627</v>
      </c>
      <c r="M69" s="266">
        <f t="shared" ref="M69:M125" si="19">L69+H69</f>
        <v>126.89333139260627</v>
      </c>
      <c r="N69" s="293">
        <v>117.51020344218213</v>
      </c>
      <c r="O69" s="264">
        <f t="shared" si="17"/>
        <v>9.3831279504241394</v>
      </c>
      <c r="P69" s="265">
        <f t="shared" si="2"/>
        <v>7.9849474135587434E-2</v>
      </c>
      <c r="Q69" s="274"/>
      <c r="R69" s="235"/>
      <c r="S69" s="169"/>
      <c r="T69" s="274"/>
    </row>
    <row r="70" spans="1:20" s="3" customFormat="1" x14ac:dyDescent="0.2">
      <c r="A70" s="260" t="s">
        <v>158</v>
      </c>
      <c r="B70" s="261">
        <f>VLOOKUP($A70,'Orch iTunes data'!$A$199:$Z$310,2,FALSE)</f>
        <v>839.01732500000003</v>
      </c>
      <c r="C70" s="261">
        <f>VLOOKUP($A70,'Orch iTunes data'!$A$199:$Z$310,8,FALSE)</f>
        <v>803.74252899999999</v>
      </c>
      <c r="D70" s="261">
        <f>VLOOKUP($A70,'Orch iTunes data'!$A$199:$Z$310,14,FALSE)</f>
        <v>630.60699899999997</v>
      </c>
      <c r="E70" s="261">
        <f>VLOOKUP($A70,'Orch iTunes data'!$A$199:$Z$310,20,FALSE)</f>
        <v>0</v>
      </c>
      <c r="F70" s="261">
        <f>VLOOKUP($A70,'Orch iTunes data'!$A$199:$Z$310,26,FALSE)</f>
        <v>0</v>
      </c>
      <c r="G70" s="262">
        <f t="shared" si="15"/>
        <v>2273.366853</v>
      </c>
      <c r="H70" s="245">
        <f t="shared" si="18"/>
        <v>3788.944755</v>
      </c>
      <c r="I70" s="295">
        <f>VLOOKUP($A70,[2]ORCH!$C:$Q,15,FALSE)</f>
        <v>4128.6201182819759</v>
      </c>
      <c r="J70" s="264">
        <f t="shared" si="16"/>
        <v>-339.67536328197593</v>
      </c>
      <c r="K70" s="265">
        <f t="shared" si="0"/>
        <v>-8.2273339166724677E-2</v>
      </c>
      <c r="L70" s="280">
        <v>7021.638428092001</v>
      </c>
      <c r="M70" s="266">
        <f t="shared" si="19"/>
        <v>10810.583183092001</v>
      </c>
      <c r="N70" s="293">
        <v>12607.512924476197</v>
      </c>
      <c r="O70" s="264">
        <f t="shared" si="17"/>
        <v>-1796.9297413841959</v>
      </c>
      <c r="P70" s="265">
        <f t="shared" si="2"/>
        <v>-0.14252848695444448</v>
      </c>
      <c r="Q70" s="274"/>
      <c r="R70" s="235"/>
      <c r="S70" s="169"/>
      <c r="T70" s="274"/>
    </row>
    <row r="71" spans="1:20" s="3" customFormat="1" x14ac:dyDescent="0.2">
      <c r="A71" s="260" t="s">
        <v>203</v>
      </c>
      <c r="B71" s="261">
        <f>VLOOKUP($A71,'Orch iTunes data'!$A$199:$Z$310,2,FALSE)</f>
        <v>0</v>
      </c>
      <c r="C71" s="261">
        <f>VLOOKUP($A71,'Orch iTunes data'!$A$199:$Z$310,8,FALSE)</f>
        <v>6.2</v>
      </c>
      <c r="D71" s="261">
        <f>VLOOKUP($A71,'Orch iTunes data'!$A$199:$Z$310,14,FALSE)</f>
        <v>0</v>
      </c>
      <c r="E71" s="261">
        <f>VLOOKUP($A71,'Orch iTunes data'!$A$199:$Z$310,20,FALSE)</f>
        <v>0</v>
      </c>
      <c r="F71" s="261">
        <f>VLOOKUP($A71,'Orch iTunes data'!$A$199:$Z$310,26,FALSE)</f>
        <v>0</v>
      </c>
      <c r="G71" s="262">
        <f t="shared" si="15"/>
        <v>6.2</v>
      </c>
      <c r="H71" s="245">
        <f t="shared" si="18"/>
        <v>31</v>
      </c>
      <c r="I71" s="295">
        <f>VLOOKUP($A71,[2]ORCH!$C:$Q,15,FALSE)</f>
        <v>27.758615179285759</v>
      </c>
      <c r="J71" s="264">
        <f t="shared" si="16"/>
        <v>3.2413848207142415</v>
      </c>
      <c r="K71" s="265">
        <f t="shared" si="0"/>
        <v>0.11677040802572355</v>
      </c>
      <c r="L71" s="280">
        <v>74.846666375795948</v>
      </c>
      <c r="M71" s="266">
        <f t="shared" si="19"/>
        <v>105.84666637579595</v>
      </c>
      <c r="N71" s="293">
        <v>84.766117882513399</v>
      </c>
      <c r="O71" s="264">
        <f t="shared" si="17"/>
        <v>21.080548493282549</v>
      </c>
      <c r="P71" s="265">
        <f t="shared" si="2"/>
        <v>0.24869073894006069</v>
      </c>
      <c r="Q71" s="274"/>
      <c r="R71" s="235"/>
      <c r="S71" s="169"/>
      <c r="T71" s="274"/>
    </row>
    <row r="72" spans="1:20" s="3" customFormat="1" x14ac:dyDescent="0.2">
      <c r="A72" s="260" t="s">
        <v>165</v>
      </c>
      <c r="B72" s="261">
        <f>VLOOKUP($A72,'Orch iTunes data'!$A$199:$Z$310,2,FALSE)</f>
        <v>9.92</v>
      </c>
      <c r="C72" s="261">
        <f>VLOOKUP($A72,'Orch iTunes data'!$A$199:$Z$310,8,FALSE)</f>
        <v>11.78</v>
      </c>
      <c r="D72" s="261">
        <f>VLOOKUP($A72,'Orch iTunes data'!$A$199:$Z$310,14,FALSE)</f>
        <v>31.62</v>
      </c>
      <c r="E72" s="261">
        <f>VLOOKUP($A72,'Orch iTunes data'!$A$199:$Z$310,20,FALSE)</f>
        <v>0</v>
      </c>
      <c r="F72" s="261">
        <f>VLOOKUP($A72,'Orch iTunes data'!$A$199:$Z$310,26,FALSE)</f>
        <v>0</v>
      </c>
      <c r="G72" s="262">
        <f t="shared" si="15"/>
        <v>53.32</v>
      </c>
      <c r="H72" s="245">
        <f t="shared" si="18"/>
        <v>88.866666666666674</v>
      </c>
      <c r="I72" s="295">
        <f>VLOOKUP($A72,[2]ORCH!$C:$Q,15,FALSE)</f>
        <v>144.46579484410523</v>
      </c>
      <c r="J72" s="264">
        <f t="shared" si="16"/>
        <v>-55.599128177438558</v>
      </c>
      <c r="K72" s="265">
        <f t="shared" si="0"/>
        <v>-0.38486015487220515</v>
      </c>
      <c r="L72" s="280">
        <v>370.37999844551098</v>
      </c>
      <c r="M72" s="266">
        <f t="shared" si="19"/>
        <v>459.24666511217765</v>
      </c>
      <c r="N72" s="293">
        <v>441.15329661274234</v>
      </c>
      <c r="O72" s="264">
        <f t="shared" si="17"/>
        <v>18.093368499435314</v>
      </c>
      <c r="P72" s="265">
        <f t="shared" si="2"/>
        <v>4.1013789624512811E-2</v>
      </c>
      <c r="Q72" s="274"/>
      <c r="R72" s="235"/>
      <c r="S72" s="169"/>
      <c r="T72" s="274"/>
    </row>
    <row r="73" spans="1:20" s="3" customFormat="1" x14ac:dyDescent="0.2">
      <c r="A73" s="260" t="s">
        <v>166</v>
      </c>
      <c r="B73" s="261">
        <f>VLOOKUP($A73,'Orch iTunes data'!$A$199:$Z$310,2,FALSE)</f>
        <v>349.74</v>
      </c>
      <c r="C73" s="261">
        <f>VLOOKUP($A73,'Orch iTunes data'!$A$199:$Z$310,8,FALSE)</f>
        <v>432.36</v>
      </c>
      <c r="D73" s="261">
        <f>VLOOKUP($A73,'Orch iTunes data'!$A$199:$Z$310,14,FALSE)</f>
        <v>503.3</v>
      </c>
      <c r="E73" s="261">
        <f>VLOOKUP($A73,'Orch iTunes data'!$A$199:$Z$310,20,FALSE)</f>
        <v>0</v>
      </c>
      <c r="F73" s="261">
        <f>VLOOKUP($A73,'Orch iTunes data'!$A$199:$Z$310,26,FALSE)</f>
        <v>0</v>
      </c>
      <c r="G73" s="262">
        <f t="shared" si="15"/>
        <v>1285.4000000000001</v>
      </c>
      <c r="H73" s="245">
        <f t="shared" si="18"/>
        <v>2142.3333333333335</v>
      </c>
      <c r="I73" s="295">
        <f>VLOOKUP($A73,[2]ORCH!$C:$Q,15,FALSE)</f>
        <v>2325.1121885472494</v>
      </c>
      <c r="J73" s="264">
        <f t="shared" si="16"/>
        <v>-182.7788552139159</v>
      </c>
      <c r="K73" s="265">
        <f t="shared" si="0"/>
        <v>-7.8610768166037501E-2</v>
      </c>
      <c r="L73" s="280">
        <v>4311.3999602198619</v>
      </c>
      <c r="M73" s="266">
        <f t="shared" si="19"/>
        <v>6453.7332935531958</v>
      </c>
      <c r="N73" s="293">
        <v>7100.1644927712159</v>
      </c>
      <c r="O73" s="264">
        <f t="shared" si="17"/>
        <v>-646.43119921802008</v>
      </c>
      <c r="P73" s="265">
        <f t="shared" si="2"/>
        <v>-9.1044538457688048E-2</v>
      </c>
      <c r="Q73" s="274"/>
      <c r="R73" s="235"/>
      <c r="S73" s="169"/>
      <c r="T73" s="274"/>
    </row>
    <row r="74" spans="1:20" s="3" customFormat="1" x14ac:dyDescent="0.2">
      <c r="A74" s="260" t="s">
        <v>170</v>
      </c>
      <c r="B74" s="261">
        <f>VLOOKUP($A74,'Orch iTunes data'!$A$199:$Z$310,2,FALSE)</f>
        <v>3.1</v>
      </c>
      <c r="C74" s="261">
        <f>VLOOKUP($A74,'Orch iTunes data'!$A$199:$Z$310,8,FALSE)</f>
        <v>3.1</v>
      </c>
      <c r="D74" s="261">
        <f>VLOOKUP($A74,'Orch iTunes data'!$A$199:$Z$310,14,FALSE)</f>
        <v>6.2</v>
      </c>
      <c r="E74" s="261">
        <f>VLOOKUP($A74,'Orch iTunes data'!$A$199:$Z$310,20,FALSE)</f>
        <v>0</v>
      </c>
      <c r="F74" s="261">
        <f>VLOOKUP($A74,'Orch iTunes data'!$A$199:$Z$310,26,FALSE)</f>
        <v>0</v>
      </c>
      <c r="G74" s="262">
        <f t="shared" si="15"/>
        <v>12.4</v>
      </c>
      <c r="H74" s="245">
        <f t="shared" si="18"/>
        <v>20.666666666666668</v>
      </c>
      <c r="I74" s="295">
        <f>VLOOKUP($A74,[2]ORCH!$C:$Q,15,FALSE)</f>
        <v>34.026689563500561</v>
      </c>
      <c r="J74" s="264">
        <f t="shared" si="16"/>
        <v>-13.360022896833893</v>
      </c>
      <c r="K74" s="265">
        <f t="shared" si="0"/>
        <v>-0.39263363754212521</v>
      </c>
      <c r="L74" s="280">
        <v>94.93999934196485</v>
      </c>
      <c r="M74" s="266">
        <f t="shared" si="19"/>
        <v>115.60666600863152</v>
      </c>
      <c r="N74" s="293">
        <v>103.90685414464511</v>
      </c>
      <c r="O74" s="264">
        <f t="shared" si="17"/>
        <v>11.699811863986412</v>
      </c>
      <c r="P74" s="265">
        <f t="shared" si="2"/>
        <v>0.11259903843975019</v>
      </c>
      <c r="Q74" s="274"/>
      <c r="R74" s="235"/>
      <c r="S74" s="169"/>
      <c r="T74" s="274"/>
    </row>
    <row r="75" spans="1:20" s="3" customFormat="1" x14ac:dyDescent="0.2">
      <c r="A75" s="260" t="s">
        <v>181</v>
      </c>
      <c r="B75" s="261">
        <f>VLOOKUP($A75,'Orch iTunes data'!$A$199:$Z$310,2,FALSE)</f>
        <v>1083.03</v>
      </c>
      <c r="C75" s="261">
        <f>VLOOKUP($A75,'Orch iTunes data'!$A$199:$Z$310,8,FALSE)</f>
        <v>1712.93</v>
      </c>
      <c r="D75" s="261">
        <f>VLOOKUP($A75,'Orch iTunes data'!$A$199:$Z$310,14,FALSE)</f>
        <v>1427.58</v>
      </c>
      <c r="E75" s="261">
        <f>VLOOKUP($A75,'Orch iTunes data'!$A$199:$Z$310,20,FALSE)</f>
        <v>0</v>
      </c>
      <c r="F75" s="261">
        <f>VLOOKUP($A75,'Orch iTunes data'!$A$199:$Z$310,26,FALSE)</f>
        <v>0</v>
      </c>
      <c r="G75" s="262">
        <f t="shared" si="15"/>
        <v>4223.54</v>
      </c>
      <c r="H75" s="245">
        <f t="shared" si="18"/>
        <v>7039.2333333333327</v>
      </c>
      <c r="I75" s="295">
        <f>VLOOKUP($A75,[2]ORCH!$C:$Q,15,FALSE)</f>
        <v>6745.7399096111412</v>
      </c>
      <c r="J75" s="264">
        <f t="shared" si="16"/>
        <v>293.49342372219144</v>
      </c>
      <c r="K75" s="265">
        <f t="shared" si="0"/>
        <v>4.3507966161581507E-2</v>
      </c>
      <c r="L75" s="280">
        <v>13548.779977619653</v>
      </c>
      <c r="M75" s="266">
        <f t="shared" si="19"/>
        <v>20588.013310952985</v>
      </c>
      <c r="N75" s="293">
        <v>20599.377191178246</v>
      </c>
      <c r="O75" s="264">
        <f t="shared" si="17"/>
        <v>-11.3638802252608</v>
      </c>
      <c r="P75" s="265">
        <f t="shared" si="2"/>
        <v>-5.5166134974835165E-4</v>
      </c>
      <c r="Q75" s="274"/>
      <c r="R75" s="235"/>
      <c r="S75" s="169"/>
      <c r="T75" s="274"/>
    </row>
    <row r="76" spans="1:20" s="3" customFormat="1" x14ac:dyDescent="0.2">
      <c r="A76" s="260" t="s">
        <v>184</v>
      </c>
      <c r="B76" s="261">
        <f>VLOOKUP($A76,'Orch iTunes data'!$A$199:$Z$310,2,FALSE)</f>
        <v>878.41384700000003</v>
      </c>
      <c r="C76" s="261">
        <f>VLOOKUP($A76,'Orch iTunes data'!$A$199:$Z$310,8,FALSE)</f>
        <v>1159.8601200000001</v>
      </c>
      <c r="D76" s="261">
        <f>VLOOKUP($A76,'Orch iTunes data'!$A$199:$Z$310,14,FALSE)</f>
        <v>1132.0061969999999</v>
      </c>
      <c r="E76" s="261">
        <f>VLOOKUP($A76,'Orch iTunes data'!$A$199:$Z$310,20,FALSE)</f>
        <v>0</v>
      </c>
      <c r="F76" s="261">
        <f>VLOOKUP($A76,'Orch iTunes data'!$A$199:$Z$310,26,FALSE)</f>
        <v>0</v>
      </c>
      <c r="G76" s="262">
        <f t="shared" si="15"/>
        <v>3170.2801639999998</v>
      </c>
      <c r="H76" s="245">
        <f t="shared" si="18"/>
        <v>5283.8002733333324</v>
      </c>
      <c r="I76" s="295">
        <f>VLOOKUP($A76,[2]ORCH!$C:$Q,15,FALSE)</f>
        <v>6214.8554323737699</v>
      </c>
      <c r="J76" s="264">
        <f t="shared" si="16"/>
        <v>-931.0551590404375</v>
      </c>
      <c r="K76" s="265">
        <f t="shared" si="0"/>
        <v>-0.14981123361140197</v>
      </c>
      <c r="L76" s="280">
        <v>11039.276337295783</v>
      </c>
      <c r="M76" s="266">
        <f t="shared" si="19"/>
        <v>16323.076610629116</v>
      </c>
      <c r="N76" s="293">
        <v>18978.22224923141</v>
      </c>
      <c r="O76" s="264">
        <f t="shared" si="17"/>
        <v>-2655.1456386022946</v>
      </c>
      <c r="P76" s="265">
        <f t="shared" si="2"/>
        <v>-0.13990486588962905</v>
      </c>
      <c r="Q76" s="274"/>
      <c r="R76" s="235"/>
      <c r="S76" s="169"/>
      <c r="T76" s="274"/>
    </row>
    <row r="77" spans="1:20" s="3" customFormat="1" x14ac:dyDescent="0.2">
      <c r="A77" s="260" t="s">
        <v>186</v>
      </c>
      <c r="B77" s="261">
        <f>VLOOKUP($A77,'Orch iTunes data'!$A$199:$Z$310,2,FALSE)</f>
        <v>71.3</v>
      </c>
      <c r="C77" s="261">
        <f>VLOOKUP($A77,'Orch iTunes data'!$A$199:$Z$310,8,FALSE)</f>
        <v>96.1</v>
      </c>
      <c r="D77" s="261">
        <f>VLOOKUP($A77,'Orch iTunes data'!$A$199:$Z$310,14,FALSE)</f>
        <v>40.299999999999997</v>
      </c>
      <c r="E77" s="261">
        <f>VLOOKUP($A77,'Orch iTunes data'!$A$199:$Z$310,20,FALSE)</f>
        <v>0</v>
      </c>
      <c r="F77" s="261">
        <f>VLOOKUP($A77,'Orch iTunes data'!$A$199:$Z$310,26,FALSE)</f>
        <v>0</v>
      </c>
      <c r="G77" s="262">
        <f t="shared" si="15"/>
        <v>207.7</v>
      </c>
      <c r="H77" s="245">
        <f t="shared" si="18"/>
        <v>346.16666666666669</v>
      </c>
      <c r="I77" s="295">
        <f>VLOOKUP($A77,[2]ORCH!$C:$Q,15,FALSE)</f>
        <v>252.02441041407127</v>
      </c>
      <c r="J77" s="264">
        <f t="shared" si="16"/>
        <v>94.142256252595416</v>
      </c>
      <c r="K77" s="265">
        <f t="shared" si="0"/>
        <v>0.37354419795257726</v>
      </c>
      <c r="L77" s="280">
        <v>464.61999237537412</v>
      </c>
      <c r="M77" s="266">
        <f t="shared" si="19"/>
        <v>810.78665904204081</v>
      </c>
      <c r="N77" s="293">
        <v>769.60362555736776</v>
      </c>
      <c r="O77" s="264">
        <f t="shared" si="17"/>
        <v>41.183033484673047</v>
      </c>
      <c r="P77" s="265">
        <f t="shared" si="2"/>
        <v>5.3512005553309573E-2</v>
      </c>
      <c r="Q77" s="274"/>
      <c r="R77" s="235"/>
      <c r="S77" s="169"/>
      <c r="T77" s="274"/>
    </row>
    <row r="78" spans="1:20" s="3" customFormat="1" x14ac:dyDescent="0.2">
      <c r="A78" s="260" t="s">
        <v>188</v>
      </c>
      <c r="B78" s="261">
        <f>VLOOKUP($A78,'Orch iTunes data'!$A$199:$Z$310,2,FALSE)</f>
        <v>439.72963199999998</v>
      </c>
      <c r="C78" s="261">
        <f>VLOOKUP($A78,'Orch iTunes data'!$A$199:$Z$310,8,FALSE)</f>
        <v>517.25055999999995</v>
      </c>
      <c r="D78" s="261">
        <f>VLOOKUP($A78,'Orch iTunes data'!$A$199:$Z$310,14,FALSE)</f>
        <v>519.08360000000005</v>
      </c>
      <c r="E78" s="261">
        <f>VLOOKUP($A78,'Orch iTunes data'!$A$199:$Z$310,20,FALSE)</f>
        <v>0</v>
      </c>
      <c r="F78" s="261">
        <f>VLOOKUP($A78,'Orch iTunes data'!$A$199:$Z$310,26,FALSE)</f>
        <v>0</v>
      </c>
      <c r="G78" s="262">
        <f t="shared" si="15"/>
        <v>1476.0637919999999</v>
      </c>
      <c r="H78" s="245">
        <f t="shared" si="18"/>
        <v>2460.1063199999999</v>
      </c>
      <c r="I78" s="295">
        <f>VLOOKUP($A78,[2]ORCH!$C:$Q,15,FALSE)</f>
        <v>2577.2606337495072</v>
      </c>
      <c r="J78" s="264">
        <f t="shared" si="16"/>
        <v>-117.15431374950731</v>
      </c>
      <c r="K78" s="265">
        <f t="shared" si="0"/>
        <v>-4.5456913521030387E-2</v>
      </c>
      <c r="L78" s="280">
        <v>4413.367230296134</v>
      </c>
      <c r="M78" s="266">
        <f t="shared" si="19"/>
        <v>6873.4735502961339</v>
      </c>
      <c r="N78" s="293">
        <v>7870.1468817290297</v>
      </c>
      <c r="O78" s="264">
        <f t="shared" si="17"/>
        <v>-996.67333143289579</v>
      </c>
      <c r="P78" s="265">
        <f t="shared" si="2"/>
        <v>-0.12663973702279008</v>
      </c>
      <c r="Q78" s="274"/>
      <c r="R78" s="235"/>
      <c r="S78" s="169"/>
      <c r="T78" s="274"/>
    </row>
    <row r="79" spans="1:20" s="3" customFormat="1" x14ac:dyDescent="0.2">
      <c r="A79" s="260" t="s">
        <v>190</v>
      </c>
      <c r="B79" s="261">
        <f>VLOOKUP($A79,'Orch iTunes data'!$A$199:$Z$310,2,FALSE)</f>
        <v>602.12</v>
      </c>
      <c r="C79" s="261">
        <f>VLOOKUP($A79,'Orch iTunes data'!$A$199:$Z$310,8,FALSE)</f>
        <v>561.53</v>
      </c>
      <c r="D79" s="261">
        <f>VLOOKUP($A79,'Orch iTunes data'!$A$199:$Z$310,14,FALSE)</f>
        <v>550.61</v>
      </c>
      <c r="E79" s="261">
        <f>VLOOKUP($A79,'Orch iTunes data'!$A$199:$Z$310,20,FALSE)</f>
        <v>0</v>
      </c>
      <c r="F79" s="261">
        <f>VLOOKUP($A79,'Orch iTunes data'!$A$199:$Z$310,26,FALSE)</f>
        <v>0</v>
      </c>
      <c r="G79" s="262">
        <f t="shared" si="15"/>
        <v>1714.2600000000002</v>
      </c>
      <c r="H79" s="245">
        <f t="shared" si="18"/>
        <v>2857.1000000000004</v>
      </c>
      <c r="I79" s="295">
        <f>VLOOKUP($A79,[2]ORCH!$C:$Q,15,FALSE)</f>
        <v>35534.529585654498</v>
      </c>
      <c r="J79" s="264">
        <f t="shared" si="16"/>
        <v>-32677.4295856545</v>
      </c>
      <c r="K79" s="265">
        <f t="shared" si="0"/>
        <v>-0.91959651546496268</v>
      </c>
      <c r="L79" s="280">
        <v>68621.820643305779</v>
      </c>
      <c r="M79" s="266">
        <f t="shared" si="19"/>
        <v>71478.920643305784</v>
      </c>
      <c r="N79" s="293">
        <v>108511.32537782285</v>
      </c>
      <c r="O79" s="264">
        <f t="shared" si="17"/>
        <v>-37032.404734517069</v>
      </c>
      <c r="P79" s="265">
        <f t="shared" si="2"/>
        <v>-0.34127686308848287</v>
      </c>
      <c r="Q79" s="274"/>
      <c r="R79" s="235"/>
      <c r="S79" s="169"/>
      <c r="T79" s="274"/>
    </row>
    <row r="80" spans="1:20" s="3" customFormat="1" x14ac:dyDescent="0.2">
      <c r="A80" s="260" t="s">
        <v>198</v>
      </c>
      <c r="B80" s="261">
        <f>VLOOKUP($A80,'Orch iTunes data'!$A$199:$Z$310,2,FALSE)</f>
        <v>21.08</v>
      </c>
      <c r="C80" s="261">
        <f>VLOOKUP($A80,'Orch iTunes data'!$A$199:$Z$310,8,FALSE)</f>
        <v>94.86</v>
      </c>
      <c r="D80" s="261">
        <f>VLOOKUP($A80,'Orch iTunes data'!$A$199:$Z$310,14,FALSE)</f>
        <v>89.9</v>
      </c>
      <c r="E80" s="261">
        <f>VLOOKUP($A80,'Orch iTunes data'!$A$199:$Z$310,20,FALSE)</f>
        <v>0</v>
      </c>
      <c r="F80" s="261">
        <f>VLOOKUP($A80,'Orch iTunes data'!$A$199:$Z$310,26,FALSE)</f>
        <v>0</v>
      </c>
      <c r="G80" s="262">
        <f t="shared" si="15"/>
        <v>205.84</v>
      </c>
      <c r="H80" s="245">
        <f t="shared" si="18"/>
        <v>343.06666666666666</v>
      </c>
      <c r="I80" s="295">
        <f>VLOOKUP($A80,[2]ORCH!$C:$Q,15,FALSE)</f>
        <v>330.46359953300089</v>
      </c>
      <c r="J80" s="264">
        <f t="shared" si="16"/>
        <v>12.603067133665775</v>
      </c>
      <c r="K80" s="265">
        <f t="shared" si="0"/>
        <v>3.8137535121798495E-2</v>
      </c>
      <c r="L80" s="280">
        <v>767.55998992920036</v>
      </c>
      <c r="M80" s="266">
        <f t="shared" si="19"/>
        <v>1110.626656595867</v>
      </c>
      <c r="N80" s="293">
        <v>1009.1323451465787</v>
      </c>
      <c r="O80" s="264">
        <f t="shared" si="17"/>
        <v>101.49431144928826</v>
      </c>
      <c r="P80" s="265">
        <f t="shared" si="2"/>
        <v>0.10057581836260138</v>
      </c>
      <c r="Q80" s="274"/>
      <c r="R80" s="235"/>
      <c r="S80" s="169"/>
      <c r="T80" s="274"/>
    </row>
    <row r="81" spans="1:20" s="155" customFormat="1" x14ac:dyDescent="0.2">
      <c r="A81" s="239" t="s">
        <v>26</v>
      </c>
      <c r="B81" s="248">
        <f>'Orch iTunes data'!B193</f>
        <v>10335.719720999999</v>
      </c>
      <c r="C81" s="248">
        <f>'Orch iTunes data'!H193</f>
        <v>10204.949307000001</v>
      </c>
      <c r="D81" s="249">
        <f>'Orch iTunes data'!N193</f>
        <v>9785.3473860000013</v>
      </c>
      <c r="E81" s="249">
        <f>'Orch iTunes data'!T193</f>
        <v>0</v>
      </c>
      <c r="F81" s="249">
        <f>'Orch iTunes data'!Z193</f>
        <v>0</v>
      </c>
      <c r="G81" s="243">
        <f t="shared" si="6"/>
        <v>30326.016414000002</v>
      </c>
      <c r="H81" s="245">
        <f t="shared" si="18"/>
        <v>50543.360690000001</v>
      </c>
      <c r="I81" s="341">
        <f>SUM(I82:I125)</f>
        <v>40095.045174049774</v>
      </c>
      <c r="J81" s="246">
        <f t="shared" si="7"/>
        <v>10448.315515950228</v>
      </c>
      <c r="K81" s="247">
        <f t="shared" si="0"/>
        <v>0.26058869545089236</v>
      </c>
      <c r="L81" s="279">
        <v>102222.53019978106</v>
      </c>
      <c r="M81" s="272">
        <f t="shared" si="19"/>
        <v>152765.89088978106</v>
      </c>
      <c r="N81" s="292">
        <v>122437.71181584042</v>
      </c>
      <c r="O81" s="246">
        <f t="shared" si="17"/>
        <v>30328.179073940642</v>
      </c>
      <c r="P81" s="247">
        <f t="shared" si="2"/>
        <v>0.24770292276906897</v>
      </c>
      <c r="Q81" s="274"/>
      <c r="R81" s="273">
        <v>4.0311605306561908E-2</v>
      </c>
      <c r="S81" s="232">
        <f>R81*$R$129</f>
        <v>196039.05189584332</v>
      </c>
      <c r="T81" s="274"/>
    </row>
    <row r="82" spans="1:20" s="3" customFormat="1" x14ac:dyDescent="0.2">
      <c r="A82" s="260" t="s">
        <v>126</v>
      </c>
      <c r="B82" s="261">
        <f>VLOOKUP($A82,'Orch iTunes data'!$A$199:$Z$310,2,FALSE)</f>
        <v>0.61</v>
      </c>
      <c r="C82" s="261">
        <f>VLOOKUP($A82,'Orch iTunes data'!$A$199:$Z$310,8,FALSE)</f>
        <v>3.05</v>
      </c>
      <c r="D82" s="261">
        <f>VLOOKUP($A82,'Orch iTunes data'!$A$199:$Z$310,14,FALSE)</f>
        <v>0</v>
      </c>
      <c r="E82" s="261">
        <f>VLOOKUP($A82,'Orch iTunes data'!$A$199:$Z$310,20,FALSE)</f>
        <v>0</v>
      </c>
      <c r="F82" s="261">
        <f>VLOOKUP($A82,'Orch iTunes data'!$A$199:$Z$310,26,FALSE)</f>
        <v>0</v>
      </c>
      <c r="G82" s="262">
        <f t="shared" ref="G82:G125" si="20">SUM(B82:F82)</f>
        <v>3.6599999999999997</v>
      </c>
      <c r="H82" s="245">
        <f t="shared" si="18"/>
        <v>9.1499999999999986</v>
      </c>
      <c r="I82" s="295">
        <f>VLOOKUP($A82,[2]ORCH!$C:$Q,15,FALSE)</f>
        <v>5.1833003915788796</v>
      </c>
      <c r="J82" s="264">
        <f t="shared" ref="J82:J125" si="21">H82-I82</f>
        <v>3.966699608421119</v>
      </c>
      <c r="K82" s="265">
        <f t="shared" ref="K82:K125" si="22">J82/I82</f>
        <v>0.76528453084943182</v>
      </c>
      <c r="L82" s="280">
        <v>35.379999637603767</v>
      </c>
      <c r="M82" s="266">
        <f t="shared" si="19"/>
        <v>44.529999637603765</v>
      </c>
      <c r="N82" s="293">
        <v>15.828176195940845</v>
      </c>
      <c r="O82" s="264">
        <f t="shared" si="17"/>
        <v>28.701823441662921</v>
      </c>
      <c r="P82" s="265">
        <f t="shared" ref="P82:P125" si="23">O82/N82</f>
        <v>1.8133373729453137</v>
      </c>
      <c r="Q82" s="274"/>
      <c r="R82" s="235"/>
      <c r="S82" s="169"/>
      <c r="T82" s="274"/>
    </row>
    <row r="83" spans="1:20" s="3" customFormat="1" x14ac:dyDescent="0.2">
      <c r="A83" s="260" t="s">
        <v>127</v>
      </c>
      <c r="B83" s="261">
        <f>VLOOKUP($A83,'Orch iTunes data'!$A$199:$Z$310,2,FALSE)</f>
        <v>9.15</v>
      </c>
      <c r="C83" s="261">
        <f>VLOOKUP($A83,'Orch iTunes data'!$A$199:$Z$310,8,FALSE)</f>
        <v>20.74</v>
      </c>
      <c r="D83" s="261">
        <f>VLOOKUP($A83,'Orch iTunes data'!$A$199:$Z$310,14,FALSE)</f>
        <v>2.44</v>
      </c>
      <c r="E83" s="261">
        <f>VLOOKUP($A83,'Orch iTunes data'!$A$199:$Z$310,20,FALSE)</f>
        <v>0</v>
      </c>
      <c r="F83" s="261">
        <f>VLOOKUP($A83,'Orch iTunes data'!$A$199:$Z$310,26,FALSE)</f>
        <v>0</v>
      </c>
      <c r="G83" s="262">
        <f t="shared" si="20"/>
        <v>32.33</v>
      </c>
      <c r="H83" s="245">
        <f t="shared" si="18"/>
        <v>53.883333333333326</v>
      </c>
      <c r="I83" s="295">
        <f>VLOOKUP($A83,[2]ORCH!$C:$Q,15,FALSE)</f>
        <v>22.460968177556914</v>
      </c>
      <c r="J83" s="264">
        <f t="shared" si="21"/>
        <v>31.422365155776411</v>
      </c>
      <c r="K83" s="265">
        <f t="shared" si="22"/>
        <v>1.3989764335792862</v>
      </c>
      <c r="L83" s="280">
        <v>56.323333779970731</v>
      </c>
      <c r="M83" s="266">
        <f t="shared" si="19"/>
        <v>110.20666711330406</v>
      </c>
      <c r="N83" s="293">
        <v>68.588762947905821</v>
      </c>
      <c r="O83" s="264">
        <f t="shared" si="17"/>
        <v>41.617904165398244</v>
      </c>
      <c r="P83" s="265">
        <f t="shared" si="23"/>
        <v>0.60677438076857659</v>
      </c>
      <c r="Q83" s="274"/>
      <c r="R83" s="235"/>
      <c r="S83" s="169"/>
      <c r="T83" s="274"/>
    </row>
    <row r="84" spans="1:20" s="3" customFormat="1" x14ac:dyDescent="0.2">
      <c r="A84" s="260" t="s">
        <v>129</v>
      </c>
      <c r="B84" s="261">
        <f>VLOOKUP($A84,'Orch iTunes data'!$A$199:$Z$310,2,FALSE)</f>
        <v>24.18</v>
      </c>
      <c r="C84" s="261">
        <f>VLOOKUP($A84,'Orch iTunes data'!$A$199:$Z$310,8,FALSE)</f>
        <v>24.6</v>
      </c>
      <c r="D84" s="261">
        <f>VLOOKUP($A84,'Orch iTunes data'!$A$199:$Z$310,14,FALSE)</f>
        <v>14.58</v>
      </c>
      <c r="E84" s="261">
        <f>VLOOKUP($A84,'Orch iTunes data'!$A$199:$Z$310,20,FALSE)</f>
        <v>0</v>
      </c>
      <c r="F84" s="261">
        <f>VLOOKUP($A84,'Orch iTunes data'!$A$199:$Z$310,26,FALSE)</f>
        <v>0</v>
      </c>
      <c r="G84" s="262">
        <f t="shared" si="20"/>
        <v>63.36</v>
      </c>
      <c r="H84" s="245">
        <f t="shared" si="18"/>
        <v>105.60000000000001</v>
      </c>
      <c r="I84" s="295">
        <f>VLOOKUP($A84,[2]ORCH!$C:$Q,15,FALSE)</f>
        <v>75.928146926885987</v>
      </c>
      <c r="J84" s="264">
        <f t="shared" si="21"/>
        <v>29.671853073114022</v>
      </c>
      <c r="K84" s="265">
        <f t="shared" si="22"/>
        <v>0.39078858465604521</v>
      </c>
      <c r="L84" s="280">
        <v>183.72000253200537</v>
      </c>
      <c r="M84" s="266">
        <f t="shared" si="19"/>
        <v>289.32000253200539</v>
      </c>
      <c r="N84" s="293">
        <v>231.86078309151512</v>
      </c>
      <c r="O84" s="264">
        <f t="shared" si="17"/>
        <v>57.459219440490273</v>
      </c>
      <c r="P84" s="265">
        <f t="shared" si="23"/>
        <v>0.24781775802858047</v>
      </c>
      <c r="Q84" s="274"/>
      <c r="R84" s="235"/>
      <c r="S84" s="169"/>
      <c r="T84" s="274"/>
    </row>
    <row r="85" spans="1:20" s="3" customFormat="1" x14ac:dyDescent="0.2">
      <c r="A85" s="260" t="s">
        <v>130</v>
      </c>
      <c r="B85" s="261">
        <f>VLOOKUP($A85,'Orch iTunes data'!$A$199:$Z$310,2,FALSE)</f>
        <v>187.8</v>
      </c>
      <c r="C85" s="261">
        <f>VLOOKUP($A85,'Orch iTunes data'!$A$199:$Z$310,8,FALSE)</f>
        <v>201.06</v>
      </c>
      <c r="D85" s="261">
        <f>VLOOKUP($A85,'Orch iTunes data'!$A$199:$Z$310,14,FALSE)</f>
        <v>116.34</v>
      </c>
      <c r="E85" s="261">
        <f>VLOOKUP($A85,'Orch iTunes data'!$A$199:$Z$310,20,FALSE)</f>
        <v>0</v>
      </c>
      <c r="F85" s="261">
        <f>VLOOKUP($A85,'Orch iTunes data'!$A$199:$Z$310,26,FALSE)</f>
        <v>0</v>
      </c>
      <c r="G85" s="262">
        <f t="shared" si="20"/>
        <v>505.20000000000005</v>
      </c>
      <c r="H85" s="245">
        <f t="shared" si="18"/>
        <v>842</v>
      </c>
      <c r="I85" s="295">
        <f>VLOOKUP($A85,[2]ORCH!$C:$Q,15,FALSE)</f>
        <v>469.51909126883015</v>
      </c>
      <c r="J85" s="264">
        <f t="shared" si="21"/>
        <v>372.48090873116985</v>
      </c>
      <c r="K85" s="265">
        <f t="shared" si="22"/>
        <v>0.79332430918746255</v>
      </c>
      <c r="L85" s="280">
        <v>1191.9600169658661</v>
      </c>
      <c r="M85" s="266">
        <f t="shared" si="19"/>
        <v>2033.9600169658661</v>
      </c>
      <c r="N85" s="293">
        <v>1433.7642703546521</v>
      </c>
      <c r="O85" s="264">
        <f t="shared" si="17"/>
        <v>600.19574661121396</v>
      </c>
      <c r="P85" s="265">
        <f t="shared" si="23"/>
        <v>0.41861536029402596</v>
      </c>
      <c r="Q85" s="274"/>
      <c r="R85" s="235"/>
      <c r="S85" s="169"/>
      <c r="T85" s="274"/>
    </row>
    <row r="86" spans="1:20" s="3" customFormat="1" x14ac:dyDescent="0.2">
      <c r="A86" s="260" t="s">
        <v>131</v>
      </c>
      <c r="B86" s="261">
        <f>VLOOKUP($A86,'Orch iTunes data'!$A$199:$Z$310,2,FALSE)</f>
        <v>23.18</v>
      </c>
      <c r="C86" s="261">
        <f>VLOOKUP($A86,'Orch iTunes data'!$A$199:$Z$310,8,FALSE)</f>
        <v>21.35</v>
      </c>
      <c r="D86" s="261">
        <f>VLOOKUP($A86,'Orch iTunes data'!$A$199:$Z$310,14,FALSE)</f>
        <v>17.690000000000001</v>
      </c>
      <c r="E86" s="261">
        <f>VLOOKUP($A86,'Orch iTunes data'!$A$199:$Z$310,20,FALSE)</f>
        <v>0</v>
      </c>
      <c r="F86" s="261">
        <f>VLOOKUP($A86,'Orch iTunes data'!$A$199:$Z$310,26,FALSE)</f>
        <v>0</v>
      </c>
      <c r="G86" s="262">
        <f t="shared" si="20"/>
        <v>62.22</v>
      </c>
      <c r="H86" s="245">
        <f t="shared" si="18"/>
        <v>103.69999999999999</v>
      </c>
      <c r="I86" s="295">
        <f>VLOOKUP($A86,[2]ORCH!$C:$Q,15,FALSE)</f>
        <v>75.420776245455315</v>
      </c>
      <c r="J86" s="264">
        <f t="shared" si="21"/>
        <v>28.279223754544674</v>
      </c>
      <c r="K86" s="265">
        <f t="shared" si="22"/>
        <v>0.37495270086468668</v>
      </c>
      <c r="L86" s="280">
        <v>160.61000031232834</v>
      </c>
      <c r="M86" s="266">
        <f t="shared" si="19"/>
        <v>264.31000031232833</v>
      </c>
      <c r="N86" s="293">
        <v>230.3114319183926</v>
      </c>
      <c r="O86" s="264">
        <f t="shared" si="17"/>
        <v>33.998568393935727</v>
      </c>
      <c r="P86" s="265">
        <f t="shared" si="23"/>
        <v>0.14761997748328276</v>
      </c>
      <c r="Q86" s="274"/>
      <c r="R86" s="235"/>
      <c r="S86" s="169"/>
      <c r="T86" s="274"/>
    </row>
    <row r="87" spans="1:20" s="3" customFormat="1" x14ac:dyDescent="0.2">
      <c r="A87" s="260" t="s">
        <v>132</v>
      </c>
      <c r="B87" s="261">
        <f>VLOOKUP($A87,'Orch iTunes data'!$A$199:$Z$310,2,FALSE)</f>
        <v>3.23</v>
      </c>
      <c r="C87" s="261">
        <f>VLOOKUP($A87,'Orch iTunes data'!$A$199:$Z$310,8,FALSE)</f>
        <v>5.6</v>
      </c>
      <c r="D87" s="261">
        <f>VLOOKUP($A87,'Orch iTunes data'!$A$199:$Z$310,14,FALSE)</f>
        <v>8.7200000000000006</v>
      </c>
      <c r="E87" s="261">
        <f>VLOOKUP($A87,'Orch iTunes data'!$A$199:$Z$310,20,FALSE)</f>
        <v>0</v>
      </c>
      <c r="F87" s="261">
        <f>VLOOKUP($A87,'Orch iTunes data'!$A$199:$Z$310,26,FALSE)</f>
        <v>0</v>
      </c>
      <c r="G87" s="262">
        <f t="shared" si="20"/>
        <v>17.55</v>
      </c>
      <c r="H87" s="245">
        <f t="shared" si="18"/>
        <v>29.250000000000004</v>
      </c>
      <c r="I87" s="295">
        <f>VLOOKUP($A87,[2]ORCH!$C:$Q,15,FALSE)</f>
        <v>69.464106479756182</v>
      </c>
      <c r="J87" s="264">
        <f t="shared" si="21"/>
        <v>-40.214106479756182</v>
      </c>
      <c r="K87" s="265">
        <f t="shared" si="22"/>
        <v>-0.57891922199381807</v>
      </c>
      <c r="L87" s="280">
        <v>146.40000140666967</v>
      </c>
      <c r="M87" s="266">
        <f t="shared" si="19"/>
        <v>175.65000140666967</v>
      </c>
      <c r="N87" s="293">
        <v>212.1216278418822</v>
      </c>
      <c r="O87" s="264">
        <f t="shared" si="17"/>
        <v>-36.471626435212528</v>
      </c>
      <c r="P87" s="265">
        <f t="shared" si="23"/>
        <v>-0.17193733051303414</v>
      </c>
      <c r="Q87" s="274"/>
      <c r="R87" s="235"/>
      <c r="S87" s="169"/>
      <c r="T87" s="274"/>
    </row>
    <row r="88" spans="1:20" s="3" customFormat="1" x14ac:dyDescent="0.2">
      <c r="A88" s="260" t="s">
        <v>133</v>
      </c>
      <c r="B88" s="261">
        <f>VLOOKUP($A88,'Orch iTunes data'!$A$199:$Z$310,2,FALSE)</f>
        <v>69</v>
      </c>
      <c r="C88" s="261">
        <f>VLOOKUP($A88,'Orch iTunes data'!$A$199:$Z$310,8,FALSE)</f>
        <v>49.38</v>
      </c>
      <c r="D88" s="261">
        <f>VLOOKUP($A88,'Orch iTunes data'!$A$199:$Z$310,14,FALSE)</f>
        <v>55.14</v>
      </c>
      <c r="E88" s="261">
        <f>VLOOKUP($A88,'Orch iTunes data'!$A$199:$Z$310,20,FALSE)</f>
        <v>0</v>
      </c>
      <c r="F88" s="261">
        <f>VLOOKUP($A88,'Orch iTunes data'!$A$199:$Z$310,26,FALSE)</f>
        <v>0</v>
      </c>
      <c r="G88" s="262">
        <f t="shared" si="20"/>
        <v>173.51999999999998</v>
      </c>
      <c r="H88" s="245">
        <f t="shared" si="18"/>
        <v>289.2</v>
      </c>
      <c r="I88" s="295">
        <f>VLOOKUP($A88,[2]ORCH!$C:$Q,15,FALSE)</f>
        <v>202.7213542296906</v>
      </c>
      <c r="J88" s="264">
        <f t="shared" si="21"/>
        <v>86.478645770309384</v>
      </c>
      <c r="K88" s="265">
        <f t="shared" si="22"/>
        <v>0.426588733579226</v>
      </c>
      <c r="L88" s="280">
        <v>696.60001122951439</v>
      </c>
      <c r="M88" s="266">
        <f t="shared" si="19"/>
        <v>985.80001122951444</v>
      </c>
      <c r="N88" s="293">
        <v>619.04753169242417</v>
      </c>
      <c r="O88" s="264">
        <f t="shared" si="17"/>
        <v>366.75247953709027</v>
      </c>
      <c r="P88" s="265">
        <f t="shared" si="23"/>
        <v>0.59244639669981347</v>
      </c>
      <c r="Q88" s="274"/>
      <c r="R88" s="235"/>
      <c r="S88" s="169"/>
      <c r="T88" s="274"/>
    </row>
    <row r="89" spans="1:20" s="3" customFormat="1" x14ac:dyDescent="0.2">
      <c r="A89" s="260" t="s">
        <v>135</v>
      </c>
      <c r="B89" s="261">
        <f>VLOOKUP($A89,'Orch iTunes data'!$A$199:$Z$310,2,FALSE)</f>
        <v>67.459999999999994</v>
      </c>
      <c r="C89" s="261">
        <f>VLOOKUP($A89,'Orch iTunes data'!$A$199:$Z$310,8,FALSE)</f>
        <v>14.64</v>
      </c>
      <c r="D89" s="261">
        <f>VLOOKUP($A89,'Orch iTunes data'!$A$199:$Z$310,14,FALSE)</f>
        <v>26.23</v>
      </c>
      <c r="E89" s="261">
        <f>VLOOKUP($A89,'Orch iTunes data'!$A$199:$Z$310,20,FALSE)</f>
        <v>0</v>
      </c>
      <c r="F89" s="261">
        <f>VLOOKUP($A89,'Orch iTunes data'!$A$199:$Z$310,26,FALSE)</f>
        <v>0</v>
      </c>
      <c r="G89" s="262">
        <f t="shared" si="20"/>
        <v>108.33</v>
      </c>
      <c r="H89" s="245">
        <f t="shared" si="18"/>
        <v>180.55</v>
      </c>
      <c r="I89" s="295">
        <f>VLOOKUP($A89,[2]ORCH!$C:$Q,15,FALSE)</f>
        <v>96.852226625262901</v>
      </c>
      <c r="J89" s="264">
        <f t="shared" si="21"/>
        <v>83.69777337473711</v>
      </c>
      <c r="K89" s="265">
        <f t="shared" si="22"/>
        <v>0.86418016695245925</v>
      </c>
      <c r="L89" s="280">
        <v>245.83000063896168</v>
      </c>
      <c r="M89" s="266">
        <f t="shared" si="19"/>
        <v>426.38000063896169</v>
      </c>
      <c r="N89" s="293">
        <v>295.75636991528688</v>
      </c>
      <c r="O89" s="264">
        <f t="shared" si="17"/>
        <v>130.62363072367481</v>
      </c>
      <c r="P89" s="265">
        <f t="shared" si="23"/>
        <v>0.44165956851948501</v>
      </c>
      <c r="Q89" s="274"/>
      <c r="R89" s="235"/>
      <c r="S89" s="169"/>
      <c r="T89" s="274"/>
    </row>
    <row r="90" spans="1:20" s="3" customFormat="1" x14ac:dyDescent="0.2">
      <c r="A90" s="260" t="s">
        <v>137</v>
      </c>
      <c r="B90" s="261">
        <f>VLOOKUP($A90,'Orch iTunes data'!$A$199:$Z$310,2,FALSE)</f>
        <v>20.92</v>
      </c>
      <c r="C90" s="261">
        <f>VLOOKUP($A90,'Orch iTunes data'!$A$199:$Z$310,8,FALSE)</f>
        <v>22.57</v>
      </c>
      <c r="D90" s="261">
        <f>VLOOKUP($A90,'Orch iTunes data'!$A$199:$Z$310,14,FALSE)</f>
        <v>21.71</v>
      </c>
      <c r="E90" s="261">
        <f>VLOOKUP($A90,'Orch iTunes data'!$A$199:$Z$310,20,FALSE)</f>
        <v>0</v>
      </c>
      <c r="F90" s="261">
        <f>VLOOKUP($A90,'Orch iTunes data'!$A$199:$Z$310,26,FALSE)</f>
        <v>0</v>
      </c>
      <c r="G90" s="262">
        <f t="shared" si="20"/>
        <v>65.2</v>
      </c>
      <c r="H90" s="245">
        <f t="shared" si="18"/>
        <v>108.66666666666667</v>
      </c>
      <c r="I90" s="295">
        <f>VLOOKUP($A90,[2]ORCH!$C:$Q,15,FALSE)</f>
        <v>134.15376286889136</v>
      </c>
      <c r="J90" s="264">
        <f t="shared" si="21"/>
        <v>-25.487096202224691</v>
      </c>
      <c r="K90" s="265">
        <f t="shared" si="22"/>
        <v>-0.18998420660874984</v>
      </c>
      <c r="L90" s="280">
        <v>410.81999844312662</v>
      </c>
      <c r="M90" s="266">
        <f t="shared" si="19"/>
        <v>519.48666510979331</v>
      </c>
      <c r="N90" s="293">
        <v>409.66358027157867</v>
      </c>
      <c r="O90" s="264">
        <f t="shared" si="17"/>
        <v>109.82308483821464</v>
      </c>
      <c r="P90" s="265">
        <f t="shared" si="23"/>
        <v>0.26808115274833444</v>
      </c>
      <c r="Q90" s="274"/>
      <c r="R90" s="235"/>
      <c r="S90" s="169"/>
      <c r="T90" s="274"/>
    </row>
    <row r="91" spans="1:20" s="3" customFormat="1" x14ac:dyDescent="0.2">
      <c r="A91" s="260" t="s">
        <v>140</v>
      </c>
      <c r="B91" s="261">
        <f>VLOOKUP($A91,'Orch iTunes data'!$A$199:$Z$310,2,FALSE)</f>
        <v>12.2</v>
      </c>
      <c r="C91" s="261">
        <f>VLOOKUP($A91,'Orch iTunes data'!$A$199:$Z$310,8,FALSE)</f>
        <v>20.13</v>
      </c>
      <c r="D91" s="261">
        <f>VLOOKUP($A91,'Orch iTunes data'!$A$199:$Z$310,14,FALSE)</f>
        <v>4.2699999999999996</v>
      </c>
      <c r="E91" s="261">
        <f>VLOOKUP($A91,'Orch iTunes data'!$A$199:$Z$310,20,FALSE)</f>
        <v>0</v>
      </c>
      <c r="F91" s="261">
        <f>VLOOKUP($A91,'Orch iTunes data'!$A$199:$Z$310,26,FALSE)</f>
        <v>0</v>
      </c>
      <c r="G91" s="262">
        <f t="shared" si="20"/>
        <v>36.599999999999994</v>
      </c>
      <c r="H91" s="245">
        <f t="shared" si="18"/>
        <v>60.999999999999986</v>
      </c>
      <c r="I91" s="295">
        <f>VLOOKUP($A91,[2]ORCH!$C:$Q,15,FALSE)</f>
        <v>39.265747246445265</v>
      </c>
      <c r="J91" s="264">
        <f t="shared" si="21"/>
        <v>21.734252753554721</v>
      </c>
      <c r="K91" s="265">
        <f t="shared" si="22"/>
        <v>0.55351685063175071</v>
      </c>
      <c r="L91" s="280">
        <v>83.796667198340074</v>
      </c>
      <c r="M91" s="266">
        <f t="shared" si="19"/>
        <v>144.79666719834006</v>
      </c>
      <c r="N91" s="293">
        <v>119.90529564748972</v>
      </c>
      <c r="O91" s="264">
        <f t="shared" si="17"/>
        <v>24.891371550850337</v>
      </c>
      <c r="P91" s="265">
        <f t="shared" si="23"/>
        <v>0.20759192841681176</v>
      </c>
      <c r="Q91" s="274"/>
      <c r="R91" s="235"/>
      <c r="S91" s="169"/>
      <c r="T91" s="274"/>
    </row>
    <row r="92" spans="1:20" s="3" customFormat="1" x14ac:dyDescent="0.2">
      <c r="A92" s="260" t="s">
        <v>142</v>
      </c>
      <c r="B92" s="261">
        <f>VLOOKUP($A92,'Orch iTunes data'!$A$199:$Z$310,2,FALSE)</f>
        <v>1.83</v>
      </c>
      <c r="C92" s="261">
        <f>VLOOKUP($A92,'Orch iTunes data'!$A$199:$Z$310,8,FALSE)</f>
        <v>6.1</v>
      </c>
      <c r="D92" s="261">
        <f>VLOOKUP($A92,'Orch iTunes data'!$A$199:$Z$310,14,FALSE)</f>
        <v>0</v>
      </c>
      <c r="E92" s="261">
        <f>VLOOKUP($A92,'Orch iTunes data'!$A$199:$Z$310,20,FALSE)</f>
        <v>0</v>
      </c>
      <c r="F92" s="261">
        <f>VLOOKUP($A92,'Orch iTunes data'!$A$199:$Z$310,26,FALSE)</f>
        <v>0</v>
      </c>
      <c r="G92" s="262">
        <f t="shared" si="20"/>
        <v>7.93</v>
      </c>
      <c r="H92" s="245">
        <f t="shared" si="18"/>
        <v>19.824999999999999</v>
      </c>
      <c r="I92" s="295">
        <f>VLOOKUP($A92,[2]ORCH!$C:$Q,15,FALSE)</f>
        <v>5.8593829268858704</v>
      </c>
      <c r="J92" s="264">
        <f t="shared" si="21"/>
        <v>13.965617073114128</v>
      </c>
      <c r="K92" s="265">
        <f t="shared" si="22"/>
        <v>2.3834620893324234</v>
      </c>
      <c r="L92" s="280">
        <v>80.316666265328706</v>
      </c>
      <c r="M92" s="266">
        <f t="shared" si="19"/>
        <v>100.14166626532871</v>
      </c>
      <c r="N92" s="293">
        <v>17.892720537075935</v>
      </c>
      <c r="O92" s="264">
        <f t="shared" si="17"/>
        <v>82.248945728252778</v>
      </c>
      <c r="P92" s="265">
        <f t="shared" si="23"/>
        <v>4.5967825606968358</v>
      </c>
      <c r="Q92" s="274"/>
      <c r="R92" s="235"/>
      <c r="S92" s="169"/>
      <c r="T92" s="274"/>
    </row>
    <row r="93" spans="1:20" s="3" customFormat="1" x14ac:dyDescent="0.2">
      <c r="A93" s="260" t="s">
        <v>143</v>
      </c>
      <c r="B93" s="261">
        <f>VLOOKUP($A93,'Orch iTunes data'!$A$199:$Z$310,2,FALSE)</f>
        <v>21.53</v>
      </c>
      <c r="C93" s="261">
        <f>VLOOKUP($A93,'Orch iTunes data'!$A$199:$Z$310,8,FALSE)</f>
        <v>29.28</v>
      </c>
      <c r="D93" s="261">
        <f>VLOOKUP($A93,'Orch iTunes data'!$A$199:$Z$310,14,FALSE)</f>
        <v>17.079999999999998</v>
      </c>
      <c r="E93" s="261">
        <f>VLOOKUP($A93,'Orch iTunes data'!$A$199:$Z$310,20,FALSE)</f>
        <v>0</v>
      </c>
      <c r="F93" s="261">
        <f>VLOOKUP($A93,'Orch iTunes data'!$A$199:$Z$310,26,FALSE)</f>
        <v>0</v>
      </c>
      <c r="G93" s="262">
        <f t="shared" si="20"/>
        <v>67.89</v>
      </c>
      <c r="H93" s="245">
        <f t="shared" si="18"/>
        <v>113.14999999999999</v>
      </c>
      <c r="I93" s="295">
        <f>VLOOKUP($A93,[2]ORCH!$C:$Q,15,FALSE)</f>
        <v>78.801188863268735</v>
      </c>
      <c r="J93" s="264">
        <f t="shared" si="21"/>
        <v>34.348811136731257</v>
      </c>
      <c r="K93" s="265">
        <f t="shared" si="22"/>
        <v>0.43589204214077693</v>
      </c>
      <c r="L93" s="280">
        <v>171.66000092029572</v>
      </c>
      <c r="M93" s="266">
        <f t="shared" si="19"/>
        <v>284.81000092029569</v>
      </c>
      <c r="N93" s="293">
        <v>240.63415344475084</v>
      </c>
      <c r="O93" s="264">
        <f t="shared" si="17"/>
        <v>44.175847475544856</v>
      </c>
      <c r="P93" s="265">
        <f t="shared" si="23"/>
        <v>0.18358095408799713</v>
      </c>
      <c r="Q93" s="274"/>
      <c r="R93" s="235"/>
      <c r="S93" s="169"/>
      <c r="T93" s="274"/>
    </row>
    <row r="94" spans="1:20" s="3" customFormat="1" x14ac:dyDescent="0.2">
      <c r="A94" s="260" t="s">
        <v>147</v>
      </c>
      <c r="B94" s="261">
        <f>VLOOKUP($A94,'Orch iTunes data'!$A$199:$Z$310,2,FALSE)</f>
        <v>0</v>
      </c>
      <c r="C94" s="261">
        <f>VLOOKUP($A94,'Orch iTunes data'!$A$199:$Z$310,8,FALSE)</f>
        <v>0.61</v>
      </c>
      <c r="D94" s="261">
        <f>VLOOKUP($A94,'Orch iTunes data'!$A$199:$Z$310,14,FALSE)</f>
        <v>1.83</v>
      </c>
      <c r="E94" s="261">
        <f>VLOOKUP($A94,'Orch iTunes data'!$A$199:$Z$310,20,FALSE)</f>
        <v>0</v>
      </c>
      <c r="F94" s="261">
        <f>VLOOKUP($A94,'Orch iTunes data'!$A$199:$Z$310,26,FALSE)</f>
        <v>0</v>
      </c>
      <c r="G94" s="262">
        <f t="shared" si="20"/>
        <v>2.44</v>
      </c>
      <c r="H94" s="245">
        <f t="shared" si="18"/>
        <v>6.1</v>
      </c>
      <c r="I94" s="295">
        <f>VLOOKUP($A94,[2]ORCH!$C:$Q,15,FALSE)</f>
        <v>10.291480310611904</v>
      </c>
      <c r="J94" s="264">
        <f t="shared" si="21"/>
        <v>-4.1914803106119045</v>
      </c>
      <c r="K94" s="265">
        <f t="shared" si="22"/>
        <v>-0.40727671667310317</v>
      </c>
      <c r="L94" s="280">
        <v>43.310000618298858</v>
      </c>
      <c r="M94" s="266">
        <f t="shared" si="19"/>
        <v>49.410000618298859</v>
      </c>
      <c r="N94" s="293">
        <v>31.426957993418913</v>
      </c>
      <c r="O94" s="264">
        <f t="shared" si="17"/>
        <v>17.983042624879946</v>
      </c>
      <c r="P94" s="265">
        <f t="shared" si="23"/>
        <v>0.57221709554726097</v>
      </c>
      <c r="Q94" s="274"/>
      <c r="R94" s="235"/>
      <c r="S94" s="169"/>
      <c r="T94" s="274"/>
    </row>
    <row r="95" spans="1:20" s="3" customFormat="1" x14ac:dyDescent="0.2">
      <c r="A95" s="260" t="s">
        <v>151</v>
      </c>
      <c r="B95" s="261">
        <f>VLOOKUP($A95,'Orch iTunes data'!$A$199:$Z$310,2,FALSE)</f>
        <v>1.83</v>
      </c>
      <c r="C95" s="261">
        <f>VLOOKUP($A95,'Orch iTunes data'!$A$199:$Z$310,8,FALSE)</f>
        <v>0</v>
      </c>
      <c r="D95" s="261">
        <f>VLOOKUP($A95,'Orch iTunes data'!$A$199:$Z$310,14,FALSE)</f>
        <v>1.22</v>
      </c>
      <c r="E95" s="261">
        <f>VLOOKUP($A95,'Orch iTunes data'!$A$199:$Z$310,20,FALSE)</f>
        <v>0</v>
      </c>
      <c r="F95" s="261">
        <f>VLOOKUP($A95,'Orch iTunes data'!$A$199:$Z$310,26,FALSE)</f>
        <v>0</v>
      </c>
      <c r="G95" s="262">
        <f t="shared" si="20"/>
        <v>3.05</v>
      </c>
      <c r="H95" s="245">
        <f t="shared" si="18"/>
        <v>7.625</v>
      </c>
      <c r="I95" s="295">
        <f>VLOOKUP($A95,[2]ORCH!$C:$Q,15,FALSE)</f>
        <v>13.822134240526665</v>
      </c>
      <c r="J95" s="264">
        <f t="shared" si="21"/>
        <v>-6.1971342405266654</v>
      </c>
      <c r="K95" s="265">
        <f t="shared" si="22"/>
        <v>-0.44834857864110395</v>
      </c>
      <c r="L95" s="280">
        <v>34.363333185513824</v>
      </c>
      <c r="M95" s="266">
        <f t="shared" si="19"/>
        <v>41.988333185513824</v>
      </c>
      <c r="N95" s="293">
        <v>42.208469437435205</v>
      </c>
      <c r="O95" s="264">
        <f t="shared" si="17"/>
        <v>-0.22013625192138164</v>
      </c>
      <c r="P95" s="265">
        <f t="shared" si="23"/>
        <v>-5.2154521321292006E-3</v>
      </c>
      <c r="Q95" s="274"/>
      <c r="R95" s="235"/>
      <c r="S95" s="169"/>
      <c r="T95" s="274"/>
    </row>
    <row r="96" spans="1:20" s="3" customFormat="1" x14ac:dyDescent="0.2">
      <c r="A96" s="260" t="s">
        <v>152</v>
      </c>
      <c r="B96" s="261">
        <f>VLOOKUP($A96,'Orch iTunes data'!$A$199:$Z$310,2,FALSE)</f>
        <v>0</v>
      </c>
      <c r="C96" s="261">
        <f>VLOOKUP($A96,'Orch iTunes data'!$A$199:$Z$310,8,FALSE)</f>
        <v>0</v>
      </c>
      <c r="D96" s="261">
        <f>VLOOKUP($A96,'Orch iTunes data'!$A$199:$Z$310,14,FALSE)</f>
        <v>0</v>
      </c>
      <c r="E96" s="261">
        <f>VLOOKUP($A96,'Orch iTunes data'!$A$199:$Z$310,20,FALSE)</f>
        <v>0</v>
      </c>
      <c r="F96" s="261">
        <f>VLOOKUP($A96,'Orch iTunes data'!$A$199:$Z$310,26,FALSE)</f>
        <v>0</v>
      </c>
      <c r="G96" s="262">
        <f t="shared" si="20"/>
        <v>0</v>
      </c>
      <c r="H96" s="245">
        <f t="shared" si="18"/>
        <v>0</v>
      </c>
      <c r="I96" s="295">
        <f>VLOOKUP($A96,[2]ORCH!$C:$Q,15,FALSE)</f>
        <v>0.15024059276233129</v>
      </c>
      <c r="J96" s="264">
        <f t="shared" si="21"/>
        <v>-0.15024059276233129</v>
      </c>
      <c r="K96" s="265">
        <f t="shared" si="22"/>
        <v>-1</v>
      </c>
      <c r="L96" s="280">
        <v>0</v>
      </c>
      <c r="M96" s="266">
        <f t="shared" si="19"/>
        <v>0</v>
      </c>
      <c r="N96" s="293">
        <v>0.45878772102197313</v>
      </c>
      <c r="O96" s="264">
        <f t="shared" si="17"/>
        <v>-0.45878772102197313</v>
      </c>
      <c r="P96" s="265">
        <f t="shared" si="23"/>
        <v>-1</v>
      </c>
      <c r="Q96" s="274"/>
      <c r="R96" s="235"/>
      <c r="S96" s="169"/>
      <c r="T96" s="274"/>
    </row>
    <row r="97" spans="1:20" s="3" customFormat="1" x14ac:dyDescent="0.2">
      <c r="A97" s="260" t="s">
        <v>153</v>
      </c>
      <c r="B97" s="261">
        <f>VLOOKUP($A97,'Orch iTunes data'!$A$199:$Z$310,2,FALSE)</f>
        <v>8.5399999999999991</v>
      </c>
      <c r="C97" s="261">
        <f>VLOOKUP($A97,'Orch iTunes data'!$A$199:$Z$310,8,FALSE)</f>
        <v>18.91</v>
      </c>
      <c r="D97" s="261">
        <f>VLOOKUP($A97,'Orch iTunes data'!$A$199:$Z$310,14,FALSE)</f>
        <v>27.27</v>
      </c>
      <c r="E97" s="261">
        <f>VLOOKUP($A97,'Orch iTunes data'!$A$199:$Z$310,20,FALSE)</f>
        <v>0</v>
      </c>
      <c r="F97" s="261">
        <f>VLOOKUP($A97,'Orch iTunes data'!$A$199:$Z$310,26,FALSE)</f>
        <v>0</v>
      </c>
      <c r="G97" s="262">
        <f t="shared" si="20"/>
        <v>54.72</v>
      </c>
      <c r="H97" s="245">
        <f t="shared" si="18"/>
        <v>91.199999999999989</v>
      </c>
      <c r="I97" s="295">
        <f>VLOOKUP($A97,[2]ORCH!$C:$Q,15,FALSE)</f>
        <v>117.89576020401829</v>
      </c>
      <c r="J97" s="264">
        <f t="shared" si="21"/>
        <v>-26.695760204018299</v>
      </c>
      <c r="K97" s="265">
        <f t="shared" si="22"/>
        <v>-0.22643528620385805</v>
      </c>
      <c r="L97" s="280">
        <v>265.54999816417694</v>
      </c>
      <c r="M97" s="266">
        <f t="shared" si="19"/>
        <v>356.74999816417693</v>
      </c>
      <c r="N97" s="293">
        <v>360.01673148161291</v>
      </c>
      <c r="O97" s="264">
        <f t="shared" si="17"/>
        <v>-3.2667333174359783</v>
      </c>
      <c r="P97" s="265">
        <f t="shared" si="23"/>
        <v>-9.0738374963631931E-3</v>
      </c>
      <c r="Q97" s="274"/>
      <c r="R97" s="235"/>
      <c r="S97" s="169"/>
      <c r="T97" s="274"/>
    </row>
    <row r="98" spans="1:20" s="3" customFormat="1" x14ac:dyDescent="0.2">
      <c r="A98" s="260" t="s">
        <v>154</v>
      </c>
      <c r="B98" s="261">
        <f>VLOOKUP($A98,'Orch iTunes data'!$A$199:$Z$310,2,FALSE)</f>
        <v>0.61</v>
      </c>
      <c r="C98" s="261">
        <f>VLOOKUP($A98,'Orch iTunes data'!$A$199:$Z$310,8,FALSE)</f>
        <v>2.44</v>
      </c>
      <c r="D98" s="261">
        <f>VLOOKUP($A98,'Orch iTunes data'!$A$199:$Z$310,14,FALSE)</f>
        <v>0</v>
      </c>
      <c r="E98" s="261">
        <f>VLOOKUP($A98,'Orch iTunes data'!$A$199:$Z$310,20,FALSE)</f>
        <v>0</v>
      </c>
      <c r="F98" s="261">
        <f>VLOOKUP($A98,'Orch iTunes data'!$A$199:$Z$310,26,FALSE)</f>
        <v>0</v>
      </c>
      <c r="G98" s="262">
        <f t="shared" si="20"/>
        <v>3.05</v>
      </c>
      <c r="H98" s="245">
        <f t="shared" si="18"/>
        <v>7.625</v>
      </c>
      <c r="I98" s="295">
        <f>VLOOKUP($A98,[2]ORCH!$C:$Q,15,FALSE)</f>
        <v>5.7091424368862578</v>
      </c>
      <c r="J98" s="264">
        <f t="shared" si="21"/>
        <v>1.9158575631137422</v>
      </c>
      <c r="K98" s="265">
        <f t="shared" si="22"/>
        <v>0.33557711763075976</v>
      </c>
      <c r="L98" s="280">
        <v>27.65333338578543</v>
      </c>
      <c r="M98" s="266">
        <f t="shared" si="19"/>
        <v>35.27833338578543</v>
      </c>
      <c r="N98" s="293">
        <v>17.43393312985912</v>
      </c>
      <c r="O98" s="264">
        <f t="shared" si="17"/>
        <v>17.84440025592631</v>
      </c>
      <c r="P98" s="265">
        <f t="shared" si="23"/>
        <v>1.0235441493901443</v>
      </c>
      <c r="Q98" s="274"/>
      <c r="R98" s="235"/>
      <c r="S98" s="169"/>
      <c r="T98" s="274"/>
    </row>
    <row r="99" spans="1:20" s="3" customFormat="1" x14ac:dyDescent="0.2">
      <c r="A99" s="260" t="s">
        <v>156</v>
      </c>
      <c r="B99" s="261">
        <f>VLOOKUP($A99,'Orch iTunes data'!$A$199:$Z$310,2,FALSE)</f>
        <v>0</v>
      </c>
      <c r="C99" s="261">
        <f>VLOOKUP($A99,'Orch iTunes data'!$A$199:$Z$310,8,FALSE)</f>
        <v>0</v>
      </c>
      <c r="D99" s="261">
        <f>VLOOKUP($A99,'Orch iTunes data'!$A$199:$Z$310,14,FALSE)</f>
        <v>0</v>
      </c>
      <c r="E99" s="261">
        <f>VLOOKUP($A99,'Orch iTunes data'!$A$199:$Z$310,20,FALSE)</f>
        <v>0</v>
      </c>
      <c r="F99" s="261">
        <f>VLOOKUP($A99,'Orch iTunes data'!$A$199:$Z$310,26,FALSE)</f>
        <v>0</v>
      </c>
      <c r="G99" s="262">
        <f t="shared" si="20"/>
        <v>0</v>
      </c>
      <c r="H99" s="245">
        <f t="shared" si="18"/>
        <v>0</v>
      </c>
      <c r="I99" s="295"/>
      <c r="J99" s="264">
        <f t="shared" si="21"/>
        <v>0</v>
      </c>
      <c r="K99" s="265" t="e">
        <f t="shared" si="22"/>
        <v>#DIV/0!</v>
      </c>
      <c r="L99" s="280">
        <v>0</v>
      </c>
      <c r="M99" s="266">
        <f t="shared" si="19"/>
        <v>0</v>
      </c>
      <c r="N99" s="293">
        <v>0</v>
      </c>
      <c r="O99" s="264">
        <f t="shared" si="17"/>
        <v>0</v>
      </c>
      <c r="P99" s="265" t="e">
        <f t="shared" si="23"/>
        <v>#DIV/0!</v>
      </c>
      <c r="Q99" s="274"/>
      <c r="R99" s="235"/>
      <c r="S99" s="169"/>
      <c r="T99" s="274"/>
    </row>
    <row r="100" spans="1:20" s="3" customFormat="1" x14ac:dyDescent="0.2">
      <c r="A100" s="260" t="s">
        <v>159</v>
      </c>
      <c r="B100" s="261">
        <f>VLOOKUP($A100,'Orch iTunes data'!$A$199:$Z$310,2,FALSE)</f>
        <v>1510.4469200000001</v>
      </c>
      <c r="C100" s="261">
        <f>VLOOKUP($A100,'Orch iTunes data'!$A$199:$Z$310,8,FALSE)</f>
        <v>1516.4408060000001</v>
      </c>
      <c r="D100" s="261">
        <f>VLOOKUP($A100,'Orch iTunes data'!$A$199:$Z$310,14,FALSE)</f>
        <v>1541.18487</v>
      </c>
      <c r="E100" s="261">
        <f>VLOOKUP($A100,'Orch iTunes data'!$A$199:$Z$310,20,FALSE)</f>
        <v>0</v>
      </c>
      <c r="F100" s="261">
        <f>VLOOKUP($A100,'Orch iTunes data'!$A$199:$Z$310,26,FALSE)</f>
        <v>0</v>
      </c>
      <c r="G100" s="262">
        <f t="shared" si="20"/>
        <v>4568.072596</v>
      </c>
      <c r="H100" s="245">
        <f t="shared" si="18"/>
        <v>7613.454326666666</v>
      </c>
      <c r="I100" s="295">
        <f>VLOOKUP($A100,[2]ORCH!$C:$Q,15,FALSE)</f>
        <v>5158.5329648307124</v>
      </c>
      <c r="J100" s="264">
        <f t="shared" si="21"/>
        <v>2454.9213618359536</v>
      </c>
      <c r="K100" s="265">
        <f t="shared" si="22"/>
        <v>0.4758952552155527</v>
      </c>
      <c r="L100" s="280">
        <v>12468.170134574177</v>
      </c>
      <c r="M100" s="266">
        <f t="shared" si="19"/>
        <v>20081.624461240841</v>
      </c>
      <c r="N100" s="293">
        <v>15752.544230807793</v>
      </c>
      <c r="O100" s="264">
        <f t="shared" ref="O100:O125" si="24">M100-N100</f>
        <v>4329.0802304330482</v>
      </c>
      <c r="P100" s="265">
        <f t="shared" si="23"/>
        <v>0.27481784320062513</v>
      </c>
      <c r="Q100" s="274"/>
      <c r="R100" s="235"/>
      <c r="S100" s="169"/>
      <c r="T100" s="274"/>
    </row>
    <row r="101" spans="1:20" s="3" customFormat="1" x14ac:dyDescent="0.2">
      <c r="A101" s="260" t="s">
        <v>160</v>
      </c>
      <c r="B101" s="261">
        <f>VLOOKUP($A101,'Orch iTunes data'!$A$199:$Z$310,2,FALSE)</f>
        <v>898.27599999999995</v>
      </c>
      <c r="C101" s="261">
        <f>VLOOKUP($A101,'Orch iTunes data'!$A$199:$Z$310,8,FALSE)</f>
        <v>858.52599999999995</v>
      </c>
      <c r="D101" s="261">
        <f>VLOOKUP($A101,'Orch iTunes data'!$A$199:$Z$310,14,FALSE)</f>
        <v>939.99599999999998</v>
      </c>
      <c r="E101" s="261">
        <f>VLOOKUP($A101,'Orch iTunes data'!$A$199:$Z$310,20,FALSE)</f>
        <v>0</v>
      </c>
      <c r="F101" s="261">
        <f>VLOOKUP($A101,'Orch iTunes data'!$A$199:$Z$310,26,FALSE)</f>
        <v>0</v>
      </c>
      <c r="G101" s="262">
        <f t="shared" si="20"/>
        <v>2696.7979999999998</v>
      </c>
      <c r="H101" s="245">
        <f t="shared" si="18"/>
        <v>4494.663333333333</v>
      </c>
      <c r="I101" s="295">
        <f>VLOOKUP($A101,[2]ORCH!$C:$Q,15,FALSE)</f>
        <v>3260.1530376982373</v>
      </c>
      <c r="J101" s="264">
        <f t="shared" si="21"/>
        <v>1234.5102956350956</v>
      </c>
      <c r="K101" s="265">
        <f t="shared" si="22"/>
        <v>0.37866636362159728</v>
      </c>
      <c r="L101" s="280">
        <v>7756.1103401035052</v>
      </c>
      <c r="M101" s="266">
        <f t="shared" si="19"/>
        <v>12250.773673436837</v>
      </c>
      <c r="N101" s="293">
        <v>9955.4864291206886</v>
      </c>
      <c r="O101" s="264">
        <f t="shared" si="24"/>
        <v>2295.2872443161486</v>
      </c>
      <c r="P101" s="265">
        <f t="shared" si="23"/>
        <v>0.23055500709661239</v>
      </c>
      <c r="Q101" s="274"/>
      <c r="R101" s="235"/>
      <c r="S101" s="169"/>
      <c r="T101" s="274"/>
    </row>
    <row r="102" spans="1:20" s="3" customFormat="1" x14ac:dyDescent="0.2">
      <c r="A102" s="260" t="s">
        <v>161</v>
      </c>
      <c r="B102" s="261">
        <f>VLOOKUP($A102,'Orch iTunes data'!$A$199:$Z$310,2,FALSE)</f>
        <v>1259.420801</v>
      </c>
      <c r="C102" s="261">
        <f>VLOOKUP($A102,'Orch iTunes data'!$A$199:$Z$310,8,FALSE)</f>
        <v>1190.338501</v>
      </c>
      <c r="D102" s="261">
        <f>VLOOKUP($A102,'Orch iTunes data'!$A$199:$Z$310,14,FALSE)</f>
        <v>1187.5385160000001</v>
      </c>
      <c r="E102" s="261">
        <f>VLOOKUP($A102,'Orch iTunes data'!$A$199:$Z$310,20,FALSE)</f>
        <v>0</v>
      </c>
      <c r="F102" s="261">
        <f>VLOOKUP($A102,'Orch iTunes data'!$A$199:$Z$310,26,FALSE)</f>
        <v>0</v>
      </c>
      <c r="G102" s="262">
        <f t="shared" si="20"/>
        <v>3637.297818</v>
      </c>
      <c r="H102" s="245">
        <f t="shared" si="18"/>
        <v>6062.1630300000006</v>
      </c>
      <c r="I102" s="295">
        <f>VLOOKUP($A102,[2]ORCH!$C:$Q,15,FALSE)</f>
        <v>9231.4010537936992</v>
      </c>
      <c r="J102" s="264">
        <f t="shared" si="21"/>
        <v>-3169.2380237936986</v>
      </c>
      <c r="K102" s="265">
        <f t="shared" si="22"/>
        <v>-0.34331062049257205</v>
      </c>
      <c r="L102" s="280">
        <v>22236.04332190752</v>
      </c>
      <c r="M102" s="266">
        <f t="shared" si="19"/>
        <v>28298.20635190752</v>
      </c>
      <c r="N102" s="293">
        <v>28189.807917023376</v>
      </c>
      <c r="O102" s="264">
        <f t="shared" si="24"/>
        <v>108.39843488414408</v>
      </c>
      <c r="P102" s="265">
        <f t="shared" si="23"/>
        <v>3.8453059064188938E-3</v>
      </c>
      <c r="Q102" s="274"/>
      <c r="R102" s="235"/>
      <c r="S102" s="169"/>
      <c r="T102" s="274"/>
    </row>
    <row r="103" spans="1:20" s="3" customFormat="1" x14ac:dyDescent="0.2">
      <c r="A103" s="260" t="s">
        <v>162</v>
      </c>
      <c r="B103" s="261">
        <f>VLOOKUP($A103,'Orch iTunes data'!$A$199:$Z$310,2,FALSE)</f>
        <v>397.56</v>
      </c>
      <c r="C103" s="261">
        <f>VLOOKUP($A103,'Orch iTunes data'!$A$199:$Z$310,8,FALSE)</f>
        <v>298.44</v>
      </c>
      <c r="D103" s="261">
        <f>VLOOKUP($A103,'Orch iTunes data'!$A$199:$Z$310,14,FALSE)</f>
        <v>234.36</v>
      </c>
      <c r="E103" s="261">
        <f>VLOOKUP($A103,'Orch iTunes data'!$A$199:$Z$310,20,FALSE)</f>
        <v>0</v>
      </c>
      <c r="F103" s="261">
        <f>VLOOKUP($A103,'Orch iTunes data'!$A$199:$Z$310,26,FALSE)</f>
        <v>0</v>
      </c>
      <c r="G103" s="262">
        <f t="shared" si="20"/>
        <v>930.36</v>
      </c>
      <c r="H103" s="245">
        <f t="shared" si="18"/>
        <v>1550.6</v>
      </c>
      <c r="I103" s="295">
        <f>VLOOKUP($A103,[2]ORCH!$C:$Q,15,FALSE)</f>
        <v>1314.0756323805801</v>
      </c>
      <c r="J103" s="264">
        <f t="shared" si="21"/>
        <v>236.52436761941976</v>
      </c>
      <c r="K103" s="265">
        <f t="shared" si="22"/>
        <v>0.17999296371619958</v>
      </c>
      <c r="L103" s="280">
        <v>2839.0800306797018</v>
      </c>
      <c r="M103" s="266">
        <f t="shared" si="19"/>
        <v>4389.6800306797013</v>
      </c>
      <c r="N103" s="293">
        <v>4012.7754659761335</v>
      </c>
      <c r="O103" s="264">
        <f t="shared" si="24"/>
        <v>376.90456470356776</v>
      </c>
      <c r="P103" s="265">
        <f t="shared" si="23"/>
        <v>9.3926153581055966E-2</v>
      </c>
      <c r="Q103" s="274"/>
      <c r="R103" s="235"/>
      <c r="S103" s="169"/>
      <c r="T103" s="274"/>
    </row>
    <row r="104" spans="1:20" s="3" customFormat="1" x14ac:dyDescent="0.2">
      <c r="A104" s="260" t="s">
        <v>163</v>
      </c>
      <c r="B104" s="261">
        <f>VLOOKUP($A104,'Orch iTunes data'!$A$199:$Z$310,2,FALSE)</f>
        <v>120.78</v>
      </c>
      <c r="C104" s="261">
        <f>VLOOKUP($A104,'Orch iTunes data'!$A$199:$Z$310,8,FALSE)</f>
        <v>186.66</v>
      </c>
      <c r="D104" s="261">
        <f>VLOOKUP($A104,'Orch iTunes data'!$A$199:$Z$310,14,FALSE)</f>
        <v>158.6</v>
      </c>
      <c r="E104" s="261">
        <f>VLOOKUP($A104,'Orch iTunes data'!$A$199:$Z$310,20,FALSE)</f>
        <v>0</v>
      </c>
      <c r="F104" s="261">
        <f>VLOOKUP($A104,'Orch iTunes data'!$A$199:$Z$310,26,FALSE)</f>
        <v>0</v>
      </c>
      <c r="G104" s="262">
        <f t="shared" si="20"/>
        <v>466.03999999999996</v>
      </c>
      <c r="H104" s="245">
        <f t="shared" si="18"/>
        <v>776.73333333333335</v>
      </c>
      <c r="I104" s="295">
        <f>VLOOKUP($A104,[2]ORCH!$C:$Q,15,FALSE)</f>
        <v>485.00001982409475</v>
      </c>
      <c r="J104" s="264">
        <f t="shared" si="21"/>
        <v>291.7333135092386</v>
      </c>
      <c r="K104" s="265">
        <f t="shared" si="22"/>
        <v>0.60151196203053292</v>
      </c>
      <c r="L104" s="280">
        <v>1298.0800020694733</v>
      </c>
      <c r="M104" s="266">
        <f t="shared" si="19"/>
        <v>2074.8133354028068</v>
      </c>
      <c r="N104" s="293">
        <v>1481.0381781620406</v>
      </c>
      <c r="O104" s="264">
        <f t="shared" si="24"/>
        <v>593.77515724076625</v>
      </c>
      <c r="P104" s="265">
        <f t="shared" si="23"/>
        <v>0.40091819778585158</v>
      </c>
      <c r="Q104" s="274"/>
      <c r="R104" s="235"/>
      <c r="S104" s="169"/>
      <c r="T104" s="274"/>
    </row>
    <row r="105" spans="1:20" s="3" customFormat="1" x14ac:dyDescent="0.2">
      <c r="A105" s="260" t="s">
        <v>164</v>
      </c>
      <c r="B105" s="261">
        <f>VLOOKUP($A105,'Orch iTunes data'!$A$199:$Z$310,2,FALSE)</f>
        <v>8.4</v>
      </c>
      <c r="C105" s="261">
        <f>VLOOKUP($A105,'Orch iTunes data'!$A$199:$Z$310,8,FALSE)</f>
        <v>9.18</v>
      </c>
      <c r="D105" s="261">
        <f>VLOOKUP($A105,'Orch iTunes data'!$A$199:$Z$310,14,FALSE)</f>
        <v>12</v>
      </c>
      <c r="E105" s="261">
        <f>VLOOKUP($A105,'Orch iTunes data'!$A$199:$Z$310,20,FALSE)</f>
        <v>0</v>
      </c>
      <c r="F105" s="261">
        <f>VLOOKUP($A105,'Orch iTunes data'!$A$199:$Z$310,26,FALSE)</f>
        <v>0</v>
      </c>
      <c r="G105" s="262">
        <f t="shared" si="20"/>
        <v>29.58</v>
      </c>
      <c r="H105" s="245">
        <f t="shared" si="18"/>
        <v>49.3</v>
      </c>
      <c r="I105" s="295">
        <f>VLOOKUP($A105,[2]ORCH!$C:$Q,15,FALSE)</f>
        <v>11.08332225974093</v>
      </c>
      <c r="J105" s="264">
        <f t="shared" si="21"/>
        <v>38.216677740259065</v>
      </c>
      <c r="K105" s="265">
        <f t="shared" si="22"/>
        <v>3.4481247449672523</v>
      </c>
      <c r="L105" s="280">
        <v>27.180000662803703</v>
      </c>
      <c r="M105" s="266">
        <f t="shared" si="19"/>
        <v>76.480000662803704</v>
      </c>
      <c r="N105" s="293">
        <v>33.844995333202277</v>
      </c>
      <c r="O105" s="264">
        <f t="shared" si="24"/>
        <v>42.635005329601427</v>
      </c>
      <c r="P105" s="265">
        <f t="shared" si="23"/>
        <v>1.259713730489898</v>
      </c>
      <c r="Q105" s="274"/>
      <c r="R105" s="235"/>
      <c r="S105" s="169"/>
      <c r="T105" s="274"/>
    </row>
    <row r="106" spans="1:20" s="3" customFormat="1" x14ac:dyDescent="0.2">
      <c r="A106" s="260" t="s">
        <v>167</v>
      </c>
      <c r="B106" s="261">
        <f>VLOOKUP($A106,'Orch iTunes data'!$A$199:$Z$310,2,FALSE)</f>
        <v>22.57</v>
      </c>
      <c r="C106" s="261">
        <f>VLOOKUP($A106,'Orch iTunes data'!$A$199:$Z$310,8,FALSE)</f>
        <v>31.18</v>
      </c>
      <c r="D106" s="261">
        <f>VLOOKUP($A106,'Orch iTunes data'!$A$199:$Z$310,14,FALSE)</f>
        <v>20.74</v>
      </c>
      <c r="E106" s="261">
        <f>VLOOKUP($A106,'Orch iTunes data'!$A$199:$Z$310,20,FALSE)</f>
        <v>0</v>
      </c>
      <c r="F106" s="261">
        <f>VLOOKUP($A106,'Orch iTunes data'!$A$199:$Z$310,26,FALSE)</f>
        <v>0</v>
      </c>
      <c r="G106" s="262">
        <f t="shared" si="20"/>
        <v>74.489999999999995</v>
      </c>
      <c r="H106" s="245">
        <f t="shared" si="18"/>
        <v>124.14999999999999</v>
      </c>
      <c r="I106" s="295">
        <f>VLOOKUP($A106,[2]ORCH!$C:$Q,15,FALSE)</f>
        <v>85.990571243201018</v>
      </c>
      <c r="J106" s="264">
        <f t="shared" si="21"/>
        <v>38.159428756798974</v>
      </c>
      <c r="K106" s="265">
        <f t="shared" si="22"/>
        <v>0.44376294057723348</v>
      </c>
      <c r="L106" s="280">
        <v>315.62000215053553</v>
      </c>
      <c r="M106" s="266">
        <f t="shared" si="19"/>
        <v>439.7700021505355</v>
      </c>
      <c r="N106" s="293">
        <v>262.58827580942005</v>
      </c>
      <c r="O106" s="264">
        <f t="shared" si="24"/>
        <v>177.18172634111545</v>
      </c>
      <c r="P106" s="265">
        <f t="shared" si="23"/>
        <v>0.67475109387484411</v>
      </c>
      <c r="Q106" s="274"/>
      <c r="R106" s="235"/>
      <c r="S106" s="169"/>
      <c r="T106" s="274"/>
    </row>
    <row r="107" spans="1:20" s="3" customFormat="1" x14ac:dyDescent="0.2">
      <c r="A107" s="260" t="s">
        <v>168</v>
      </c>
      <c r="B107" s="261">
        <f>VLOOKUP($A107,'Orch iTunes data'!$A$199:$Z$310,2,FALSE)</f>
        <v>0</v>
      </c>
      <c r="C107" s="261">
        <f>VLOOKUP($A107,'Orch iTunes data'!$A$199:$Z$310,8,FALSE)</f>
        <v>0</v>
      </c>
      <c r="D107" s="261">
        <f>VLOOKUP($A107,'Orch iTunes data'!$A$199:$Z$310,14,FALSE)</f>
        <v>0</v>
      </c>
      <c r="E107" s="261">
        <f>VLOOKUP($A107,'Orch iTunes data'!$A$199:$Z$310,20,FALSE)</f>
        <v>0</v>
      </c>
      <c r="F107" s="261">
        <f>VLOOKUP($A107,'Orch iTunes data'!$A$199:$Z$310,26,FALSE)</f>
        <v>0</v>
      </c>
      <c r="G107" s="262">
        <f t="shared" si="20"/>
        <v>0</v>
      </c>
      <c r="H107" s="245">
        <f t="shared" si="18"/>
        <v>0</v>
      </c>
      <c r="I107" s="295"/>
      <c r="J107" s="264">
        <f t="shared" si="21"/>
        <v>0</v>
      </c>
      <c r="K107" s="265" t="e">
        <f t="shared" si="22"/>
        <v>#DIV/0!</v>
      </c>
      <c r="L107" s="280">
        <v>4.8800001144409197</v>
      </c>
      <c r="M107" s="266">
        <f t="shared" si="19"/>
        <v>4.8800001144409197</v>
      </c>
      <c r="N107" s="293">
        <v>0</v>
      </c>
      <c r="O107" s="264">
        <f t="shared" si="24"/>
        <v>4.8800001144409197</v>
      </c>
      <c r="P107" s="265" t="e">
        <f t="shared" si="23"/>
        <v>#DIV/0!</v>
      </c>
      <c r="Q107" s="274"/>
      <c r="R107" s="235"/>
      <c r="S107" s="169"/>
      <c r="T107" s="274"/>
    </row>
    <row r="108" spans="1:20" s="3" customFormat="1" x14ac:dyDescent="0.2">
      <c r="A108" s="260" t="s">
        <v>169</v>
      </c>
      <c r="B108" s="261">
        <f>VLOOKUP($A108,'Orch iTunes data'!$A$199:$Z$310,2,FALSE)</f>
        <v>57.6</v>
      </c>
      <c r="C108" s="261">
        <f>VLOOKUP($A108,'Orch iTunes data'!$A$199:$Z$310,8,FALSE)</f>
        <v>78</v>
      </c>
      <c r="D108" s="261">
        <f>VLOOKUP($A108,'Orch iTunes data'!$A$199:$Z$310,14,FALSE)</f>
        <v>37.799999999999997</v>
      </c>
      <c r="E108" s="261">
        <f>VLOOKUP($A108,'Orch iTunes data'!$A$199:$Z$310,20,FALSE)</f>
        <v>0</v>
      </c>
      <c r="F108" s="261">
        <f>VLOOKUP($A108,'Orch iTunes data'!$A$199:$Z$310,26,FALSE)</f>
        <v>0</v>
      </c>
      <c r="G108" s="262">
        <f t="shared" si="20"/>
        <v>173.39999999999998</v>
      </c>
      <c r="H108" s="245">
        <f t="shared" si="18"/>
        <v>288.99999999999994</v>
      </c>
      <c r="I108" s="295">
        <f>VLOOKUP($A108,[2]ORCH!$C:$Q,15,FALSE)</f>
        <v>66.728988782022043</v>
      </c>
      <c r="J108" s="264">
        <f t="shared" si="21"/>
        <v>222.2710112179779</v>
      </c>
      <c r="K108" s="265">
        <f t="shared" si="22"/>
        <v>3.3309512893122335</v>
      </c>
      <c r="L108" s="280">
        <v>169.92000210285175</v>
      </c>
      <c r="M108" s="266">
        <f t="shared" si="19"/>
        <v>458.9200021028517</v>
      </c>
      <c r="N108" s="293">
        <v>203.76943492118883</v>
      </c>
      <c r="O108" s="264">
        <f t="shared" si="24"/>
        <v>255.15056718166286</v>
      </c>
      <c r="P108" s="265">
        <f t="shared" si="23"/>
        <v>1.2521532843252303</v>
      </c>
      <c r="Q108" s="274"/>
      <c r="R108" s="235"/>
      <c r="S108" s="169"/>
      <c r="T108" s="274"/>
    </row>
    <row r="109" spans="1:20" s="3" customFormat="1" x14ac:dyDescent="0.2">
      <c r="A109" s="260" t="s">
        <v>171</v>
      </c>
      <c r="B109" s="261">
        <f>VLOOKUP($A109,'Orch iTunes data'!$A$199:$Z$310,2,FALSE)</f>
        <v>25.01</v>
      </c>
      <c r="C109" s="261">
        <f>VLOOKUP($A109,'Orch iTunes data'!$A$199:$Z$310,8,FALSE)</f>
        <v>36.6</v>
      </c>
      <c r="D109" s="261">
        <f>VLOOKUP($A109,'Orch iTunes data'!$A$199:$Z$310,14,FALSE)</f>
        <v>72.2</v>
      </c>
      <c r="E109" s="261">
        <f>VLOOKUP($A109,'Orch iTunes data'!$A$199:$Z$310,20,FALSE)</f>
        <v>0</v>
      </c>
      <c r="F109" s="261">
        <f>VLOOKUP($A109,'Orch iTunes data'!$A$199:$Z$310,26,FALSE)</f>
        <v>0</v>
      </c>
      <c r="G109" s="262">
        <f t="shared" si="20"/>
        <v>133.81</v>
      </c>
      <c r="H109" s="245">
        <f t="shared" si="18"/>
        <v>223.01666666666665</v>
      </c>
      <c r="I109" s="295">
        <f>VLOOKUP($A109,[2]ORCH!$C:$Q,15,FALSE)</f>
        <v>134.28430019298062</v>
      </c>
      <c r="J109" s="264">
        <f t="shared" si="21"/>
        <v>88.732366473686028</v>
      </c>
      <c r="K109" s="265">
        <f t="shared" si="22"/>
        <v>0.66077990015339327</v>
      </c>
      <c r="L109" s="280">
        <v>325.91999977827078</v>
      </c>
      <c r="M109" s="266">
        <f t="shared" si="19"/>
        <v>548.93666644493737</v>
      </c>
      <c r="N109" s="293">
        <v>410.0622003803395</v>
      </c>
      <c r="O109" s="264">
        <f t="shared" si="24"/>
        <v>138.87446606459787</v>
      </c>
      <c r="P109" s="265">
        <f t="shared" si="23"/>
        <v>0.33866683136311881</v>
      </c>
      <c r="Q109" s="274"/>
      <c r="R109" s="235"/>
      <c r="S109" s="169"/>
      <c r="T109" s="274"/>
    </row>
    <row r="110" spans="1:20" s="3" customFormat="1" x14ac:dyDescent="0.2">
      <c r="A110" s="260" t="s">
        <v>172</v>
      </c>
      <c r="B110" s="261">
        <f>VLOOKUP($A110,'Orch iTunes data'!$A$199:$Z$310,2,FALSE)</f>
        <v>70.150000000000006</v>
      </c>
      <c r="C110" s="261">
        <f>VLOOKUP($A110,'Orch iTunes data'!$A$199:$Z$310,8,FALSE)</f>
        <v>50.99</v>
      </c>
      <c r="D110" s="261">
        <f>VLOOKUP($A110,'Orch iTunes data'!$A$199:$Z$310,14,FALSE)</f>
        <v>66.099999999999994</v>
      </c>
      <c r="E110" s="261">
        <f>VLOOKUP($A110,'Orch iTunes data'!$A$199:$Z$310,20,FALSE)</f>
        <v>0</v>
      </c>
      <c r="F110" s="261">
        <f>VLOOKUP($A110,'Orch iTunes data'!$A$199:$Z$310,26,FALSE)</f>
        <v>0</v>
      </c>
      <c r="G110" s="262">
        <f t="shared" si="20"/>
        <v>187.24</v>
      </c>
      <c r="H110" s="245">
        <f t="shared" si="18"/>
        <v>312.06666666666666</v>
      </c>
      <c r="I110" s="295">
        <f>VLOOKUP($A110,[2]ORCH!$C:$Q,15,FALSE)</f>
        <v>227.66375124464349</v>
      </c>
      <c r="J110" s="264">
        <f t="shared" si="21"/>
        <v>84.40291542202317</v>
      </c>
      <c r="K110" s="265">
        <f t="shared" si="22"/>
        <v>0.37073497629987334</v>
      </c>
      <c r="L110" s="280">
        <v>562.60000103712082</v>
      </c>
      <c r="M110" s="266">
        <f t="shared" si="19"/>
        <v>874.66666770378743</v>
      </c>
      <c r="N110" s="293">
        <v>695.21380122663606</v>
      </c>
      <c r="O110" s="264">
        <f t="shared" si="24"/>
        <v>179.45286647715136</v>
      </c>
      <c r="P110" s="265">
        <f t="shared" si="23"/>
        <v>0.25812615652986826</v>
      </c>
      <c r="Q110" s="274"/>
      <c r="R110" s="235"/>
      <c r="S110" s="169"/>
      <c r="T110" s="274"/>
    </row>
    <row r="111" spans="1:20" s="3" customFormat="1" x14ac:dyDescent="0.2">
      <c r="A111" s="260" t="s">
        <v>173</v>
      </c>
      <c r="B111" s="261">
        <f>VLOOKUP($A111,'Orch iTunes data'!$A$199:$Z$310,2,FALSE)</f>
        <v>0</v>
      </c>
      <c r="C111" s="261">
        <f>VLOOKUP($A111,'Orch iTunes data'!$A$199:$Z$310,8,FALSE)</f>
        <v>0</v>
      </c>
      <c r="D111" s="261">
        <f>VLOOKUP($A111,'Orch iTunes data'!$A$199:$Z$310,14,FALSE)</f>
        <v>0</v>
      </c>
      <c r="E111" s="261">
        <f>VLOOKUP($A111,'Orch iTunes data'!$A$199:$Z$310,20,FALSE)</f>
        <v>0</v>
      </c>
      <c r="F111" s="261">
        <f>VLOOKUP($A111,'Orch iTunes data'!$A$199:$Z$310,26,FALSE)</f>
        <v>0</v>
      </c>
      <c r="G111" s="262">
        <f t="shared" si="20"/>
        <v>0</v>
      </c>
      <c r="H111" s="245">
        <f t="shared" si="18"/>
        <v>0</v>
      </c>
      <c r="I111" s="295">
        <f>VLOOKUP($A111,[2]ORCH!$C:$Q,15,FALSE)</f>
        <v>0.76351775446398851</v>
      </c>
      <c r="J111" s="264">
        <f t="shared" si="21"/>
        <v>-0.76351775446398851</v>
      </c>
      <c r="K111" s="265">
        <f t="shared" si="22"/>
        <v>-1</v>
      </c>
      <c r="L111" s="280">
        <v>2.4800000190734881</v>
      </c>
      <c r="M111" s="266">
        <f t="shared" si="19"/>
        <v>2.4800000190734881</v>
      </c>
      <c r="N111" s="293">
        <v>2.3315441192679716</v>
      </c>
      <c r="O111" s="264">
        <f t="shared" si="24"/>
        <v>0.14845589980551654</v>
      </c>
      <c r="P111" s="265">
        <f t="shared" si="23"/>
        <v>6.3672781732359768E-2</v>
      </c>
      <c r="Q111" s="274"/>
      <c r="R111" s="235"/>
      <c r="S111" s="169"/>
      <c r="T111" s="274"/>
    </row>
    <row r="112" spans="1:20" s="3" customFormat="1" x14ac:dyDescent="0.2">
      <c r="A112" s="260" t="s">
        <v>175</v>
      </c>
      <c r="B112" s="261">
        <f>VLOOKUP($A112,'Orch iTunes data'!$A$199:$Z$310,2,FALSE)</f>
        <v>0.61</v>
      </c>
      <c r="C112" s="261">
        <f>VLOOKUP($A112,'Orch iTunes data'!$A$199:$Z$310,8,FALSE)</f>
        <v>0</v>
      </c>
      <c r="D112" s="261">
        <f>VLOOKUP($A112,'Orch iTunes data'!$A$199:$Z$310,14,FALSE)</f>
        <v>0</v>
      </c>
      <c r="E112" s="261">
        <f>VLOOKUP($A112,'Orch iTunes data'!$A$199:$Z$310,20,FALSE)</f>
        <v>0</v>
      </c>
      <c r="F112" s="261">
        <f>VLOOKUP($A112,'Orch iTunes data'!$A$199:$Z$310,26,FALSE)</f>
        <v>0</v>
      </c>
      <c r="G112" s="262">
        <f t="shared" si="20"/>
        <v>0.61</v>
      </c>
      <c r="H112" s="245">
        <f t="shared" si="18"/>
        <v>3.05</v>
      </c>
      <c r="I112" s="295">
        <f>VLOOKUP($A112,[2]ORCH!$C:$Q,15,FALSE)</f>
        <v>8.638833819587056</v>
      </c>
      <c r="J112" s="264">
        <f t="shared" si="21"/>
        <v>-5.5888338195870562</v>
      </c>
      <c r="K112" s="265">
        <f t="shared" si="22"/>
        <v>-0.64694308703049086</v>
      </c>
      <c r="L112" s="280">
        <v>65.574999511241884</v>
      </c>
      <c r="M112" s="266">
        <f t="shared" si="19"/>
        <v>68.624999511241882</v>
      </c>
      <c r="N112" s="293">
        <v>26.380293151835886</v>
      </c>
      <c r="O112" s="264">
        <f t="shared" si="24"/>
        <v>42.244706359405995</v>
      </c>
      <c r="P112" s="265">
        <f t="shared" si="23"/>
        <v>1.6013736510151728</v>
      </c>
      <c r="Q112" s="274"/>
      <c r="R112" s="235"/>
      <c r="S112" s="169"/>
      <c r="T112" s="274"/>
    </row>
    <row r="113" spans="1:20" s="3" customFormat="1" x14ac:dyDescent="0.2">
      <c r="A113" s="260" t="s">
        <v>176</v>
      </c>
      <c r="B113" s="261">
        <f>VLOOKUP($A113,'Orch iTunes data'!$A$199:$Z$310,2,FALSE)</f>
        <v>707.08</v>
      </c>
      <c r="C113" s="261">
        <f>VLOOKUP($A113,'Orch iTunes data'!$A$199:$Z$310,8,FALSE)</f>
        <v>555.36</v>
      </c>
      <c r="D113" s="261">
        <f>VLOOKUP($A113,'Orch iTunes data'!$A$199:$Z$310,14,FALSE)</f>
        <v>514.14</v>
      </c>
      <c r="E113" s="261">
        <f>VLOOKUP($A113,'Orch iTunes data'!$A$199:$Z$310,20,FALSE)</f>
        <v>0</v>
      </c>
      <c r="F113" s="261">
        <f>VLOOKUP($A113,'Orch iTunes data'!$A$199:$Z$310,26,FALSE)</f>
        <v>0</v>
      </c>
      <c r="G113" s="262">
        <f t="shared" si="20"/>
        <v>1776.58</v>
      </c>
      <c r="H113" s="245">
        <f t="shared" si="18"/>
        <v>2960.9666666666662</v>
      </c>
      <c r="I113" s="295">
        <f>VLOOKUP($A113,[2]ORCH!$C:$Q,15,FALSE)</f>
        <v>2107.0639153494608</v>
      </c>
      <c r="J113" s="264">
        <f t="shared" si="21"/>
        <v>853.90275131720546</v>
      </c>
      <c r="K113" s="265">
        <f t="shared" si="22"/>
        <v>0.40525716619070096</v>
      </c>
      <c r="L113" s="280">
        <v>6612.4099832177135</v>
      </c>
      <c r="M113" s="266">
        <f t="shared" si="19"/>
        <v>9573.3766498843797</v>
      </c>
      <c r="N113" s="293">
        <v>6434.3133503210402</v>
      </c>
      <c r="O113" s="264">
        <f t="shared" si="24"/>
        <v>3139.0632995633396</v>
      </c>
      <c r="P113" s="265">
        <f t="shared" si="23"/>
        <v>0.48786298221032642</v>
      </c>
      <c r="Q113" s="274"/>
      <c r="R113" s="235"/>
      <c r="S113" s="169"/>
      <c r="T113" s="274"/>
    </row>
    <row r="114" spans="1:20" s="3" customFormat="1" x14ac:dyDescent="0.2">
      <c r="A114" s="260" t="s">
        <v>178</v>
      </c>
      <c r="B114" s="261">
        <f>VLOOKUP($A114,'Orch iTunes data'!$A$199:$Z$310,2,FALSE)</f>
        <v>31.72</v>
      </c>
      <c r="C114" s="261">
        <f>VLOOKUP($A114,'Orch iTunes data'!$A$199:$Z$310,8,FALSE)</f>
        <v>6.1</v>
      </c>
      <c r="D114" s="261">
        <f>VLOOKUP($A114,'Orch iTunes data'!$A$199:$Z$310,14,FALSE)</f>
        <v>65.88</v>
      </c>
      <c r="E114" s="261">
        <f>VLOOKUP($A114,'Orch iTunes data'!$A$199:$Z$310,20,FALSE)</f>
        <v>0</v>
      </c>
      <c r="F114" s="261">
        <f>VLOOKUP($A114,'Orch iTunes data'!$A$199:$Z$310,26,FALSE)</f>
        <v>0</v>
      </c>
      <c r="G114" s="262">
        <f t="shared" si="20"/>
        <v>103.69999999999999</v>
      </c>
      <c r="H114" s="245">
        <f t="shared" si="18"/>
        <v>172.83333333333331</v>
      </c>
      <c r="I114" s="295">
        <f>VLOOKUP($A114,[2]ORCH!$C:$Q,15,FALSE)</f>
        <v>55.783592016103</v>
      </c>
      <c r="J114" s="264">
        <f t="shared" si="21"/>
        <v>117.04974131723031</v>
      </c>
      <c r="K114" s="265">
        <f t="shared" si="22"/>
        <v>2.0982826147775078</v>
      </c>
      <c r="L114" s="280">
        <v>136.38999903202057</v>
      </c>
      <c r="M114" s="266">
        <f t="shared" si="19"/>
        <v>309.22333236535388</v>
      </c>
      <c r="N114" s="293">
        <v>170.34562085343509</v>
      </c>
      <c r="O114" s="264">
        <f t="shared" si="24"/>
        <v>138.87771151191879</v>
      </c>
      <c r="P114" s="265">
        <f t="shared" si="23"/>
        <v>0.81527021837214586</v>
      </c>
      <c r="Q114" s="274"/>
      <c r="R114" s="235"/>
      <c r="S114" s="169"/>
      <c r="T114" s="274"/>
    </row>
    <row r="115" spans="1:20" s="3" customFormat="1" x14ac:dyDescent="0.2">
      <c r="A115" s="260" t="s">
        <v>183</v>
      </c>
      <c r="B115" s="261">
        <f>VLOOKUP($A115,'Orch iTunes data'!$A$199:$Z$310,2,FALSE)</f>
        <v>1.83</v>
      </c>
      <c r="C115" s="261">
        <f>VLOOKUP($A115,'Orch iTunes data'!$A$199:$Z$310,8,FALSE)</f>
        <v>10.119999999999999</v>
      </c>
      <c r="D115" s="261">
        <f>VLOOKUP($A115,'Orch iTunes data'!$A$199:$Z$310,14,FALSE)</f>
        <v>9.33</v>
      </c>
      <c r="E115" s="261">
        <f>VLOOKUP($A115,'Orch iTunes data'!$A$199:$Z$310,20,FALSE)</f>
        <v>0</v>
      </c>
      <c r="F115" s="261">
        <f>VLOOKUP($A115,'Orch iTunes data'!$A$199:$Z$310,26,FALSE)</f>
        <v>0</v>
      </c>
      <c r="G115" s="262">
        <f t="shared" si="20"/>
        <v>21.28</v>
      </c>
      <c r="H115" s="245">
        <f t="shared" si="18"/>
        <v>35.466666666666669</v>
      </c>
      <c r="I115" s="295">
        <f>VLOOKUP($A115,[2]ORCH!$C:$Q,15,FALSE)</f>
        <v>18.727120077095321</v>
      </c>
      <c r="J115" s="264">
        <f t="shared" si="21"/>
        <v>16.739546589571347</v>
      </c>
      <c r="K115" s="265">
        <f t="shared" si="22"/>
        <v>0.89386657001495251</v>
      </c>
      <c r="L115" s="280">
        <v>50.606667737166106</v>
      </c>
      <c r="M115" s="266">
        <f t="shared" si="19"/>
        <v>86.073334403832774</v>
      </c>
      <c r="N115" s="293">
        <v>57.186760139231502</v>
      </c>
      <c r="O115" s="264">
        <f t="shared" si="24"/>
        <v>28.886574264601272</v>
      </c>
      <c r="P115" s="265">
        <f t="shared" si="23"/>
        <v>0.50512695935688068</v>
      </c>
      <c r="Q115" s="274"/>
      <c r="R115" s="235"/>
      <c r="S115" s="169"/>
      <c r="T115" s="274"/>
    </row>
    <row r="116" spans="1:20" s="3" customFormat="1" x14ac:dyDescent="0.2">
      <c r="A116" s="260" t="s">
        <v>185</v>
      </c>
      <c r="B116" s="261">
        <f>VLOOKUP($A116,'Orch iTunes data'!$A$199:$Z$310,2,FALSE)</f>
        <v>4224.826</v>
      </c>
      <c r="C116" s="261">
        <f>VLOOKUP($A116,'Orch iTunes data'!$A$199:$Z$310,8,FALSE)</f>
        <v>4236.3940000000002</v>
      </c>
      <c r="D116" s="261">
        <f>VLOOKUP($A116,'Orch iTunes data'!$A$199:$Z$310,14,FALSE)</f>
        <v>4170.9679999999998</v>
      </c>
      <c r="E116" s="261">
        <f>VLOOKUP($A116,'Orch iTunes data'!$A$199:$Z$310,20,FALSE)</f>
        <v>0</v>
      </c>
      <c r="F116" s="261">
        <f>VLOOKUP($A116,'Orch iTunes data'!$A$199:$Z$310,26,FALSE)</f>
        <v>0</v>
      </c>
      <c r="G116" s="262">
        <f t="shared" si="20"/>
        <v>12632.188000000002</v>
      </c>
      <c r="H116" s="245">
        <f t="shared" si="18"/>
        <v>21053.646666666667</v>
      </c>
      <c r="I116" s="295">
        <f>VLOOKUP($A116,[2]ORCH!$C:$Q,15,FALSE)</f>
        <v>14543.745173249781</v>
      </c>
      <c r="J116" s="264">
        <f t="shared" si="21"/>
        <v>6509.9014934168863</v>
      </c>
      <c r="K116" s="265">
        <f t="shared" si="22"/>
        <v>0.44760833030755426</v>
      </c>
      <c r="L116" s="280">
        <v>38906.476378470659</v>
      </c>
      <c r="M116" s="266">
        <f t="shared" si="19"/>
        <v>59960.123045137327</v>
      </c>
      <c r="N116" s="293">
        <v>44412.043246627371</v>
      </c>
      <c r="O116" s="264">
        <f t="shared" si="24"/>
        <v>15548.079798509956</v>
      </c>
      <c r="P116" s="265">
        <f t="shared" si="23"/>
        <v>0.3500870183379971</v>
      </c>
      <c r="Q116" s="274"/>
      <c r="R116" s="235"/>
      <c r="S116" s="169"/>
      <c r="T116" s="274"/>
    </row>
    <row r="117" spans="1:20" s="3" customFormat="1" x14ac:dyDescent="0.2">
      <c r="A117" s="260" t="s">
        <v>187</v>
      </c>
      <c r="B117" s="261">
        <f>VLOOKUP($A117,'Orch iTunes data'!$A$199:$Z$310,2,FALSE)</f>
        <v>0</v>
      </c>
      <c r="C117" s="261">
        <f>VLOOKUP($A117,'Orch iTunes data'!$A$199:$Z$310,8,FALSE)</f>
        <v>0</v>
      </c>
      <c r="D117" s="261">
        <f>VLOOKUP($A117,'Orch iTunes data'!$A$199:$Z$310,14,FALSE)</f>
        <v>0</v>
      </c>
      <c r="E117" s="261">
        <f>VLOOKUP($A117,'Orch iTunes data'!$A$199:$Z$310,20,FALSE)</f>
        <v>0</v>
      </c>
      <c r="F117" s="261">
        <f>VLOOKUP($A117,'Orch iTunes data'!$A$199:$Z$310,26,FALSE)</f>
        <v>0</v>
      </c>
      <c r="G117" s="262">
        <f t="shared" si="20"/>
        <v>0</v>
      </c>
      <c r="H117" s="245">
        <f t="shared" si="18"/>
        <v>0</v>
      </c>
      <c r="I117" s="295">
        <f>VLOOKUP($A117,[2]ORCH!$C:$Q,15,FALSE)</f>
        <v>1.9531276471887491</v>
      </c>
      <c r="J117" s="264">
        <f t="shared" si="21"/>
        <v>-1.9531276471887491</v>
      </c>
      <c r="K117" s="265">
        <f t="shared" si="22"/>
        <v>-1</v>
      </c>
      <c r="L117" s="280">
        <v>37.819999933242791</v>
      </c>
      <c r="M117" s="266">
        <f t="shared" si="19"/>
        <v>37.819999933242791</v>
      </c>
      <c r="N117" s="293">
        <v>5.9642401939684024</v>
      </c>
      <c r="O117" s="264">
        <f t="shared" si="24"/>
        <v>31.85575973927439</v>
      </c>
      <c r="P117" s="265">
        <f t="shared" si="23"/>
        <v>5.3411262295388298</v>
      </c>
      <c r="Q117" s="274"/>
      <c r="R117" s="235"/>
      <c r="S117" s="169"/>
      <c r="T117" s="274"/>
    </row>
    <row r="118" spans="1:20" s="3" customFormat="1" x14ac:dyDescent="0.2">
      <c r="A118" s="260" t="s">
        <v>189</v>
      </c>
      <c r="B118" s="261">
        <f>VLOOKUP($A118,'Orch iTunes data'!$A$199:$Z$310,2,FALSE)</f>
        <v>0</v>
      </c>
      <c r="C118" s="261">
        <f>VLOOKUP($A118,'Orch iTunes data'!$A$199:$Z$310,8,FALSE)</f>
        <v>0.6</v>
      </c>
      <c r="D118" s="261">
        <f>VLOOKUP($A118,'Orch iTunes data'!$A$199:$Z$310,14,FALSE)</f>
        <v>2.4</v>
      </c>
      <c r="E118" s="261">
        <f>VLOOKUP($A118,'Orch iTunes data'!$A$199:$Z$310,20,FALSE)</f>
        <v>0</v>
      </c>
      <c r="F118" s="261">
        <f>VLOOKUP($A118,'Orch iTunes data'!$A$199:$Z$310,26,FALSE)</f>
        <v>0</v>
      </c>
      <c r="G118" s="262">
        <f t="shared" si="20"/>
        <v>3</v>
      </c>
      <c r="H118" s="245">
        <f t="shared" si="18"/>
        <v>7.5</v>
      </c>
      <c r="I118" s="295">
        <f>VLOOKUP($A118,[2]ORCH!$C:$Q,15,FALSE)</f>
        <v>5.1204949592519879</v>
      </c>
      <c r="J118" s="264">
        <f t="shared" si="21"/>
        <v>2.3795050407480121</v>
      </c>
      <c r="K118" s="265">
        <f t="shared" si="22"/>
        <v>0.4647021547103749</v>
      </c>
      <c r="L118" s="280">
        <v>15.150000303983692</v>
      </c>
      <c r="M118" s="266">
        <f t="shared" si="19"/>
        <v>22.650000303983692</v>
      </c>
      <c r="N118" s="293">
        <v>15.63638807373451</v>
      </c>
      <c r="O118" s="264">
        <f t="shared" si="24"/>
        <v>7.0136122302491817</v>
      </c>
      <c r="P118" s="265">
        <f t="shared" si="23"/>
        <v>0.44854426720390861</v>
      </c>
      <c r="Q118" s="274"/>
      <c r="R118" s="235"/>
      <c r="S118" s="169"/>
      <c r="T118" s="274"/>
    </row>
    <row r="119" spans="1:20" s="3" customFormat="1" x14ac:dyDescent="0.2">
      <c r="A119" s="260" t="s">
        <v>191</v>
      </c>
      <c r="B119" s="261">
        <f>VLOOKUP($A119,'Orch iTunes data'!$A$199:$Z$310,2,FALSE)</f>
        <v>59.72</v>
      </c>
      <c r="C119" s="261">
        <f>VLOOKUP($A119,'Orch iTunes data'!$A$199:$Z$310,8,FALSE)</f>
        <v>42.78</v>
      </c>
      <c r="D119" s="261">
        <f>VLOOKUP($A119,'Orch iTunes data'!$A$199:$Z$310,14,FALSE)</f>
        <v>33.770000000000003</v>
      </c>
      <c r="E119" s="261">
        <f>VLOOKUP($A119,'Orch iTunes data'!$A$199:$Z$310,20,FALSE)</f>
        <v>0</v>
      </c>
      <c r="F119" s="261">
        <f>VLOOKUP($A119,'Orch iTunes data'!$A$199:$Z$310,26,FALSE)</f>
        <v>0</v>
      </c>
      <c r="G119" s="262">
        <f t="shared" si="20"/>
        <v>136.27000000000001</v>
      </c>
      <c r="H119" s="245">
        <f t="shared" si="18"/>
        <v>227.1166666666667</v>
      </c>
      <c r="I119" s="295">
        <f>VLOOKUP($A119,[2]ORCH!$C:$Q,15,FALSE)</f>
        <v>260.63663565258025</v>
      </c>
      <c r="J119" s="264">
        <f t="shared" si="21"/>
        <v>-33.51996898591355</v>
      </c>
      <c r="K119" s="265">
        <f t="shared" si="22"/>
        <v>-0.12860804814329527</v>
      </c>
      <c r="L119" s="280">
        <v>573.22000306844689</v>
      </c>
      <c r="M119" s="266">
        <f t="shared" si="19"/>
        <v>800.33666973511356</v>
      </c>
      <c r="N119" s="293">
        <v>795.90266443532209</v>
      </c>
      <c r="O119" s="264">
        <f t="shared" si="24"/>
        <v>4.4340052997914654</v>
      </c>
      <c r="P119" s="265">
        <f t="shared" si="23"/>
        <v>5.5710396483435679E-3</v>
      </c>
      <c r="Q119" s="274"/>
      <c r="R119" s="235"/>
      <c r="S119" s="169"/>
      <c r="T119" s="274"/>
    </row>
    <row r="120" spans="1:20" s="3" customFormat="1" x14ac:dyDescent="0.2">
      <c r="A120" s="260" t="s">
        <v>193</v>
      </c>
      <c r="B120" s="261">
        <f>VLOOKUP($A120,'Orch iTunes data'!$A$199:$Z$310,2,FALSE)</f>
        <v>0.6</v>
      </c>
      <c r="C120" s="261">
        <f>VLOOKUP($A120,'Orch iTunes data'!$A$199:$Z$310,8,FALSE)</f>
        <v>1.2</v>
      </c>
      <c r="D120" s="261">
        <f>VLOOKUP($A120,'Orch iTunes data'!$A$199:$Z$310,14,FALSE)</f>
        <v>1.8</v>
      </c>
      <c r="E120" s="261">
        <f>VLOOKUP($A120,'Orch iTunes data'!$A$199:$Z$310,20,FALSE)</f>
        <v>0</v>
      </c>
      <c r="F120" s="261">
        <f>VLOOKUP($A120,'Orch iTunes data'!$A$199:$Z$310,26,FALSE)</f>
        <v>0</v>
      </c>
      <c r="G120" s="262">
        <f t="shared" si="20"/>
        <v>3.5999999999999996</v>
      </c>
      <c r="H120" s="245">
        <f t="shared" si="18"/>
        <v>6</v>
      </c>
      <c r="I120" s="295">
        <f>VLOOKUP($A120,[2]ORCH!$C:$Q,15,FALSE)</f>
        <v>9.8272124681328048</v>
      </c>
      <c r="J120" s="264">
        <f t="shared" si="21"/>
        <v>-3.8272124681328048</v>
      </c>
      <c r="K120" s="265">
        <f t="shared" si="22"/>
        <v>-0.38945046528132965</v>
      </c>
      <c r="L120" s="280">
        <v>29.55000069737434</v>
      </c>
      <c r="M120" s="266">
        <f t="shared" si="19"/>
        <v>35.550000697374344</v>
      </c>
      <c r="N120" s="293">
        <v>30.009229392389472</v>
      </c>
      <c r="O120" s="264">
        <f t="shared" si="24"/>
        <v>5.5407713049848724</v>
      </c>
      <c r="P120" s="265">
        <f t="shared" si="23"/>
        <v>0.18463557436066808</v>
      </c>
      <c r="Q120" s="274"/>
      <c r="R120" s="235"/>
      <c r="S120" s="169"/>
      <c r="T120" s="274"/>
    </row>
    <row r="121" spans="1:20" s="3" customFormat="1" x14ac:dyDescent="0.2">
      <c r="A121" s="260" t="s">
        <v>194</v>
      </c>
      <c r="B121" s="261">
        <f>VLOOKUP($A121,'Orch iTunes data'!$A$199:$Z$310,2,FALSE)</f>
        <v>3.05</v>
      </c>
      <c r="C121" s="261">
        <f>VLOOKUP($A121,'Orch iTunes data'!$A$199:$Z$310,8,FALSE)</f>
        <v>6.1</v>
      </c>
      <c r="D121" s="261">
        <f>VLOOKUP($A121,'Orch iTunes data'!$A$199:$Z$310,14,FALSE)</f>
        <v>14.03</v>
      </c>
      <c r="E121" s="261">
        <f>VLOOKUP($A121,'Orch iTunes data'!$A$199:$Z$310,20,FALSE)</f>
        <v>0</v>
      </c>
      <c r="F121" s="261">
        <f>VLOOKUP($A121,'Orch iTunes data'!$A$199:$Z$310,26,FALSE)</f>
        <v>0</v>
      </c>
      <c r="G121" s="262">
        <f t="shared" si="20"/>
        <v>23.18</v>
      </c>
      <c r="H121" s="245">
        <f t="shared" si="18"/>
        <v>38.633333333333333</v>
      </c>
      <c r="I121" s="295">
        <f>VLOOKUP($A121,[2]ORCH!$C:$Q,15,FALSE)</f>
        <v>43.266826524268261</v>
      </c>
      <c r="J121" s="264">
        <f t="shared" si="21"/>
        <v>-4.633493190934928</v>
      </c>
      <c r="K121" s="265">
        <f t="shared" si="22"/>
        <v>-0.10709112646234899</v>
      </c>
      <c r="L121" s="280">
        <v>69.939999878406482</v>
      </c>
      <c r="M121" s="266">
        <f t="shared" si="19"/>
        <v>108.57333321173982</v>
      </c>
      <c r="N121" s="293">
        <v>132.12333878583451</v>
      </c>
      <c r="O121" s="264">
        <f t="shared" si="24"/>
        <v>-23.550005574094683</v>
      </c>
      <c r="P121" s="265">
        <f t="shared" si="23"/>
        <v>-0.17824258598451023</v>
      </c>
      <c r="Q121" s="274"/>
      <c r="R121" s="235"/>
      <c r="S121" s="169"/>
      <c r="T121" s="274"/>
    </row>
    <row r="122" spans="1:20" s="3" customFormat="1" x14ac:dyDescent="0.2">
      <c r="A122" s="260" t="s">
        <v>195</v>
      </c>
      <c r="B122" s="261">
        <f>VLOOKUP($A122,'Orch iTunes data'!$A$199:$Z$310,2,FALSE)</f>
        <v>448.38</v>
      </c>
      <c r="C122" s="261">
        <f>VLOOKUP($A122,'Orch iTunes data'!$A$199:$Z$310,8,FALSE)</f>
        <v>595.38</v>
      </c>
      <c r="D122" s="261">
        <f>VLOOKUP($A122,'Orch iTunes data'!$A$199:$Z$310,14,FALSE)</f>
        <v>371.58</v>
      </c>
      <c r="E122" s="261">
        <f>VLOOKUP($A122,'Orch iTunes data'!$A$199:$Z$310,20,FALSE)</f>
        <v>0</v>
      </c>
      <c r="F122" s="261">
        <f>VLOOKUP($A122,'Orch iTunes data'!$A$199:$Z$310,26,FALSE)</f>
        <v>0</v>
      </c>
      <c r="G122" s="262">
        <f t="shared" si="20"/>
        <v>1415.34</v>
      </c>
      <c r="H122" s="245">
        <f t="shared" si="18"/>
        <v>2358.8999999999996</v>
      </c>
      <c r="I122" s="295">
        <f>VLOOKUP($A122,[2]ORCH!$C:$Q,15,FALSE)</f>
        <v>1541.9388624757255</v>
      </c>
      <c r="J122" s="264">
        <f t="shared" si="21"/>
        <v>816.96113752427414</v>
      </c>
      <c r="K122" s="265">
        <f t="shared" si="22"/>
        <v>0.52982719185932403</v>
      </c>
      <c r="L122" s="280">
        <v>3793.7399676740156</v>
      </c>
      <c r="M122" s="266">
        <f t="shared" si="19"/>
        <v>6152.6399676740148</v>
      </c>
      <c r="N122" s="293">
        <v>4708.598413143498</v>
      </c>
      <c r="O122" s="264">
        <f t="shared" si="24"/>
        <v>1444.0415545305168</v>
      </c>
      <c r="P122" s="265">
        <f t="shared" si="23"/>
        <v>0.30668182499905805</v>
      </c>
      <c r="Q122" s="274"/>
      <c r="R122" s="235"/>
      <c r="S122" s="169"/>
      <c r="T122" s="274"/>
    </row>
    <row r="123" spans="1:20" s="3" customFormat="1" x14ac:dyDescent="0.2">
      <c r="A123" s="260" t="s">
        <v>196</v>
      </c>
      <c r="B123" s="261">
        <f>VLOOKUP($A123,'Orch iTunes data'!$A$199:$Z$310,2,FALSE)</f>
        <v>22.2</v>
      </c>
      <c r="C123" s="261">
        <f>VLOOKUP($A123,'Orch iTunes data'!$A$199:$Z$310,8,FALSE)</f>
        <v>11.4</v>
      </c>
      <c r="D123" s="261">
        <f>VLOOKUP($A123,'Orch iTunes data'!$A$199:$Z$310,14,FALSE)</f>
        <v>3.6</v>
      </c>
      <c r="E123" s="261">
        <f>VLOOKUP($A123,'Orch iTunes data'!$A$199:$Z$310,20,FALSE)</f>
        <v>0</v>
      </c>
      <c r="F123" s="261">
        <f>VLOOKUP($A123,'Orch iTunes data'!$A$199:$Z$310,26,FALSE)</f>
        <v>0</v>
      </c>
      <c r="G123" s="262">
        <f t="shared" si="20"/>
        <v>37.200000000000003</v>
      </c>
      <c r="H123" s="245">
        <f t="shared" si="18"/>
        <v>62</v>
      </c>
      <c r="I123" s="295">
        <f>VLOOKUP($A123,[2]ORCH!$C:$Q,15,FALSE)</f>
        <v>25.040919623174549</v>
      </c>
      <c r="J123" s="264">
        <f t="shared" si="21"/>
        <v>36.959080376825455</v>
      </c>
      <c r="K123" s="265">
        <f t="shared" si="22"/>
        <v>1.4759474066048692</v>
      </c>
      <c r="L123" s="280">
        <v>47.40000116825103</v>
      </c>
      <c r="M123" s="266">
        <f t="shared" si="19"/>
        <v>109.40000116825104</v>
      </c>
      <c r="N123" s="293">
        <v>76.467126726426727</v>
      </c>
      <c r="O123" s="264">
        <f t="shared" si="24"/>
        <v>32.93287444182431</v>
      </c>
      <c r="P123" s="265">
        <f t="shared" si="23"/>
        <v>0.43068016089641881</v>
      </c>
      <c r="Q123" s="274"/>
      <c r="R123" s="235"/>
      <c r="S123" s="169"/>
      <c r="T123" s="274"/>
    </row>
    <row r="124" spans="1:20" s="3" customFormat="1" x14ac:dyDescent="0.2">
      <c r="A124" s="260" t="s">
        <v>199</v>
      </c>
      <c r="B124" s="261">
        <f>VLOOKUP($A124,'Orch iTunes data'!$A$199:$Z$310,2,FALSE)</f>
        <v>3.05</v>
      </c>
      <c r="C124" s="261">
        <f>VLOOKUP($A124,'Orch iTunes data'!$A$199:$Z$310,8,FALSE)</f>
        <v>10.98</v>
      </c>
      <c r="D124" s="261">
        <f>VLOOKUP($A124,'Orch iTunes data'!$A$199:$Z$310,14,FALSE)</f>
        <v>0.61</v>
      </c>
      <c r="E124" s="261">
        <f>VLOOKUP($A124,'Orch iTunes data'!$A$199:$Z$310,20,FALSE)</f>
        <v>0</v>
      </c>
      <c r="F124" s="261">
        <f>VLOOKUP($A124,'Orch iTunes data'!$A$199:$Z$310,26,FALSE)</f>
        <v>0</v>
      </c>
      <c r="G124" s="262">
        <f t="shared" si="20"/>
        <v>14.64</v>
      </c>
      <c r="H124" s="245">
        <f t="shared" si="18"/>
        <v>24.4</v>
      </c>
      <c r="I124" s="295">
        <f>VLOOKUP($A124,[2]ORCH!$C:$Q,15,FALSE)</f>
        <v>30.649080248217643</v>
      </c>
      <c r="J124" s="264">
        <f t="shared" si="21"/>
        <v>-6.2490802482176449</v>
      </c>
      <c r="K124" s="265">
        <f t="shared" si="22"/>
        <v>-0.20389128148734748</v>
      </c>
      <c r="L124" s="280">
        <v>109.79999856154112</v>
      </c>
      <c r="M124" s="266">
        <f t="shared" si="19"/>
        <v>134.19999856154112</v>
      </c>
      <c r="N124" s="293">
        <v>93.592693026334075</v>
      </c>
      <c r="O124" s="264">
        <f t="shared" si="24"/>
        <v>40.607305535207047</v>
      </c>
      <c r="P124" s="265">
        <f t="shared" si="23"/>
        <v>0.43387260503105102</v>
      </c>
      <c r="Q124" s="274"/>
      <c r="R124" s="235"/>
      <c r="S124" s="169"/>
      <c r="T124" s="274"/>
    </row>
    <row r="125" spans="1:20" s="3" customFormat="1" x14ac:dyDescent="0.2">
      <c r="A125" s="260" t="s">
        <v>200</v>
      </c>
      <c r="B125" s="261">
        <f>VLOOKUP($A125,'Orch iTunes data'!$A$199:$Z$310,2,FALSE)</f>
        <v>10.37</v>
      </c>
      <c r="C125" s="261">
        <f>VLOOKUP($A125,'Orch iTunes data'!$A$199:$Z$310,8,FALSE)</f>
        <v>31.72</v>
      </c>
      <c r="D125" s="261">
        <f>VLOOKUP($A125,'Orch iTunes data'!$A$199:$Z$310,14,FALSE)</f>
        <v>12.2</v>
      </c>
      <c r="E125" s="261">
        <f>VLOOKUP($A125,'Orch iTunes data'!$A$199:$Z$310,20,FALSE)</f>
        <v>0</v>
      </c>
      <c r="F125" s="261">
        <f>VLOOKUP($A125,'Orch iTunes data'!$A$199:$Z$310,26,FALSE)</f>
        <v>0</v>
      </c>
      <c r="G125" s="262">
        <f t="shared" si="20"/>
        <v>54.289999999999992</v>
      </c>
      <c r="H125" s="245">
        <f t="shared" si="18"/>
        <v>90.48333333333332</v>
      </c>
      <c r="I125" s="295">
        <f>VLOOKUP($A125,[2]ORCH!$C:$Q,15,FALSE)</f>
        <v>43.477409899515195</v>
      </c>
      <c r="J125" s="264">
        <f t="shared" si="21"/>
        <v>47.005923433818126</v>
      </c>
      <c r="K125" s="265">
        <f t="shared" si="22"/>
        <v>1.0811573997268471</v>
      </c>
      <c r="L125" s="280">
        <v>168.7200003862381</v>
      </c>
      <c r="M125" s="266">
        <f t="shared" si="19"/>
        <v>259.20333371957145</v>
      </c>
      <c r="N125" s="293">
        <v>132.76639446764676</v>
      </c>
      <c r="O125" s="264">
        <f t="shared" si="24"/>
        <v>126.43693925192468</v>
      </c>
      <c r="P125" s="265">
        <f t="shared" si="23"/>
        <v>0.95232637565325706</v>
      </c>
      <c r="Q125" s="274"/>
      <c r="R125" s="235"/>
      <c r="S125" s="169"/>
      <c r="T125" s="274"/>
    </row>
    <row r="126" spans="1:20" s="57" customFormat="1" x14ac:dyDescent="0.2">
      <c r="A126" s="258"/>
      <c r="B126" s="45"/>
      <c r="C126" s="45"/>
      <c r="D126" s="46"/>
      <c r="E126" s="46"/>
      <c r="F126" s="46"/>
      <c r="G126" s="46"/>
      <c r="H126" s="55"/>
      <c r="I126" s="342"/>
      <c r="J126" s="43"/>
      <c r="K126" s="114"/>
      <c r="L126" s="281"/>
      <c r="M126" s="139"/>
      <c r="N126" s="294">
        <v>0</v>
      </c>
      <c r="O126" s="43"/>
      <c r="P126" s="114"/>
      <c r="R126" s="257"/>
      <c r="S126" s="166"/>
      <c r="T126" s="274"/>
    </row>
    <row r="127" spans="1:20" ht="12.75" customHeight="1" x14ac:dyDescent="0.2">
      <c r="A127" s="238" t="s">
        <v>78</v>
      </c>
      <c r="B127" s="268">
        <f>SUM(Summary!D7:D9)</f>
        <v>50276.557501000003</v>
      </c>
      <c r="C127" s="268">
        <f>SUM(Summary!E7:E9)</f>
        <v>49361.708342999998</v>
      </c>
      <c r="D127" s="268">
        <f>SUM(Summary!F7:F9)</f>
        <v>77603.243298999994</v>
      </c>
      <c r="E127" s="268">
        <f>SUM(Summary!G7:G9)</f>
        <v>0</v>
      </c>
      <c r="F127" s="268">
        <f>SUM(Summary!H7:H9)</f>
        <v>0</v>
      </c>
      <c r="G127" s="243">
        <f>SUM(B127:F127)</f>
        <v>177241.509143</v>
      </c>
      <c r="H127" s="244">
        <f>IFERROR((((B127+C127+D127+E127+F127))/COUNTIF(B127:F127, "&gt;0")*4),0)</f>
        <v>236322.01219066666</v>
      </c>
      <c r="I127" s="341">
        <v>315000</v>
      </c>
      <c r="J127" s="246">
        <f>H127-I127</f>
        <v>-78677.987809333339</v>
      </c>
      <c r="K127" s="247">
        <f>J127/I127</f>
        <v>-0.2497713898708995</v>
      </c>
      <c r="L127" s="279">
        <v>374248.25806800998</v>
      </c>
      <c r="M127" s="271">
        <f>L127+H127</f>
        <v>610570.27025867661</v>
      </c>
      <c r="N127" s="292">
        <v>283557.13507100154</v>
      </c>
      <c r="O127" s="246">
        <f>M127-N127</f>
        <v>327013.13518767507</v>
      </c>
      <c r="P127" s="247">
        <f>O127/N127</f>
        <v>1.1532530652271977</v>
      </c>
      <c r="R127" s="227">
        <v>1.9238199053312612E-2</v>
      </c>
      <c r="S127" s="166">
        <f>R127*$R$129</f>
        <v>93557.135071001554</v>
      </c>
      <c r="T127" s="274"/>
    </row>
    <row r="128" spans="1:20" ht="13.5" thickBot="1" x14ac:dyDescent="0.25">
      <c r="A128" s="28"/>
      <c r="B128" s="34"/>
      <c r="C128" s="34"/>
      <c r="D128" s="29"/>
      <c r="E128" s="29"/>
      <c r="F128" s="29"/>
      <c r="G128" s="29"/>
      <c r="H128" s="56"/>
      <c r="I128" s="170"/>
      <c r="J128" s="53"/>
      <c r="K128" s="115"/>
      <c r="L128" s="282"/>
      <c r="M128" s="28"/>
      <c r="N128" s="29"/>
      <c r="O128" s="29"/>
      <c r="P128" s="140"/>
    </row>
    <row r="129" spans="1:19" s="57" customFormat="1" ht="13.5" thickBot="1" x14ac:dyDescent="0.25">
      <c r="A129" s="30" t="s">
        <v>15</v>
      </c>
      <c r="B129" s="37">
        <f t="shared" ref="B129:F129" si="25">SUM(B4,B8:B9,B14,B18,B22,B27,B30:B31,B34:B36,B49,B67,B81,B127)</f>
        <v>977436.41596999986</v>
      </c>
      <c r="C129" s="37">
        <f t="shared" si="25"/>
        <v>953603.19883399992</v>
      </c>
      <c r="D129" s="37">
        <f t="shared" si="25"/>
        <v>979110.84258199984</v>
      </c>
      <c r="E129" s="37">
        <f t="shared" si="25"/>
        <v>0</v>
      </c>
      <c r="F129" s="37">
        <f t="shared" si="25"/>
        <v>0</v>
      </c>
      <c r="G129" s="37">
        <f>SUM(G4,G8:G9,G14,G18,G22,G27,G30:G31,G34:G36,G49,G67,G81,G127)</f>
        <v>2910150.4573860001</v>
      </c>
      <c r="H129" s="37">
        <f>SUM(H4,H8:H9,H14,H18,H22,H27,H30:H31,H34:H36,H49,H67,H81,H127)</f>
        <v>4791170.2592623336</v>
      </c>
      <c r="I129" s="37">
        <f>SUM(I4,I8:I9,I14,I18,I22,I27,I30:I31,I34:I36,I49,I67,I81,I127)</f>
        <v>4458031.2000000011</v>
      </c>
      <c r="J129" s="54">
        <f>H129-I129</f>
        <v>333139.05926233251</v>
      </c>
      <c r="K129" s="116">
        <f>J129/I129</f>
        <v>7.47278438209074E-2</v>
      </c>
      <c r="L129" s="37">
        <f>SUM(L4,L8:L9,L14,L18,L22,L27,L30:L31,L34:L36,L49,L67,L81,L127)</f>
        <v>8650031.9347198308</v>
      </c>
      <c r="M129" s="37">
        <f>SUM(M4,M8:M9,M14,M18,M22,M27,M30:M31,M34:M36,M49,M67,M81,M127)</f>
        <v>13441202.193982162</v>
      </c>
      <c r="N129" s="37">
        <f>SUM(N4,N8:N9,N14,N18,N22,N27,N30:N31,N34:N36,N49,N67,N81,N127)</f>
        <v>12815965.644004514</v>
      </c>
      <c r="O129" s="84">
        <f>M129-N129</f>
        <v>625236.54997764714</v>
      </c>
      <c r="P129" s="141">
        <f>O129/N129</f>
        <v>4.8785754218227124E-2</v>
      </c>
      <c r="R129" s="236">
        <v>4863092.1642788602</v>
      </c>
      <c r="S129" s="166"/>
    </row>
    <row r="130" spans="1:19" s="3" customFormat="1" ht="12.75" customHeight="1" x14ac:dyDescent="0.2">
      <c r="A130" s="72"/>
      <c r="B130" s="72"/>
      <c r="C130" s="72"/>
      <c r="D130" s="72"/>
      <c r="E130" s="72"/>
      <c r="F130" s="72"/>
      <c r="G130" s="72"/>
      <c r="H130" s="67"/>
      <c r="L130" s="283"/>
      <c r="R130" s="235"/>
      <c r="S130" s="169"/>
    </row>
    <row r="131" spans="1:19" s="406" customFormat="1" ht="15" x14ac:dyDescent="0.25">
      <c r="A131" s="408" t="s">
        <v>9</v>
      </c>
      <c r="B131" s="410">
        <f>B4</f>
        <v>550505.14426099998</v>
      </c>
      <c r="C131" s="410">
        <f t="shared" ref="C131:K131" si="26">C4</f>
        <v>533636.59290799999</v>
      </c>
      <c r="D131" s="410">
        <f t="shared" si="26"/>
        <v>536679.07538100006</v>
      </c>
      <c r="E131" s="410">
        <f t="shared" si="26"/>
        <v>0</v>
      </c>
      <c r="F131" s="410">
        <f t="shared" si="26"/>
        <v>0</v>
      </c>
      <c r="G131" s="410">
        <f t="shared" si="26"/>
        <v>1620820.8125499999</v>
      </c>
      <c r="H131" s="410">
        <f t="shared" si="26"/>
        <v>2701368.0209166668</v>
      </c>
      <c r="I131" s="410">
        <f t="shared" si="26"/>
        <v>2452632.863216151</v>
      </c>
      <c r="J131" s="410">
        <f t="shared" si="26"/>
        <v>248735.15770051582</v>
      </c>
      <c r="K131" s="410">
        <f t="shared" si="26"/>
        <v>0.10141556913428455</v>
      </c>
      <c r="L131" s="405"/>
      <c r="R131" s="407"/>
      <c r="S131" s="405"/>
    </row>
    <row r="132" spans="1:19" s="406" customFormat="1" ht="15" x14ac:dyDescent="0.25">
      <c r="A132" s="409" t="s">
        <v>24</v>
      </c>
      <c r="B132" s="411">
        <f>B$8+B$9+B$14+B$18+B$22+B$27+B$36</f>
        <v>237831.46077599999</v>
      </c>
      <c r="C132" s="411">
        <f t="shared" ref="C132:K132" si="27">C$8+C$9+C$14+C$18+C$22+C$27+C$36</f>
        <v>229131.378528</v>
      </c>
      <c r="D132" s="411">
        <f t="shared" si="27"/>
        <v>224131.07527199999</v>
      </c>
      <c r="E132" s="411">
        <f t="shared" si="27"/>
        <v>0</v>
      </c>
      <c r="F132" s="411">
        <f t="shared" si="27"/>
        <v>0</v>
      </c>
      <c r="G132" s="411">
        <f t="shared" si="27"/>
        <v>691093.91457599995</v>
      </c>
      <c r="H132" s="411">
        <f t="shared" si="27"/>
        <v>1151823.1909599998</v>
      </c>
      <c r="I132" s="411">
        <f t="shared" si="27"/>
        <v>1021239.787241005</v>
      </c>
      <c r="J132" s="411">
        <f t="shared" si="27"/>
        <v>130583.40371899481</v>
      </c>
      <c r="K132" s="411">
        <f t="shared" si="27"/>
        <v>1.1203785800093691</v>
      </c>
      <c r="L132" s="405"/>
      <c r="R132" s="407"/>
      <c r="S132" s="405"/>
    </row>
    <row r="133" spans="1:19" s="406" customFormat="1" ht="15" x14ac:dyDescent="0.25">
      <c r="A133" s="409" t="s">
        <v>26</v>
      </c>
      <c r="B133" s="411">
        <f>B$30+B$31+B$34+B$35+B$49+B$67+B$81</f>
        <v>138823.25343199997</v>
      </c>
      <c r="C133" s="411">
        <f t="shared" ref="C133:K133" si="28">C$30+C$31+C$34+C$35+C$49+C$67+C$81</f>
        <v>141473.51905500001</v>
      </c>
      <c r="D133" s="411">
        <f t="shared" si="28"/>
        <v>140697.44863</v>
      </c>
      <c r="E133" s="411">
        <f t="shared" si="28"/>
        <v>0</v>
      </c>
      <c r="F133" s="411">
        <f t="shared" si="28"/>
        <v>0</v>
      </c>
      <c r="G133" s="411">
        <f t="shared" si="28"/>
        <v>420994.22111699998</v>
      </c>
      <c r="H133" s="411">
        <f t="shared" si="28"/>
        <v>701657.035195</v>
      </c>
      <c r="I133" s="411">
        <f t="shared" si="28"/>
        <v>669158.54954284464</v>
      </c>
      <c r="J133" s="411">
        <f t="shared" si="28"/>
        <v>32498.485652155337</v>
      </c>
      <c r="K133" s="411">
        <f t="shared" si="28"/>
        <v>0.61605930910362483</v>
      </c>
      <c r="L133" s="405"/>
      <c r="R133" s="407"/>
      <c r="S133" s="405"/>
    </row>
    <row r="134" spans="1:19" x14ac:dyDescent="0.2">
      <c r="H134" s="78"/>
      <c r="I134" s="227"/>
      <c r="J134" s="237"/>
    </row>
    <row r="135" spans="1:19" x14ac:dyDescent="0.2">
      <c r="B135" s="163"/>
      <c r="J135" s="109"/>
    </row>
  </sheetData>
  <mergeCells count="2">
    <mergeCell ref="M1:P1"/>
    <mergeCell ref="A1:K1"/>
  </mergeCells>
  <phoneticPr fontId="14" type="noConversion"/>
  <pageMargins left="0.25" right="0.25" top="0.5" bottom="0.5" header="0.3" footer="0.3"/>
  <pageSetup scale="70" fitToWidth="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  <pageSetUpPr fitToPage="1"/>
  </sheetPr>
  <dimension ref="A1:T131"/>
  <sheetViews>
    <sheetView workbookViewId="0">
      <pane xSplit="1" topLeftCell="B1" activePane="topRight" state="frozen"/>
      <selection sqref="A1:E1"/>
      <selection pane="topRight" activeCell="I96" sqref="I96"/>
    </sheetView>
  </sheetViews>
  <sheetFormatPr defaultColWidth="8.85546875" defaultRowHeight="12.75" x14ac:dyDescent="0.2"/>
  <cols>
    <col min="1" max="1" width="15.7109375" bestFit="1" customWidth="1"/>
    <col min="2" max="2" width="11" customWidth="1"/>
    <col min="3" max="3" width="10.140625" customWidth="1"/>
    <col min="4" max="4" width="9.7109375" customWidth="1"/>
    <col min="5" max="5" width="11" customWidth="1"/>
    <col min="6" max="6" width="10.7109375" customWidth="1"/>
    <col min="7" max="7" width="11.140625" customWidth="1"/>
    <col min="8" max="9" width="11.28515625" customWidth="1"/>
    <col min="10" max="10" width="11.85546875" bestFit="1" customWidth="1"/>
    <col min="11" max="11" width="8.28515625" customWidth="1"/>
    <col min="12" max="12" width="13.42578125" style="78" hidden="1" customWidth="1"/>
    <col min="13" max="14" width="12.28515625" hidden="1" customWidth="1"/>
    <col min="15" max="15" width="11.28515625" hidden="1" customWidth="1"/>
    <col min="16" max="16" width="9.42578125" hidden="1" customWidth="1"/>
    <col min="18" max="18" width="0" hidden="1" customWidth="1"/>
    <col min="19" max="19" width="11.28515625" hidden="1" customWidth="1"/>
    <col min="20" max="20" width="11.28515625" bestFit="1" customWidth="1"/>
  </cols>
  <sheetData>
    <row r="1" spans="1:20" ht="15.75" thickBot="1" x14ac:dyDescent="0.3">
      <c r="A1" s="568" t="s">
        <v>1009</v>
      </c>
      <c r="B1" s="569"/>
      <c r="C1" s="569"/>
      <c r="D1" s="569"/>
      <c r="E1" s="569"/>
      <c r="F1" s="569"/>
      <c r="G1" s="569"/>
      <c r="H1" s="569"/>
      <c r="I1" s="569"/>
      <c r="J1" s="569"/>
      <c r="K1" s="570"/>
      <c r="L1" s="276"/>
      <c r="M1" s="568" t="s">
        <v>739</v>
      </c>
      <c r="N1" s="569"/>
      <c r="O1" s="569"/>
      <c r="P1" s="570"/>
    </row>
    <row r="2" spans="1:20" ht="42.75" customHeight="1" thickBot="1" x14ac:dyDescent="0.25">
      <c r="A2" s="68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9" t="s">
        <v>5</v>
      </c>
      <c r="G2" s="69" t="s">
        <v>6</v>
      </c>
      <c r="H2" s="71" t="s">
        <v>7</v>
      </c>
      <c r="I2" s="100" t="s">
        <v>82</v>
      </c>
      <c r="J2" s="69" t="s">
        <v>80</v>
      </c>
      <c r="K2" s="70" t="s">
        <v>81</v>
      </c>
      <c r="L2" s="277" t="s">
        <v>749</v>
      </c>
      <c r="M2" s="150" t="s">
        <v>746</v>
      </c>
      <c r="N2" s="151" t="s">
        <v>747</v>
      </c>
      <c r="O2" s="151" t="s">
        <v>748</v>
      </c>
      <c r="P2" s="152" t="s">
        <v>750</v>
      </c>
    </row>
    <row r="3" spans="1:20" ht="15" x14ac:dyDescent="0.2">
      <c r="A3" s="60" t="s">
        <v>8</v>
      </c>
      <c r="B3" s="61"/>
      <c r="C3" s="61"/>
      <c r="D3" s="61"/>
      <c r="E3" s="62"/>
      <c r="F3" s="63"/>
      <c r="G3" s="64"/>
      <c r="H3" s="65"/>
      <c r="I3" s="74"/>
      <c r="J3" s="66"/>
      <c r="K3" s="113"/>
      <c r="L3" s="278"/>
      <c r="M3" s="80"/>
      <c r="N3" s="81"/>
      <c r="O3" s="81"/>
      <c r="P3" s="82"/>
    </row>
    <row r="4" spans="1:20" x14ac:dyDescent="0.2">
      <c r="A4" s="238" t="s">
        <v>9</v>
      </c>
      <c r="B4" s="242">
        <f>'IODA iTunes data'!B116</f>
        <v>367582.006895</v>
      </c>
      <c r="C4" s="243">
        <f>'IODA iTunes data'!H116</f>
        <v>508952.72846300004</v>
      </c>
      <c r="D4" s="243">
        <f>'IODA iTunes data'!N116</f>
        <v>406410.93327499996</v>
      </c>
      <c r="E4" s="243">
        <f>'IODA iTunes data'!T116</f>
        <v>0</v>
      </c>
      <c r="F4" s="243">
        <f>'IODA iTunes data'!Z116</f>
        <v>0</v>
      </c>
      <c r="G4" s="243">
        <f>SUM(B4:F4)</f>
        <v>1282945.668633</v>
      </c>
      <c r="H4" s="244">
        <f>IFERROR((((B4+C4+D4+E4+F4))/COUNTIF(B4:F4, "&gt;0")*5),0)</f>
        <v>2138242.7810550001</v>
      </c>
      <c r="I4" s="341">
        <f>SUM(I5:I7)</f>
        <v>1683967.9890447056</v>
      </c>
      <c r="J4" s="246">
        <f>H4-I4</f>
        <v>454274.79201029451</v>
      </c>
      <c r="K4" s="247">
        <f t="shared" ref="K4:K81" si="0">J4/I4</f>
        <v>0.26976450559965753</v>
      </c>
      <c r="L4" s="285">
        <v>3320220.9519635891</v>
      </c>
      <c r="M4" s="245">
        <f>L4+H4</f>
        <v>5458463.7330185892</v>
      </c>
      <c r="N4" s="245">
        <f>SUM(N5:N7)</f>
        <v>5093346.1636483194</v>
      </c>
      <c r="O4" s="246">
        <f>M4-N4</f>
        <v>365117.56937026978</v>
      </c>
      <c r="P4" s="247">
        <f t="shared" ref="P4:P81" si="1">O4/N4</f>
        <v>7.1685206078500513E-2</v>
      </c>
      <c r="R4">
        <v>0.55516208487524987</v>
      </c>
      <c r="S4">
        <f>R4*$S$127</f>
        <v>1628451.7805571808</v>
      </c>
      <c r="T4" s="109"/>
    </row>
    <row r="5" spans="1:20" s="3" customFormat="1" x14ac:dyDescent="0.2">
      <c r="A5" s="267" t="s">
        <v>201</v>
      </c>
      <c r="B5" s="261">
        <f>VLOOKUP($A5,'IODA iTunes data'!$A$138:$Z$249,2,FALSE)</f>
        <v>314805.13</v>
      </c>
      <c r="C5" s="261">
        <f>VLOOKUP($A5,'IODA iTunes data'!$A$138:$Z$249,8,FALSE)</f>
        <v>446697.33</v>
      </c>
      <c r="D5" s="261">
        <f>VLOOKUP($A5,'IODA iTunes data'!$A$138:$Z$249,14,FALSE)</f>
        <v>352096.24</v>
      </c>
      <c r="E5" s="261">
        <f>VLOOKUP($A5,'IODA iTunes data'!$A$138:$Z$249,20,FALSE)</f>
        <v>0</v>
      </c>
      <c r="F5" s="261">
        <f>VLOOKUP($A5,'IODA iTunes data'!$A$138:$Z$249,26,FALSE)</f>
        <v>0</v>
      </c>
      <c r="G5" s="262">
        <f>SUM(B5:F5)</f>
        <v>1113598.7</v>
      </c>
      <c r="H5" s="244">
        <f t="shared" ref="H5:H68" si="2">IFERROR((((B5+C5+D5+E5+F5))/COUNTIF(B5:F5, "&gt;0")*5),0)</f>
        <v>1855997.8333333333</v>
      </c>
      <c r="I5" s="343">
        <f>VLOOKUP($A5,[2]IODA!$D:$N,11,FALSE)</f>
        <v>1432626.5639533426</v>
      </c>
      <c r="J5" s="264">
        <f>H5-I5</f>
        <v>423371.26937999064</v>
      </c>
      <c r="K5" s="265">
        <f t="shared" ref="K5" si="3">J5/I5</f>
        <v>0.29552102413324988</v>
      </c>
      <c r="L5" s="286">
        <v>2837054.886390463</v>
      </c>
      <c r="M5" s="263">
        <f t="shared" ref="M5:M68" si="4">L5+H5</f>
        <v>4693052.7197237965</v>
      </c>
      <c r="N5" s="263">
        <f>4401951.99428771-80888.6538581233</f>
        <v>4321063.3404295864</v>
      </c>
      <c r="O5" s="264">
        <f>M5-N5</f>
        <v>371989.37929421011</v>
      </c>
      <c r="P5" s="265">
        <f>O5/N5</f>
        <v>8.6087462734861953E-2</v>
      </c>
      <c r="R5" s="235"/>
      <c r="S5" s="169"/>
      <c r="T5" s="109"/>
    </row>
    <row r="6" spans="1:20" s="3" customFormat="1" x14ac:dyDescent="0.2">
      <c r="A6" s="267" t="s">
        <v>36</v>
      </c>
      <c r="B6" s="261">
        <f>VLOOKUP($A6,'IODA iTunes data'!$A$138:$Z$249,2,FALSE)</f>
        <v>41812.746245000002</v>
      </c>
      <c r="C6" s="261">
        <f>VLOOKUP($A6,'IODA iTunes data'!$A$138:$Z$249,8,FALSE)</f>
        <v>51668.822524000003</v>
      </c>
      <c r="D6" s="261">
        <f>VLOOKUP($A6,'IODA iTunes data'!$A$138:$Z$249,14,FALSE)</f>
        <v>43104.034</v>
      </c>
      <c r="E6" s="261">
        <f>VLOOKUP($A6,'IODA iTunes data'!$A$138:$Z$249,20,FALSE)</f>
        <v>0</v>
      </c>
      <c r="F6" s="261">
        <f>VLOOKUP($A6,'IODA iTunes data'!$A$138:$Z$249,26,FALSE)</f>
        <v>0</v>
      </c>
      <c r="G6" s="262">
        <f t="shared" ref="G6:G7" si="5">SUM(B6:F6)</f>
        <v>136585.60276899999</v>
      </c>
      <c r="H6" s="244">
        <f t="shared" si="2"/>
        <v>227642.67128166667</v>
      </c>
      <c r="I6" s="343">
        <f>VLOOKUP($A6,[2]IODA!$D:$N,11,FALSE)</f>
        <v>201810.3102913379</v>
      </c>
      <c r="J6" s="264">
        <f t="shared" ref="J6:J7" si="6">H6-I6</f>
        <v>25832.360990328772</v>
      </c>
      <c r="K6" s="265">
        <f t="shared" ref="K6:K7" si="7">J6/I6</f>
        <v>0.12800317760295099</v>
      </c>
      <c r="L6" s="286">
        <v>383139.94649019826</v>
      </c>
      <c r="M6" s="263">
        <f t="shared" si="4"/>
        <v>610782.61777186487</v>
      </c>
      <c r="N6" s="263">
        <v>620091.32052064128</v>
      </c>
      <c r="O6" s="264">
        <f t="shared" ref="O6:O69" si="8">M6-N6</f>
        <v>-9308.7027487764135</v>
      </c>
      <c r="P6" s="265">
        <f t="shared" si="1"/>
        <v>-1.5011825582336224E-2</v>
      </c>
      <c r="R6" s="235"/>
      <c r="S6" s="169"/>
      <c r="T6" s="109"/>
    </row>
    <row r="7" spans="1:20" s="3" customFormat="1" x14ac:dyDescent="0.2">
      <c r="A7" s="267" t="s">
        <v>73</v>
      </c>
      <c r="B7" s="261">
        <f>VLOOKUP($A7,'IODA iTunes data'!$A$138:$Z$249,2,FALSE)</f>
        <v>10964.130649999999</v>
      </c>
      <c r="C7" s="261">
        <f>VLOOKUP($A7,'IODA iTunes data'!$A$138:$Z$249,8,FALSE)</f>
        <v>10586.575939</v>
      </c>
      <c r="D7" s="261">
        <f>VLOOKUP($A7,'IODA iTunes data'!$A$138:$Z$249,14,FALSE)</f>
        <v>11210.659275</v>
      </c>
      <c r="E7" s="261">
        <f>VLOOKUP($A7,'IODA iTunes data'!$A$138:$Z$249,20,FALSE)</f>
        <v>0</v>
      </c>
      <c r="F7" s="261">
        <f>VLOOKUP($A7,'IODA iTunes data'!$A$138:$Z$249,26,FALSE)</f>
        <v>0</v>
      </c>
      <c r="G7" s="262">
        <f t="shared" si="5"/>
        <v>32761.365863999999</v>
      </c>
      <c r="H7" s="244">
        <f t="shared" si="2"/>
        <v>54602.276439999994</v>
      </c>
      <c r="I7" s="343">
        <f>VLOOKUP($A7,[2]IODA!$D:$N,11,FALSE)</f>
        <v>49531.114800024989</v>
      </c>
      <c r="J7" s="264">
        <f t="shared" si="6"/>
        <v>5071.1616399750055</v>
      </c>
      <c r="K7" s="265">
        <f t="shared" si="7"/>
        <v>0.10238335358388596</v>
      </c>
      <c r="L7" s="286">
        <v>100026.1190829277</v>
      </c>
      <c r="M7" s="263">
        <f t="shared" si="4"/>
        <v>154628.39552292769</v>
      </c>
      <c r="N7" s="263">
        <v>152191.50269809223</v>
      </c>
      <c r="O7" s="264">
        <f t="shared" si="8"/>
        <v>2436.8928248354641</v>
      </c>
      <c r="P7" s="265">
        <f t="shared" si="1"/>
        <v>1.6012016319134559E-2</v>
      </c>
      <c r="R7" s="235"/>
      <c r="S7" s="169"/>
      <c r="T7" s="109"/>
    </row>
    <row r="8" spans="1:20" x14ac:dyDescent="0.2">
      <c r="A8" s="238" t="s">
        <v>72</v>
      </c>
      <c r="B8" s="242">
        <f>'IODA iTunes data'!B118</f>
        <v>82736.954664000004</v>
      </c>
      <c r="C8" s="242">
        <f>'IODA iTunes data'!H118</f>
        <v>89725.799904</v>
      </c>
      <c r="D8" s="242">
        <f>'IODA iTunes data'!N118</f>
        <v>83172.105328000005</v>
      </c>
      <c r="E8" s="242">
        <f>'IODA iTunes data'!T118</f>
        <v>0</v>
      </c>
      <c r="F8" s="242">
        <f>'IODA iTunes data'!Z118</f>
        <v>0</v>
      </c>
      <c r="G8" s="243">
        <f t="shared" ref="G8:G30" si="9">SUM(B8:F8)</f>
        <v>255634.85989600001</v>
      </c>
      <c r="H8" s="244">
        <f t="shared" si="2"/>
        <v>426058.09982666664</v>
      </c>
      <c r="I8" s="341">
        <f>VLOOKUP($A8,[2]IODA!$D:$N,11,FALSE)</f>
        <v>357325.56981212815</v>
      </c>
      <c r="J8" s="246">
        <f t="shared" ref="J8:J71" si="10">H8-I8</f>
        <v>68732.530014538497</v>
      </c>
      <c r="K8" s="247">
        <f t="shared" si="0"/>
        <v>0.19235267728160665</v>
      </c>
      <c r="L8" s="285">
        <v>722563.73550003779</v>
      </c>
      <c r="M8" s="245">
        <f t="shared" si="4"/>
        <v>1148621.8353267044</v>
      </c>
      <c r="N8" s="245">
        <v>1097934.4123732988</v>
      </c>
      <c r="O8" s="246">
        <f t="shared" si="8"/>
        <v>50687.42295340565</v>
      </c>
      <c r="P8" s="247">
        <f t="shared" si="1"/>
        <v>4.6166166559839891E-2</v>
      </c>
      <c r="R8">
        <v>0.11780129409031856</v>
      </c>
      <c r="S8">
        <f>R8*$S$127</f>
        <v>345545.44040309632</v>
      </c>
      <c r="T8" s="109"/>
    </row>
    <row r="9" spans="1:20" x14ac:dyDescent="0.2">
      <c r="A9" s="238" t="s">
        <v>92</v>
      </c>
      <c r="B9" s="242">
        <f>'IODA iTunes data'!B119</f>
        <v>30893.844072</v>
      </c>
      <c r="C9" s="242">
        <f>'IODA iTunes data'!H119</f>
        <v>32720.925432</v>
      </c>
      <c r="D9" s="242">
        <f>'IODA iTunes data'!N119</f>
        <v>28853.686368000002</v>
      </c>
      <c r="E9" s="242">
        <f>'IODA iTunes data'!T119</f>
        <v>0</v>
      </c>
      <c r="F9" s="242">
        <f>'IODA iTunes data'!Z119</f>
        <v>0</v>
      </c>
      <c r="G9" s="243">
        <f t="shared" si="9"/>
        <v>92468.455871999991</v>
      </c>
      <c r="H9" s="244">
        <f t="shared" si="2"/>
        <v>154114.09311999998</v>
      </c>
      <c r="I9" s="341">
        <f>SUM(I10:I13)</f>
        <v>131731.83005053163</v>
      </c>
      <c r="J9" s="246">
        <f t="shared" si="10"/>
        <v>22382.263069468347</v>
      </c>
      <c r="K9" s="247">
        <f t="shared" si="0"/>
        <v>0.16990778205148011</v>
      </c>
      <c r="L9" s="285">
        <v>277410.26197302341</v>
      </c>
      <c r="M9" s="245">
        <f t="shared" si="4"/>
        <v>431524.35509302339</v>
      </c>
      <c r="N9" s="245">
        <v>404765.07039066276</v>
      </c>
      <c r="O9" s="246">
        <f t="shared" si="8"/>
        <v>26759.28470236063</v>
      </c>
      <c r="P9" s="247">
        <f t="shared" si="1"/>
        <v>6.6110656921393091E-2</v>
      </c>
      <c r="R9">
        <v>4.342868622863337E-2</v>
      </c>
      <c r="S9">
        <f>R9*$S$127</f>
        <v>127388.96142766831</v>
      </c>
      <c r="T9" s="109"/>
    </row>
    <row r="10" spans="1:20" s="3" customFormat="1" x14ac:dyDescent="0.2">
      <c r="A10" s="267" t="s">
        <v>39</v>
      </c>
      <c r="B10" s="261">
        <f>VLOOKUP($A10,'IODA iTunes data'!$A$138:$Z$249,2,FALSE)</f>
        <v>16784.856503999999</v>
      </c>
      <c r="C10" s="261">
        <f>VLOOKUP($A10,'IODA iTunes data'!$A$138:$Z$249,8,FALSE)</f>
        <v>17855.751575999999</v>
      </c>
      <c r="D10" s="261">
        <f>VLOOKUP($A10,'IODA iTunes data'!$A$138:$Z$249,14,FALSE)</f>
        <v>14747.269992</v>
      </c>
      <c r="E10" s="261">
        <f>VLOOKUP($A10,'IODA iTunes data'!$A$138:$Z$249,20,FALSE)</f>
        <v>0</v>
      </c>
      <c r="F10" s="261">
        <f>VLOOKUP($A10,'IODA iTunes data'!$A$138:$Z$249,26,FALSE)</f>
        <v>0</v>
      </c>
      <c r="G10" s="262">
        <f t="shared" si="9"/>
        <v>49387.878072</v>
      </c>
      <c r="H10" s="244">
        <f t="shared" si="2"/>
        <v>82313.130120000002</v>
      </c>
      <c r="I10" s="343">
        <f>VLOOKUP($A10,[2]IODA!$D:$N,11,FALSE)</f>
        <v>66655.126153749967</v>
      </c>
      <c r="J10" s="264">
        <f t="shared" si="10"/>
        <v>15658.003966250035</v>
      </c>
      <c r="K10" s="265">
        <f t="shared" si="0"/>
        <v>0.23491072434747959</v>
      </c>
      <c r="L10" s="286">
        <v>150107.71075248718</v>
      </c>
      <c r="M10" s="263">
        <f t="shared" si="4"/>
        <v>232420.84087248717</v>
      </c>
      <c r="N10" s="263">
        <v>204807.50035258642</v>
      </c>
      <c r="O10" s="264">
        <f t="shared" si="8"/>
        <v>27613.340519900754</v>
      </c>
      <c r="P10" s="265">
        <f t="shared" si="1"/>
        <v>0.13482582655597572</v>
      </c>
      <c r="R10" s="235"/>
      <c r="S10" s="169"/>
      <c r="T10" s="109"/>
    </row>
    <row r="11" spans="1:20" s="3" customFormat="1" x14ac:dyDescent="0.2">
      <c r="A11" s="267" t="s">
        <v>35</v>
      </c>
      <c r="B11" s="261">
        <f>VLOOKUP($A11,'IODA iTunes data'!$A$138:$Z$249,2,FALSE)</f>
        <v>6112.2606480000004</v>
      </c>
      <c r="C11" s="261">
        <f>VLOOKUP($A11,'IODA iTunes data'!$A$138:$Z$249,8,FALSE)</f>
        <v>6659.6431199999997</v>
      </c>
      <c r="D11" s="261">
        <f>VLOOKUP($A11,'IODA iTunes data'!$A$138:$Z$249,14,FALSE)</f>
        <v>6091.3968960000002</v>
      </c>
      <c r="E11" s="261">
        <f>VLOOKUP($A11,'IODA iTunes data'!$A$138:$Z$249,20,FALSE)</f>
        <v>0</v>
      </c>
      <c r="F11" s="261">
        <f>VLOOKUP($A11,'IODA iTunes data'!$A$138:$Z$249,26,FALSE)</f>
        <v>0</v>
      </c>
      <c r="G11" s="262">
        <f t="shared" si="9"/>
        <v>18863.300664000002</v>
      </c>
      <c r="H11" s="244">
        <f t="shared" si="2"/>
        <v>31438.834440000006</v>
      </c>
      <c r="I11" s="343">
        <f>VLOOKUP($A11,[2]IODA!$D:$N,11,FALSE)</f>
        <v>23683.268022747536</v>
      </c>
      <c r="J11" s="264">
        <f t="shared" si="10"/>
        <v>7755.5664172524703</v>
      </c>
      <c r="K11" s="265">
        <f t="shared" si="0"/>
        <v>0.32747028027564984</v>
      </c>
      <c r="L11" s="286">
        <v>55187.029695808902</v>
      </c>
      <c r="M11" s="263">
        <f t="shared" si="4"/>
        <v>86625.864135808908</v>
      </c>
      <c r="N11" s="263">
        <v>72770.260950835785</v>
      </c>
      <c r="O11" s="264">
        <f t="shared" si="8"/>
        <v>13855.603184973123</v>
      </c>
      <c r="P11" s="265">
        <f t="shared" si="1"/>
        <v>0.1904019994422459</v>
      </c>
      <c r="R11" s="235"/>
      <c r="S11" s="169"/>
      <c r="T11" s="109"/>
    </row>
    <row r="12" spans="1:20" s="3" customFormat="1" x14ac:dyDescent="0.2">
      <c r="A12" s="267" t="s">
        <v>43</v>
      </c>
      <c r="B12" s="261">
        <f>VLOOKUP($A12,'IODA iTunes data'!$A$138:$Z$249,2,FALSE)</f>
        <v>715.04721600000005</v>
      </c>
      <c r="C12" s="261">
        <f>VLOOKUP($A12,'IODA iTunes data'!$A$138:$Z$249,8,FALSE)</f>
        <v>849.36321599999997</v>
      </c>
      <c r="D12" s="261">
        <f>VLOOKUP($A12,'IODA iTunes data'!$A$138:$Z$249,14,FALSE)</f>
        <v>549.30127200000004</v>
      </c>
      <c r="E12" s="261">
        <f>VLOOKUP($A12,'IODA iTunes data'!$A$138:$Z$249,20,FALSE)</f>
        <v>0</v>
      </c>
      <c r="F12" s="261">
        <f>VLOOKUP($A12,'IODA iTunes data'!$A$138:$Z$249,26,FALSE)</f>
        <v>0</v>
      </c>
      <c r="G12" s="262">
        <f t="shared" si="9"/>
        <v>2113.7117040000003</v>
      </c>
      <c r="H12" s="244">
        <f t="shared" si="2"/>
        <v>3522.8528400000005</v>
      </c>
      <c r="I12" s="343">
        <f>VLOOKUP($A12,[2]IODA!$D:$N,11,FALSE)</f>
        <v>3028.7223278993079</v>
      </c>
      <c r="J12" s="264">
        <f t="shared" si="10"/>
        <v>494.13051210069261</v>
      </c>
      <c r="K12" s="265">
        <f t="shared" si="0"/>
        <v>0.16314817226689007</v>
      </c>
      <c r="L12" s="286">
        <v>6794.962320804595</v>
      </c>
      <c r="M12" s="263">
        <f t="shared" si="4"/>
        <v>10317.815160804596</v>
      </c>
      <c r="N12" s="263">
        <v>9306.1867111060274</v>
      </c>
      <c r="O12" s="264">
        <f t="shared" si="8"/>
        <v>1011.6284496985681</v>
      </c>
      <c r="P12" s="265">
        <f t="shared" si="1"/>
        <v>0.10870493802701037</v>
      </c>
      <c r="R12" s="235"/>
      <c r="S12" s="169"/>
      <c r="T12" s="109"/>
    </row>
    <row r="13" spans="1:20" s="3" customFormat="1" x14ac:dyDescent="0.2">
      <c r="A13" s="267" t="s">
        <v>44</v>
      </c>
      <c r="B13" s="261">
        <f>VLOOKUP($A13,'IODA iTunes data'!$A$138:$Z$249,2,FALSE)</f>
        <v>7281.6797040000001</v>
      </c>
      <c r="C13" s="261">
        <f>VLOOKUP($A13,'IODA iTunes data'!$A$138:$Z$249,8,FALSE)</f>
        <v>7356.16752</v>
      </c>
      <c r="D13" s="261">
        <f>VLOOKUP($A13,'IODA iTunes data'!$A$138:$Z$249,14,FALSE)</f>
        <v>7465.7182080000002</v>
      </c>
      <c r="E13" s="261">
        <f>VLOOKUP($A13,'IODA iTunes data'!$A$138:$Z$249,20,FALSE)</f>
        <v>0</v>
      </c>
      <c r="F13" s="261">
        <f>VLOOKUP($A13,'IODA iTunes data'!$A$138:$Z$249,26,FALSE)</f>
        <v>0</v>
      </c>
      <c r="G13" s="262">
        <f t="shared" si="9"/>
        <v>22103.565432000003</v>
      </c>
      <c r="H13" s="244">
        <f t="shared" si="2"/>
        <v>36839.275720000005</v>
      </c>
      <c r="I13" s="343">
        <f>VLOOKUP($A13,[2]IODA!$D:$N,11,FALSE)</f>
        <v>38364.71354613483</v>
      </c>
      <c r="J13" s="264">
        <f t="shared" si="10"/>
        <v>-1525.4378261348247</v>
      </c>
      <c r="K13" s="265">
        <f t="shared" si="0"/>
        <v>-3.9761480932222669E-2</v>
      </c>
      <c r="L13" s="286">
        <v>65320.559203922741</v>
      </c>
      <c r="M13" s="263">
        <f t="shared" si="4"/>
        <v>102159.83492392275</v>
      </c>
      <c r="N13" s="263">
        <v>117881.12237613453</v>
      </c>
      <c r="O13" s="264">
        <f t="shared" si="8"/>
        <v>-15721.287452211778</v>
      </c>
      <c r="P13" s="265">
        <f t="shared" si="1"/>
        <v>-0.13336560710754319</v>
      </c>
      <c r="R13" s="235"/>
      <c r="S13" s="169"/>
      <c r="T13" s="109"/>
    </row>
    <row r="14" spans="1:20" x14ac:dyDescent="0.2">
      <c r="A14" s="238" t="s">
        <v>85</v>
      </c>
      <c r="B14" s="242">
        <f>'IODA iTunes data'!B120</f>
        <v>34046.892983999998</v>
      </c>
      <c r="C14" s="242">
        <f>'IODA iTunes data'!H120</f>
        <v>32771.568960000004</v>
      </c>
      <c r="D14" s="242">
        <f>'IODA iTunes data'!N120</f>
        <v>30288.475463999999</v>
      </c>
      <c r="E14" s="242">
        <f>'IODA iTunes data'!T120</f>
        <v>0</v>
      </c>
      <c r="F14" s="242">
        <f>'IODA iTunes data'!Z120</f>
        <v>0</v>
      </c>
      <c r="G14" s="243">
        <f>SUM(B14:F14)</f>
        <v>97106.937408000013</v>
      </c>
      <c r="H14" s="244">
        <f t="shared" si="2"/>
        <v>161844.89568000002</v>
      </c>
      <c r="I14" s="341">
        <f>SUM(I15:I17)</f>
        <v>133731.32257785526</v>
      </c>
      <c r="J14" s="246">
        <f t="shared" si="10"/>
        <v>28113.573102144757</v>
      </c>
      <c r="K14" s="247">
        <f t="shared" si="0"/>
        <v>0.21022429570138806</v>
      </c>
      <c r="L14" s="285">
        <v>275727.2205311656</v>
      </c>
      <c r="M14" s="245">
        <f t="shared" si="4"/>
        <v>437572.11621116562</v>
      </c>
      <c r="N14" s="245">
        <v>410908.79991493421</v>
      </c>
      <c r="O14" s="246">
        <f t="shared" si="8"/>
        <v>26663.316296231409</v>
      </c>
      <c r="P14" s="247">
        <f t="shared" si="1"/>
        <v>6.4888647558171572E-2</v>
      </c>
      <c r="R14">
        <v>4.4087868854065099E-2</v>
      </c>
      <c r="S14">
        <f>R14*$S$127</f>
        <v>129322.53569244877</v>
      </c>
      <c r="T14" s="109"/>
    </row>
    <row r="15" spans="1:20" s="3" customFormat="1" x14ac:dyDescent="0.2">
      <c r="A15" s="267" t="s">
        <v>40</v>
      </c>
      <c r="B15" s="261">
        <f>VLOOKUP($A15,'IODA iTunes data'!$A$138:$Z$249,2,FALSE)</f>
        <v>22064.306784</v>
      </c>
      <c r="C15" s="261">
        <f>VLOOKUP($A15,'IODA iTunes data'!$A$138:$Z$249,8,FALSE)</f>
        <v>21959.668224000001</v>
      </c>
      <c r="D15" s="261">
        <f>VLOOKUP($A15,'IODA iTunes data'!$A$138:$Z$249,14,FALSE)</f>
        <v>19928.746343999999</v>
      </c>
      <c r="E15" s="261">
        <f>VLOOKUP($A15,'IODA iTunes data'!$A$138:$Z$249,20,FALSE)</f>
        <v>0</v>
      </c>
      <c r="F15" s="261">
        <f>VLOOKUP($A15,'IODA iTunes data'!$A$138:$Z$249,26,FALSE)</f>
        <v>0</v>
      </c>
      <c r="G15" s="262">
        <f t="shared" ref="G15:G17" si="11">SUM(B15:F15)</f>
        <v>63952.721352</v>
      </c>
      <c r="H15" s="244">
        <f t="shared" si="2"/>
        <v>106587.86892000001</v>
      </c>
      <c r="I15" s="343">
        <f>VLOOKUP($A15,[2]IODA!$D:$N,11,FALSE)</f>
        <v>85925.7166493595</v>
      </c>
      <c r="J15" s="264">
        <f t="shared" si="10"/>
        <v>20662.152270640509</v>
      </c>
      <c r="K15" s="265">
        <f t="shared" si="0"/>
        <v>0.24046528881402732</v>
      </c>
      <c r="L15" s="286">
        <v>188402.5750750899</v>
      </c>
      <c r="M15" s="263">
        <f t="shared" si="4"/>
        <v>294990.44399508991</v>
      </c>
      <c r="N15" s="263">
        <v>264019.17239443818</v>
      </c>
      <c r="O15" s="264">
        <f t="shared" si="8"/>
        <v>30971.271600651729</v>
      </c>
      <c r="P15" s="265">
        <f t="shared" si="1"/>
        <v>0.1173069035849465</v>
      </c>
      <c r="R15" s="235"/>
      <c r="S15" s="169"/>
      <c r="T15" s="109"/>
    </row>
    <row r="16" spans="1:20" s="3" customFormat="1" x14ac:dyDescent="0.2">
      <c r="A16" s="267" t="s">
        <v>34</v>
      </c>
      <c r="B16" s="261">
        <f>VLOOKUP($A16,'IODA iTunes data'!$A$138:$Z$249,2,FALSE)</f>
        <v>2868.4013279999999</v>
      </c>
      <c r="C16" s="261">
        <f>VLOOKUP($A16,'IODA iTunes data'!$A$138:$Z$249,8,FALSE)</f>
        <v>2564.4122400000001</v>
      </c>
      <c r="D16" s="261">
        <f>VLOOKUP($A16,'IODA iTunes data'!$A$138:$Z$249,14,FALSE)</f>
        <v>2517.478392</v>
      </c>
      <c r="E16" s="261">
        <f>VLOOKUP($A16,'IODA iTunes data'!$A$138:$Z$249,20,FALSE)</f>
        <v>0</v>
      </c>
      <c r="F16" s="261">
        <f>VLOOKUP($A16,'IODA iTunes data'!$A$138:$Z$249,26,FALSE)</f>
        <v>0</v>
      </c>
      <c r="G16" s="262">
        <f t="shared" si="11"/>
        <v>7950.2919599999996</v>
      </c>
      <c r="H16" s="244">
        <f t="shared" si="2"/>
        <v>13250.4866</v>
      </c>
      <c r="I16" s="343">
        <f>VLOOKUP($A16,[2]IODA!$D:$N,11,FALSE)</f>
        <v>10789.045968119053</v>
      </c>
      <c r="J16" s="264">
        <f t="shared" si="10"/>
        <v>2461.440631880947</v>
      </c>
      <c r="K16" s="265">
        <f t="shared" si="0"/>
        <v>0.22814256600206803</v>
      </c>
      <c r="L16" s="286">
        <v>21659.452471792691</v>
      </c>
      <c r="M16" s="263">
        <f t="shared" si="4"/>
        <v>34909.939071792687</v>
      </c>
      <c r="N16" s="263">
        <v>33150.901714935833</v>
      </c>
      <c r="O16" s="264">
        <f t="shared" si="8"/>
        <v>1759.0373568568539</v>
      </c>
      <c r="P16" s="265">
        <f t="shared" si="1"/>
        <v>5.3061523694974966E-2</v>
      </c>
      <c r="R16" s="235"/>
      <c r="S16" s="169"/>
      <c r="T16" s="109"/>
    </row>
    <row r="17" spans="1:20" s="3" customFormat="1" x14ac:dyDescent="0.2">
      <c r="A17" s="267" t="s">
        <v>50</v>
      </c>
      <c r="B17" s="261">
        <f>VLOOKUP($A17,'IODA iTunes data'!$A$138:$Z$249,2,FALSE)</f>
        <v>9114.1848719999998</v>
      </c>
      <c r="C17" s="261">
        <f>VLOOKUP($A17,'IODA iTunes data'!$A$138:$Z$249,8,FALSE)</f>
        <v>8247.4884959999999</v>
      </c>
      <c r="D17" s="261">
        <f>VLOOKUP($A17,'IODA iTunes data'!$A$138:$Z$249,14,FALSE)</f>
        <v>7842.250728</v>
      </c>
      <c r="E17" s="261">
        <f>VLOOKUP($A17,'IODA iTunes data'!$A$138:$Z$249,20,FALSE)</f>
        <v>0</v>
      </c>
      <c r="F17" s="261">
        <f>VLOOKUP($A17,'IODA iTunes data'!$A$138:$Z$249,26,FALSE)</f>
        <v>0</v>
      </c>
      <c r="G17" s="262">
        <f t="shared" si="11"/>
        <v>25203.924095999999</v>
      </c>
      <c r="H17" s="244">
        <f t="shared" si="2"/>
        <v>42006.540159999997</v>
      </c>
      <c r="I17" s="343">
        <f>VLOOKUP($A17,[2]IODA!$D:$N,11,FALSE)</f>
        <v>37016.559960376711</v>
      </c>
      <c r="J17" s="264">
        <f t="shared" si="10"/>
        <v>4989.9801996232854</v>
      </c>
      <c r="K17" s="265">
        <f t="shared" si="0"/>
        <v>0.13480399596733633</v>
      </c>
      <c r="L17" s="286">
        <v>65665.19298428297</v>
      </c>
      <c r="M17" s="263">
        <f t="shared" si="4"/>
        <v>107671.73314428297</v>
      </c>
      <c r="N17" s="263">
        <v>113738.72580556017</v>
      </c>
      <c r="O17" s="264">
        <f t="shared" si="8"/>
        <v>-6066.992661277196</v>
      </c>
      <c r="P17" s="265">
        <f t="shared" si="1"/>
        <v>-5.3341486097258604E-2</v>
      </c>
      <c r="R17" s="235"/>
      <c r="S17" s="169"/>
      <c r="T17" s="109"/>
    </row>
    <row r="18" spans="1:20" x14ac:dyDescent="0.2">
      <c r="A18" s="238" t="s">
        <v>76</v>
      </c>
      <c r="B18" s="242">
        <f>'IODA iTunes data'!B121</f>
        <v>12074.43276</v>
      </c>
      <c r="C18" s="242">
        <f>'IODA iTunes data'!H121</f>
        <v>12058.033416</v>
      </c>
      <c r="D18" s="242">
        <f>'IODA iTunes data'!N121</f>
        <v>10997.397528</v>
      </c>
      <c r="E18" s="242">
        <f>'IODA iTunes data'!T121</f>
        <v>0</v>
      </c>
      <c r="F18" s="242">
        <f>'IODA iTunes data'!Z121</f>
        <v>0</v>
      </c>
      <c r="G18" s="243">
        <f>SUM(B18:F18)</f>
        <v>35129.863704000003</v>
      </c>
      <c r="H18" s="244">
        <f t="shared" si="2"/>
        <v>58549.772840000005</v>
      </c>
      <c r="I18" s="341">
        <f>SUM(I19:I21)</f>
        <v>51121.604574225028</v>
      </c>
      <c r="J18" s="246">
        <f t="shared" si="10"/>
        <v>7428.168265774977</v>
      </c>
      <c r="K18" s="247">
        <f t="shared" si="0"/>
        <v>0.14530389504871255</v>
      </c>
      <c r="L18" s="285">
        <v>108287.66425257923</v>
      </c>
      <c r="M18" s="245">
        <f t="shared" si="4"/>
        <v>166837.43709257923</v>
      </c>
      <c r="N18" s="245">
        <v>157078.51220189064</v>
      </c>
      <c r="O18" s="246">
        <f t="shared" si="8"/>
        <v>9758.9248906885914</v>
      </c>
      <c r="P18" s="247">
        <f t="shared" si="1"/>
        <v>6.2127688592731212E-2</v>
      </c>
      <c r="R18">
        <v>1.6853513108461723E-2</v>
      </c>
      <c r="S18">
        <f>R18*$S$127</f>
        <v>49436.253263378851</v>
      </c>
      <c r="T18" s="109"/>
    </row>
    <row r="19" spans="1:20" s="3" customFormat="1" x14ac:dyDescent="0.2">
      <c r="A19" s="267" t="s">
        <v>11</v>
      </c>
      <c r="B19" s="261">
        <f>VLOOKUP($A19,'IODA iTunes data'!$A$138:$Z$249,2,FALSE)</f>
        <v>6360.1696080000002</v>
      </c>
      <c r="C19" s="261">
        <f>VLOOKUP($A19,'IODA iTunes data'!$A$138:$Z$249,8,FALSE)</f>
        <v>6183.2050799999997</v>
      </c>
      <c r="D19" s="261">
        <f>VLOOKUP($A19,'IODA iTunes data'!$A$138:$Z$249,14,FALSE)</f>
        <v>5511.2029439999997</v>
      </c>
      <c r="E19" s="261">
        <f>VLOOKUP($A19,'IODA iTunes data'!$A$138:$Z$249,20,FALSE)</f>
        <v>0</v>
      </c>
      <c r="F19" s="261">
        <f>VLOOKUP($A19,'IODA iTunes data'!$A$138:$Z$249,26,FALSE)</f>
        <v>0</v>
      </c>
      <c r="G19" s="262">
        <f t="shared" ref="G19:G21" si="12">SUM(B19:F19)</f>
        <v>18054.577632</v>
      </c>
      <c r="H19" s="244">
        <f t="shared" si="2"/>
        <v>30090.962720000003</v>
      </c>
      <c r="I19" s="343">
        <f>VLOOKUP($A19,[2]IODA!$D:$N,11,FALSE)</f>
        <v>25189.061214222897</v>
      </c>
      <c r="J19" s="264">
        <f t="shared" si="10"/>
        <v>4901.9015057771066</v>
      </c>
      <c r="K19" s="265">
        <f t="shared" si="0"/>
        <v>0.19460437465645877</v>
      </c>
      <c r="L19" s="286">
        <v>53526.070559978485</v>
      </c>
      <c r="M19" s="263">
        <f t="shared" si="4"/>
        <v>83617.033279978496</v>
      </c>
      <c r="N19" s="263">
        <v>77397.027973714823</v>
      </c>
      <c r="O19" s="264">
        <f t="shared" si="8"/>
        <v>6220.0053062636725</v>
      </c>
      <c r="P19" s="265">
        <f t="shared" si="1"/>
        <v>8.036491153608738E-2</v>
      </c>
      <c r="R19" s="235"/>
      <c r="S19" s="169"/>
      <c r="T19" s="109"/>
    </row>
    <row r="20" spans="1:20" s="3" customFormat="1" x14ac:dyDescent="0.2">
      <c r="A20" s="267" t="s">
        <v>47</v>
      </c>
      <c r="B20" s="261">
        <f>VLOOKUP($A20,'IODA iTunes data'!$A$138:$Z$249,2,FALSE)</f>
        <v>954.51345600000002</v>
      </c>
      <c r="C20" s="261">
        <f>VLOOKUP($A20,'IODA iTunes data'!$A$138:$Z$249,8,FALSE)</f>
        <v>1239.5320079999999</v>
      </c>
      <c r="D20" s="261">
        <f>VLOOKUP($A20,'IODA iTunes data'!$A$138:$Z$249,14,FALSE)</f>
        <v>896.07960000000003</v>
      </c>
      <c r="E20" s="261">
        <f>VLOOKUP($A20,'IODA iTunes data'!$A$138:$Z$249,20,FALSE)</f>
        <v>0</v>
      </c>
      <c r="F20" s="261">
        <f>VLOOKUP($A20,'IODA iTunes data'!$A$138:$Z$249,26,FALSE)</f>
        <v>0</v>
      </c>
      <c r="G20" s="262">
        <f t="shared" si="12"/>
        <v>3090.1250639999998</v>
      </c>
      <c r="H20" s="244">
        <f t="shared" si="2"/>
        <v>5150.2084400000003</v>
      </c>
      <c r="I20" s="343">
        <f>VLOOKUP($A20,[2]IODA!$D:$N,11,FALSE)</f>
        <v>4218.6938894775585</v>
      </c>
      <c r="J20" s="264">
        <f t="shared" si="10"/>
        <v>931.51455052244182</v>
      </c>
      <c r="K20" s="265">
        <f t="shared" si="0"/>
        <v>0.22080638579771433</v>
      </c>
      <c r="L20" s="286">
        <v>10268.14238888026</v>
      </c>
      <c r="M20" s="263">
        <f t="shared" si="4"/>
        <v>15418.35082888026</v>
      </c>
      <c r="N20" s="263">
        <v>12962.546170322119</v>
      </c>
      <c r="O20" s="264">
        <f t="shared" si="8"/>
        <v>2455.8046585581415</v>
      </c>
      <c r="P20" s="265">
        <f t="shared" si="1"/>
        <v>0.18945387937600802</v>
      </c>
      <c r="R20" s="235"/>
      <c r="S20" s="169"/>
      <c r="T20" s="109"/>
    </row>
    <row r="21" spans="1:20" s="3" customFormat="1" x14ac:dyDescent="0.2">
      <c r="A21" s="267" t="s">
        <v>48</v>
      </c>
      <c r="B21" s="261">
        <f>VLOOKUP($A21,'IODA iTunes data'!$A$138:$Z$249,2,FALSE)</f>
        <v>4759.7496959999999</v>
      </c>
      <c r="C21" s="261">
        <f>VLOOKUP($A21,'IODA iTunes data'!$A$138:$Z$249,8,FALSE)</f>
        <v>4635.2963280000004</v>
      </c>
      <c r="D21" s="261">
        <f>VLOOKUP($A21,'IODA iTunes data'!$A$138:$Z$249,14,FALSE)</f>
        <v>4590.1149839999998</v>
      </c>
      <c r="E21" s="261">
        <f>VLOOKUP($A21,'IODA iTunes data'!$A$138:$Z$249,20,FALSE)</f>
        <v>0</v>
      </c>
      <c r="F21" s="261">
        <f>VLOOKUP($A21,'IODA iTunes data'!$A$138:$Z$249,26,FALSE)</f>
        <v>0</v>
      </c>
      <c r="G21" s="262">
        <f t="shared" si="12"/>
        <v>13985.161007999999</v>
      </c>
      <c r="H21" s="244">
        <f t="shared" si="2"/>
        <v>23308.601679999996</v>
      </c>
      <c r="I21" s="343">
        <f>VLOOKUP($A21,[2]IODA!$D:$N,11,FALSE)</f>
        <v>21713.849470524568</v>
      </c>
      <c r="J21" s="264">
        <f t="shared" si="10"/>
        <v>1594.7522094754277</v>
      </c>
      <c r="K21" s="265">
        <f t="shared" si="0"/>
        <v>7.3444011465595802E-2</v>
      </c>
      <c r="L21" s="286">
        <v>44493.451303720474</v>
      </c>
      <c r="M21" s="263">
        <f t="shared" si="4"/>
        <v>67802.052983720467</v>
      </c>
      <c r="N21" s="263">
        <v>66718.938057853709</v>
      </c>
      <c r="O21" s="264">
        <f t="shared" si="8"/>
        <v>1083.1149258667574</v>
      </c>
      <c r="P21" s="265">
        <f t="shared" si="1"/>
        <v>1.6233995285230118E-2</v>
      </c>
      <c r="R21" s="235"/>
      <c r="S21" s="169"/>
      <c r="T21" s="109"/>
    </row>
    <row r="22" spans="1:20" x14ac:dyDescent="0.2">
      <c r="A22" s="238" t="s">
        <v>86</v>
      </c>
      <c r="B22" s="242">
        <f>'IODA iTunes data'!B122</f>
        <v>8449.1287919999995</v>
      </c>
      <c r="C22" s="242">
        <f>'IODA iTunes data'!H122</f>
        <v>8650.9865520000003</v>
      </c>
      <c r="D22" s="242">
        <f>'IODA iTunes data'!N122</f>
        <v>7875.6634320000003</v>
      </c>
      <c r="E22" s="242">
        <f>'IODA iTunes data'!T122</f>
        <v>0</v>
      </c>
      <c r="F22" s="242">
        <f>'IODA iTunes data'!Z122</f>
        <v>0</v>
      </c>
      <c r="G22" s="243">
        <f>SUM(B22:F22)</f>
        <v>24975.778775999999</v>
      </c>
      <c r="H22" s="244">
        <f t="shared" si="2"/>
        <v>41626.297960000004</v>
      </c>
      <c r="I22" s="341">
        <f>SUM(I23:I26)</f>
        <v>40402.576487043865</v>
      </c>
      <c r="J22" s="246">
        <f t="shared" si="10"/>
        <v>1223.7214729561383</v>
      </c>
      <c r="K22" s="247">
        <f t="shared" si="0"/>
        <v>3.0288203856220813E-2</v>
      </c>
      <c r="L22" s="285">
        <v>81283.699990928202</v>
      </c>
      <c r="M22" s="245">
        <f t="shared" si="4"/>
        <v>122909.9979509282</v>
      </c>
      <c r="N22" s="245">
        <v>124142.75053697581</v>
      </c>
      <c r="O22" s="246">
        <f t="shared" si="8"/>
        <v>-1232.7525860476162</v>
      </c>
      <c r="P22" s="247">
        <f t="shared" si="1"/>
        <v>-9.9301214184105095E-3</v>
      </c>
      <c r="R22">
        <v>1.3319717917917945E-2</v>
      </c>
      <c r="S22">
        <f>R22*$S$127</f>
        <v>39070.604695252063</v>
      </c>
      <c r="T22" s="109"/>
    </row>
    <row r="23" spans="1:20" s="3" customFormat="1" x14ac:dyDescent="0.2">
      <c r="A23" s="267" t="s">
        <v>37</v>
      </c>
      <c r="B23" s="261">
        <f>VLOOKUP($A23,'IODA iTunes data'!$A$138:$Z$249,2,FALSE)</f>
        <v>2611.7554319999999</v>
      </c>
      <c r="C23" s="261">
        <f>VLOOKUP($A23,'IODA iTunes data'!$A$138:$Z$249,8,FALSE)</f>
        <v>2486.70084</v>
      </c>
      <c r="D23" s="261">
        <f>VLOOKUP($A23,'IODA iTunes data'!$A$138:$Z$249,14,FALSE)</f>
        <v>2246.0833200000002</v>
      </c>
      <c r="E23" s="261">
        <f>VLOOKUP($A23,'IODA iTunes data'!$A$138:$Z$249,20,FALSE)</f>
        <v>0</v>
      </c>
      <c r="F23" s="261">
        <f>VLOOKUP($A23,'IODA iTunes data'!$A$138:$Z$249,26,FALSE)</f>
        <v>0</v>
      </c>
      <c r="G23" s="262">
        <f t="shared" ref="G23:G26" si="13">SUM(B23:F23)</f>
        <v>7344.5395919999992</v>
      </c>
      <c r="H23" s="244">
        <f t="shared" si="2"/>
        <v>12240.899319999999</v>
      </c>
      <c r="I23" s="343">
        <f>VLOOKUP($A23,[2]IODA!$D:$N,11,FALSE)</f>
        <v>11634.742283937456</v>
      </c>
      <c r="J23" s="264">
        <f t="shared" si="10"/>
        <v>606.15703606254283</v>
      </c>
      <c r="K23" s="265">
        <f t="shared" si="0"/>
        <v>5.2098879482649428E-2</v>
      </c>
      <c r="L23" s="286">
        <v>24389.859319925308</v>
      </c>
      <c r="M23" s="263">
        <f t="shared" si="4"/>
        <v>36630.758639925305</v>
      </c>
      <c r="N23" s="263">
        <v>35749.425766944005</v>
      </c>
      <c r="O23" s="264">
        <f t="shared" si="8"/>
        <v>881.33287298130017</v>
      </c>
      <c r="P23" s="265">
        <f t="shared" si="1"/>
        <v>2.4653063764627843E-2</v>
      </c>
      <c r="R23" s="235"/>
      <c r="S23" s="169"/>
      <c r="T23" s="109"/>
    </row>
    <row r="24" spans="1:20" s="3" customFormat="1" x14ac:dyDescent="0.2">
      <c r="A24" s="267" t="s">
        <v>38</v>
      </c>
      <c r="B24" s="261">
        <f>VLOOKUP($A24,'IODA iTunes data'!$A$138:$Z$249,2,FALSE)</f>
        <v>888.110184</v>
      </c>
      <c r="C24" s="261">
        <f>VLOOKUP($A24,'IODA iTunes data'!$A$138:$Z$249,8,FALSE)</f>
        <v>979.07409600000005</v>
      </c>
      <c r="D24" s="261">
        <f>VLOOKUP($A24,'IODA iTunes data'!$A$138:$Z$249,14,FALSE)</f>
        <v>768.93991200000005</v>
      </c>
      <c r="E24" s="261">
        <f>VLOOKUP($A24,'IODA iTunes data'!$A$138:$Z$249,20,FALSE)</f>
        <v>0</v>
      </c>
      <c r="F24" s="261">
        <f>VLOOKUP($A24,'IODA iTunes data'!$A$138:$Z$249,26,FALSE)</f>
        <v>0</v>
      </c>
      <c r="G24" s="262">
        <f t="shared" si="13"/>
        <v>2636.1241920000002</v>
      </c>
      <c r="H24" s="244">
        <f t="shared" si="2"/>
        <v>4393.5403200000001</v>
      </c>
      <c r="I24" s="343">
        <f>VLOOKUP($A24,[2]IODA!$D:$N,11,FALSE)</f>
        <v>3645.6725148053101</v>
      </c>
      <c r="J24" s="264">
        <f t="shared" si="10"/>
        <v>747.86780519468994</v>
      </c>
      <c r="K24" s="265">
        <f t="shared" si="0"/>
        <v>0.20513850384464066</v>
      </c>
      <c r="L24" s="286">
        <v>7590.1843477487582</v>
      </c>
      <c r="M24" s="263">
        <f t="shared" si="4"/>
        <v>11983.724667748758</v>
      </c>
      <c r="N24" s="263">
        <v>11201.855250249144</v>
      </c>
      <c r="O24" s="264">
        <f t="shared" si="8"/>
        <v>781.86941749961443</v>
      </c>
      <c r="P24" s="265">
        <f t="shared" si="1"/>
        <v>6.9798207531937592E-2</v>
      </c>
      <c r="R24" s="235"/>
      <c r="S24" s="169"/>
      <c r="T24" s="109"/>
    </row>
    <row r="25" spans="1:20" s="3" customFormat="1" x14ac:dyDescent="0.2">
      <c r="A25" s="267" t="s">
        <v>46</v>
      </c>
      <c r="B25" s="261">
        <f>VLOOKUP($A25,'IODA iTunes data'!$A$138:$Z$249,2,FALSE)</f>
        <v>2690.119224</v>
      </c>
      <c r="C25" s="261">
        <f>VLOOKUP($A25,'IODA iTunes data'!$A$138:$Z$249,8,FALSE)</f>
        <v>3283.783152</v>
      </c>
      <c r="D25" s="261">
        <f>VLOOKUP($A25,'IODA iTunes data'!$A$138:$Z$249,14,FALSE)</f>
        <v>2766.7049280000001</v>
      </c>
      <c r="E25" s="261">
        <f>VLOOKUP($A25,'IODA iTunes data'!$A$138:$Z$249,20,FALSE)</f>
        <v>0</v>
      </c>
      <c r="F25" s="261">
        <f>VLOOKUP($A25,'IODA iTunes data'!$A$138:$Z$249,26,FALSE)</f>
        <v>0</v>
      </c>
      <c r="G25" s="262">
        <f t="shared" si="13"/>
        <v>8740.607304000001</v>
      </c>
      <c r="H25" s="244">
        <f t="shared" si="2"/>
        <v>14567.67884</v>
      </c>
      <c r="I25" s="343">
        <f>VLOOKUP($A25,[2]IODA!$D:$N,11,FALSE)</f>
        <v>15120.159466804742</v>
      </c>
      <c r="J25" s="264">
        <f t="shared" si="10"/>
        <v>-552.48062680474141</v>
      </c>
      <c r="K25" s="265">
        <f t="shared" si="0"/>
        <v>-3.6539338623886489E-2</v>
      </c>
      <c r="L25" s="286">
        <v>30491.138148963459</v>
      </c>
      <c r="M25" s="263">
        <f t="shared" si="4"/>
        <v>45058.816988963459</v>
      </c>
      <c r="N25" s="263">
        <v>46458.87336835466</v>
      </c>
      <c r="O25" s="264">
        <f t="shared" si="8"/>
        <v>-1400.0563793912006</v>
      </c>
      <c r="P25" s="265">
        <f t="shared" si="1"/>
        <v>-3.0135392399438712E-2</v>
      </c>
      <c r="R25" s="235"/>
      <c r="S25" s="169"/>
      <c r="T25" s="109"/>
    </row>
    <row r="26" spans="1:20" s="3" customFormat="1" x14ac:dyDescent="0.2">
      <c r="A26" s="267" t="s">
        <v>49</v>
      </c>
      <c r="B26" s="261">
        <f>VLOOKUP($A26,'IODA iTunes data'!$A$138:$Z$249,2,FALSE)</f>
        <v>2259.1439519999999</v>
      </c>
      <c r="C26" s="261">
        <f>VLOOKUP($A26,'IODA iTunes data'!$A$138:$Z$249,8,FALSE)</f>
        <v>1901.4284640000001</v>
      </c>
      <c r="D26" s="261">
        <f>VLOOKUP($A26,'IODA iTunes data'!$A$138:$Z$249,14,FALSE)</f>
        <v>2093.9352720000002</v>
      </c>
      <c r="E26" s="261">
        <f>VLOOKUP($A26,'IODA iTunes data'!$A$138:$Z$249,20,FALSE)</f>
        <v>0</v>
      </c>
      <c r="F26" s="261">
        <f>VLOOKUP($A26,'IODA iTunes data'!$A$138:$Z$249,26,FALSE)</f>
        <v>0</v>
      </c>
      <c r="G26" s="262">
        <f t="shared" si="13"/>
        <v>6254.5076879999997</v>
      </c>
      <c r="H26" s="244">
        <f t="shared" si="2"/>
        <v>10424.179480000001</v>
      </c>
      <c r="I26" s="343">
        <f>VLOOKUP($A26,[2]IODA!$D:$N,11,FALSE)</f>
        <v>10002.002221496356</v>
      </c>
      <c r="J26" s="264">
        <f t="shared" si="10"/>
        <v>422.17725850364513</v>
      </c>
      <c r="K26" s="265">
        <f t="shared" si="0"/>
        <v>4.2209274618665804E-2</v>
      </c>
      <c r="L26" s="286">
        <v>18812.518174290657</v>
      </c>
      <c r="M26" s="263">
        <f t="shared" si="4"/>
        <v>29236.697654290656</v>
      </c>
      <c r="N26" s="263">
        <v>30732.596151428006</v>
      </c>
      <c r="O26" s="264">
        <f t="shared" si="8"/>
        <v>-1495.8984971373502</v>
      </c>
      <c r="P26" s="265">
        <f t="shared" si="1"/>
        <v>-4.8674654421209468E-2</v>
      </c>
      <c r="R26" s="235"/>
      <c r="S26" s="169"/>
      <c r="T26" s="109"/>
    </row>
    <row r="27" spans="1:20" x14ac:dyDescent="0.2">
      <c r="A27" s="238" t="s">
        <v>12</v>
      </c>
      <c r="B27" s="242">
        <f>'IODA iTunes data'!B123</f>
        <v>3079.8658800000003</v>
      </c>
      <c r="C27" s="242">
        <f>'IODA iTunes data'!H123</f>
        <v>3075.5038079999999</v>
      </c>
      <c r="D27" s="242">
        <f>'IODA iTunes data'!N123</f>
        <v>3013.846368</v>
      </c>
      <c r="E27" s="242">
        <f>'IODA iTunes data'!T123</f>
        <v>0</v>
      </c>
      <c r="F27" s="242">
        <f>'IODA iTunes data'!Z123</f>
        <v>0</v>
      </c>
      <c r="G27" s="243">
        <f t="shared" si="9"/>
        <v>9169.2160560000011</v>
      </c>
      <c r="H27" s="244">
        <f t="shared" si="2"/>
        <v>15282.026760000001</v>
      </c>
      <c r="I27" s="341">
        <f>SUM(I28:I29)</f>
        <v>13019.719093838385</v>
      </c>
      <c r="J27" s="246">
        <f t="shared" si="10"/>
        <v>2262.307666161616</v>
      </c>
      <c r="K27" s="247">
        <f t="shared" si="0"/>
        <v>0.17376009803715803</v>
      </c>
      <c r="L27" s="285">
        <v>25879.067003369339</v>
      </c>
      <c r="M27" s="245">
        <f t="shared" si="4"/>
        <v>41161.093763369339</v>
      </c>
      <c r="N27" s="245">
        <v>40004.967011106077</v>
      </c>
      <c r="O27" s="246">
        <f t="shared" si="8"/>
        <v>1156.1267522632625</v>
      </c>
      <c r="P27" s="247">
        <f t="shared" si="1"/>
        <v>2.8899580193187047E-2</v>
      </c>
      <c r="R27">
        <v>4.2922754135758861E-3</v>
      </c>
      <c r="S27">
        <f>R27*$S$127</f>
        <v>12590.491552480797</v>
      </c>
      <c r="T27" s="109"/>
    </row>
    <row r="28" spans="1:20" s="3" customFormat="1" x14ac:dyDescent="0.2">
      <c r="A28" s="267" t="s">
        <v>42</v>
      </c>
      <c r="B28" s="261">
        <f>VLOOKUP($A28,'IODA iTunes data'!$A$138:$Z$249,2,FALSE)</f>
        <v>2773.9452000000001</v>
      </c>
      <c r="C28" s="261">
        <f>VLOOKUP($A28,'IODA iTunes data'!$A$138:$Z$249,8,FALSE)</f>
        <v>2801.1921600000001</v>
      </c>
      <c r="D28" s="261">
        <f>VLOOKUP($A28,'IODA iTunes data'!$A$138:$Z$249,14,FALSE)</f>
        <v>2647.944</v>
      </c>
      <c r="E28" s="261">
        <f>VLOOKUP($A28,'IODA iTunes data'!$A$138:$Z$249,20,FALSE)</f>
        <v>0</v>
      </c>
      <c r="F28" s="261">
        <f>VLOOKUP($A28,'IODA iTunes data'!$A$138:$Z$249,26,FALSE)</f>
        <v>0</v>
      </c>
      <c r="G28" s="262">
        <f t="shared" si="9"/>
        <v>8223.0813600000001</v>
      </c>
      <c r="H28" s="244">
        <f t="shared" si="2"/>
        <v>13705.135600000001</v>
      </c>
      <c r="I28" s="343">
        <f>VLOOKUP($A28,[2]IODA!$D:$N,11,FALSE)</f>
        <v>11500.23930925262</v>
      </c>
      <c r="J28" s="264">
        <f t="shared" si="10"/>
        <v>2204.8962907473815</v>
      </c>
      <c r="K28" s="265">
        <f t="shared" si="0"/>
        <v>0.19172612251411261</v>
      </c>
      <c r="L28" s="286">
        <v>22919.271198153503</v>
      </c>
      <c r="M28" s="263">
        <f t="shared" si="4"/>
        <v>36624.406798153504</v>
      </c>
      <c r="N28" s="263">
        <v>35336.145954500986</v>
      </c>
      <c r="O28" s="264">
        <f t="shared" si="8"/>
        <v>1288.2608436525188</v>
      </c>
      <c r="P28" s="265">
        <f t="shared" si="1"/>
        <v>3.6457310463662067E-2</v>
      </c>
      <c r="R28" s="235"/>
      <c r="S28" s="169"/>
      <c r="T28" s="109"/>
    </row>
    <row r="29" spans="1:20" s="3" customFormat="1" x14ac:dyDescent="0.2">
      <c r="A29" s="267" t="s">
        <v>41</v>
      </c>
      <c r="B29" s="261">
        <f>VLOOKUP($A29,'IODA iTunes data'!$A$138:$Z$249,2,FALSE)</f>
        <v>305.92068</v>
      </c>
      <c r="C29" s="261">
        <f>VLOOKUP($A29,'IODA iTunes data'!$A$138:$Z$249,8,FALSE)</f>
        <v>274.31164799999999</v>
      </c>
      <c r="D29" s="261">
        <f>VLOOKUP($A29,'IODA iTunes data'!$A$138:$Z$249,14,FALSE)</f>
        <v>365.90236800000002</v>
      </c>
      <c r="E29" s="261">
        <f>VLOOKUP($A29,'IODA iTunes data'!$A$138:$Z$249,20,FALSE)</f>
        <v>0</v>
      </c>
      <c r="F29" s="261">
        <f>VLOOKUP($A29,'IODA iTunes data'!$A$138:$Z$249,26,FALSE)</f>
        <v>0</v>
      </c>
      <c r="G29" s="262">
        <f t="shared" si="9"/>
        <v>946.13469600000008</v>
      </c>
      <c r="H29" s="244">
        <f t="shared" si="2"/>
        <v>1576.8911600000001</v>
      </c>
      <c r="I29" s="343">
        <f>VLOOKUP($A29,[2]IODA!$D:$N,11,FALSE)</f>
        <v>1519.4797845857643</v>
      </c>
      <c r="J29" s="264">
        <f t="shared" si="10"/>
        <v>57.411375414235863</v>
      </c>
      <c r="K29" s="265">
        <f t="shared" si="0"/>
        <v>3.7783573033771667E-2</v>
      </c>
      <c r="L29" s="286">
        <v>2959.795805215836</v>
      </c>
      <c r="M29" s="263">
        <f t="shared" si="4"/>
        <v>4536.6869652158366</v>
      </c>
      <c r="N29" s="263">
        <v>4668.8210566050966</v>
      </c>
      <c r="O29" s="264">
        <f t="shared" si="8"/>
        <v>-132.13409138925999</v>
      </c>
      <c r="P29" s="265">
        <f t="shared" si="1"/>
        <v>-2.8301382680393505E-2</v>
      </c>
      <c r="R29" s="235"/>
      <c r="S29" s="169"/>
      <c r="T29" s="109"/>
    </row>
    <row r="30" spans="1:20" x14ac:dyDescent="0.2">
      <c r="A30" s="238" t="s">
        <v>13</v>
      </c>
      <c r="B30" s="242">
        <f>'IODA iTunes data'!B128</f>
        <v>16019.833635000001</v>
      </c>
      <c r="C30" s="242">
        <f>'IODA iTunes data'!H128</f>
        <v>17126.374005000001</v>
      </c>
      <c r="D30" s="242">
        <f>'IODA iTunes data'!N128</f>
        <v>16091.42769</v>
      </c>
      <c r="E30" s="242">
        <f>'IODA iTunes data'!T128</f>
        <v>0</v>
      </c>
      <c r="F30" s="242">
        <f>'IODA iTunes data'!Z128</f>
        <v>0</v>
      </c>
      <c r="G30" s="243">
        <f t="shared" si="9"/>
        <v>49237.635330000005</v>
      </c>
      <c r="H30" s="244">
        <f t="shared" si="2"/>
        <v>82062.725550000017</v>
      </c>
      <c r="I30" s="341">
        <f>VLOOKUP($A30,[2]IODA!$D:$N,11,FALSE)</f>
        <v>61566.369861458013</v>
      </c>
      <c r="J30" s="246">
        <f t="shared" si="10"/>
        <v>20496.355688542004</v>
      </c>
      <c r="K30" s="247">
        <f t="shared" si="0"/>
        <v>0.33291479966521792</v>
      </c>
      <c r="L30" s="285">
        <v>118237.577010572</v>
      </c>
      <c r="M30" s="245">
        <f t="shared" si="4"/>
        <v>200300.30256057202</v>
      </c>
      <c r="N30" s="245">
        <v>189171.56180940842</v>
      </c>
      <c r="O30" s="246">
        <f t="shared" si="8"/>
        <v>11128.740751163597</v>
      </c>
      <c r="P30" s="247">
        <f t="shared" si="1"/>
        <v>5.8828825245815099E-2</v>
      </c>
      <c r="R30">
        <v>2.0296890720516183E-2</v>
      </c>
      <c r="S30">
        <f>R30*$S$127</f>
        <v>59536.680789406404</v>
      </c>
      <c r="T30" s="109"/>
    </row>
    <row r="31" spans="1:20" x14ac:dyDescent="0.2">
      <c r="A31" s="238" t="s">
        <v>14</v>
      </c>
      <c r="B31" s="242">
        <f>'IODA iTunes data'!B127</f>
        <v>61644.68088</v>
      </c>
      <c r="C31" s="242">
        <f>'IODA iTunes data'!H127</f>
        <v>61731.489104</v>
      </c>
      <c r="D31" s="242">
        <f>'IODA iTunes data'!N127</f>
        <v>57510.521904000001</v>
      </c>
      <c r="E31" s="242">
        <f>'IODA iTunes data'!T127</f>
        <v>0</v>
      </c>
      <c r="F31" s="242">
        <f>'IODA iTunes data'!Z127</f>
        <v>0</v>
      </c>
      <c r="G31" s="243">
        <f>SUM(B31:F31)</f>
        <v>180886.691888</v>
      </c>
      <c r="H31" s="244">
        <f t="shared" si="2"/>
        <v>301477.81981333334</v>
      </c>
      <c r="I31" s="341">
        <f>SUM(I32:I33)</f>
        <v>345867.845485856</v>
      </c>
      <c r="J31" s="246">
        <f t="shared" si="10"/>
        <v>-44390.025672522665</v>
      </c>
      <c r="K31" s="247">
        <f t="shared" si="0"/>
        <v>-0.12834389276680525</v>
      </c>
      <c r="L31" s="285">
        <v>696874.06492710114</v>
      </c>
      <c r="M31" s="245">
        <f t="shared" si="4"/>
        <v>998351.88474043447</v>
      </c>
      <c r="N31" s="245">
        <v>1062728.8998433254</v>
      </c>
      <c r="O31" s="246">
        <f t="shared" si="8"/>
        <v>-64377.015102890902</v>
      </c>
      <c r="P31" s="247">
        <f t="shared" si="1"/>
        <v>-6.0577081429122513E-2</v>
      </c>
      <c r="R31">
        <v>0.1140239692443115</v>
      </c>
      <c r="S31">
        <f>R31*$S$127</f>
        <v>334465.44856142486</v>
      </c>
      <c r="T31" s="109"/>
    </row>
    <row r="32" spans="1:20" s="3" customFormat="1" x14ac:dyDescent="0.2">
      <c r="A32" s="260" t="s">
        <v>33</v>
      </c>
      <c r="B32" s="261">
        <f>VLOOKUP($A32,'IODA iTunes data'!$A$138:$Z$249,2,FALSE)</f>
        <v>58317.944968000003</v>
      </c>
      <c r="C32" s="261">
        <f>VLOOKUP($A32,'IODA iTunes data'!$A$138:$Z$249,8,FALSE)</f>
        <v>58155.501128000004</v>
      </c>
      <c r="D32" s="261">
        <f>VLOOKUP($A32,'IODA iTunes data'!$A$138:$Z$249,14,FALSE)</f>
        <v>53974.694675999999</v>
      </c>
      <c r="E32" s="261">
        <f>VLOOKUP($A32,'IODA iTunes data'!$A$138:$Z$249,20,FALSE)</f>
        <v>0</v>
      </c>
      <c r="F32" s="261">
        <f>VLOOKUP($A32,'IODA iTunes data'!$A$138:$Z$249,26,FALSE)</f>
        <v>0</v>
      </c>
      <c r="G32" s="262">
        <f t="shared" ref="G32:G33" si="14">SUM(B32:F32)</f>
        <v>170448.14077200001</v>
      </c>
      <c r="H32" s="244">
        <f t="shared" si="2"/>
        <v>284080.23462</v>
      </c>
      <c r="I32" s="343">
        <f>VLOOKUP($A32,[2]IODA!$D:$N,11,FALSE)</f>
        <v>327828.29133733769</v>
      </c>
      <c r="J32" s="264">
        <f t="shared" si="10"/>
        <v>-43748.056717337691</v>
      </c>
      <c r="K32" s="265">
        <f t="shared" si="0"/>
        <v>-0.13344808203975483</v>
      </c>
      <c r="L32" s="286">
        <v>666365.5707603693</v>
      </c>
      <c r="M32" s="263">
        <f t="shared" si="4"/>
        <v>950445.8053803693</v>
      </c>
      <c r="N32" s="263">
        <v>1007299.7647440841</v>
      </c>
      <c r="O32" s="264">
        <f t="shared" si="8"/>
        <v>-56853.959363714792</v>
      </c>
      <c r="P32" s="265">
        <f t="shared" si="1"/>
        <v>-5.6441946433055293E-2</v>
      </c>
      <c r="R32" s="235"/>
      <c r="S32" s="169"/>
      <c r="T32" s="109"/>
    </row>
    <row r="33" spans="1:20" s="3" customFormat="1" x14ac:dyDescent="0.2">
      <c r="A33" s="260" t="s">
        <v>45</v>
      </c>
      <c r="B33" s="261">
        <f>VLOOKUP($A33,'IODA iTunes data'!$A$138:$Z$249,2,FALSE)</f>
        <v>3326.7359120000001</v>
      </c>
      <c r="C33" s="261">
        <f>VLOOKUP($A33,'IODA iTunes data'!$A$138:$Z$249,8,FALSE)</f>
        <v>3575.9879759999999</v>
      </c>
      <c r="D33" s="261">
        <f>VLOOKUP($A33,'IODA iTunes data'!$A$138:$Z$249,14,FALSE)</f>
        <v>3535.8272280000001</v>
      </c>
      <c r="E33" s="261">
        <f>VLOOKUP($A33,'IODA iTunes data'!$A$138:$Z$249,20,FALSE)</f>
        <v>0</v>
      </c>
      <c r="F33" s="261">
        <f>VLOOKUP($A33,'IODA iTunes data'!$A$138:$Z$249,26,FALSE)</f>
        <v>0</v>
      </c>
      <c r="G33" s="262">
        <f t="shared" si="14"/>
        <v>10438.551116000001</v>
      </c>
      <c r="H33" s="244">
        <f t="shared" si="2"/>
        <v>17397.585193333332</v>
      </c>
      <c r="I33" s="343">
        <f>VLOOKUP($A33,[2]IODA!$D:$N,11,FALSE)</f>
        <v>18039.554148518331</v>
      </c>
      <c r="J33" s="264">
        <f t="shared" si="10"/>
        <v>-641.96895518499878</v>
      </c>
      <c r="K33" s="265">
        <f t="shared" si="0"/>
        <v>-3.5586741773090139E-2</v>
      </c>
      <c r="L33" s="286">
        <v>30508.494166731842</v>
      </c>
      <c r="M33" s="263">
        <f t="shared" si="4"/>
        <v>47906.079360065174</v>
      </c>
      <c r="N33" s="263">
        <v>55429.135099241175</v>
      </c>
      <c r="O33" s="264">
        <f t="shared" si="8"/>
        <v>-7523.0557391760012</v>
      </c>
      <c r="P33" s="265">
        <f t="shared" si="1"/>
        <v>-0.13572385218904473</v>
      </c>
      <c r="R33" s="235"/>
      <c r="S33" s="169"/>
      <c r="T33" s="109"/>
    </row>
    <row r="34" spans="1:20" x14ac:dyDescent="0.2">
      <c r="A34" s="239" t="s">
        <v>182</v>
      </c>
      <c r="B34" s="248">
        <f>'IODA iTunes data'!B132</f>
        <v>5372.3380260000004</v>
      </c>
      <c r="C34" s="248">
        <f>'IODA iTunes data'!H132</f>
        <v>5482.7779829999999</v>
      </c>
      <c r="D34" s="248">
        <f>'IODA iTunes data'!N132</f>
        <v>4068.1666439999999</v>
      </c>
      <c r="E34" s="248">
        <f>'IODA iTunes data'!T132</f>
        <v>0</v>
      </c>
      <c r="F34" s="248">
        <f>'IODA iTunes data'!Z132</f>
        <v>0</v>
      </c>
      <c r="G34" s="243">
        <f>SUM(B34:F34)</f>
        <v>14923.282653000002</v>
      </c>
      <c r="H34" s="244">
        <f t="shared" si="2"/>
        <v>24872.137755000003</v>
      </c>
      <c r="I34" s="341">
        <f>VLOOKUP($A34,[2]IODA!$D:$N,11,FALSE)</f>
        <v>9909.9878718717518</v>
      </c>
      <c r="J34" s="246">
        <f t="shared" ref="J34:J35" si="15">H34-I34</f>
        <v>14962.149883128252</v>
      </c>
      <c r="K34" s="247">
        <f t="shared" ref="K34:K35" si="16">J34/I34</f>
        <v>1.5098050650088506</v>
      </c>
      <c r="L34" s="285">
        <v>28403.945536643278</v>
      </c>
      <c r="M34" s="245">
        <f t="shared" si="4"/>
        <v>53276.083291643285</v>
      </c>
      <c r="N34" s="245">
        <v>30449.868774996161</v>
      </c>
      <c r="O34" s="246">
        <f t="shared" si="8"/>
        <v>22826.214516647124</v>
      </c>
      <c r="P34" s="247">
        <f t="shared" si="1"/>
        <v>0.74963260713263946</v>
      </c>
      <c r="T34" s="109"/>
    </row>
    <row r="35" spans="1:20" x14ac:dyDescent="0.2">
      <c r="A35" s="239" t="s">
        <v>192</v>
      </c>
      <c r="B35" s="248">
        <f>'IODA iTunes data'!B133</f>
        <v>898.75761699999998</v>
      </c>
      <c r="C35" s="248">
        <f>'IODA iTunes data'!H133</f>
        <v>980.57669699999997</v>
      </c>
      <c r="D35" s="248">
        <f>'IODA iTunes data'!N133</f>
        <v>937.63930200000004</v>
      </c>
      <c r="E35" s="248">
        <f>'IODA iTunes data'!T133</f>
        <v>0</v>
      </c>
      <c r="F35" s="248">
        <f>'IODA iTunes data'!Z133</f>
        <v>0</v>
      </c>
      <c r="G35" s="243">
        <f>SUM(B35:F35)</f>
        <v>2816.9736160000002</v>
      </c>
      <c r="H35" s="244">
        <f t="shared" si="2"/>
        <v>4694.9560266666667</v>
      </c>
      <c r="I35" s="341">
        <f>VLOOKUP($A35,[2]IODA!$D:$N,11,FALSE)</f>
        <v>3886.8992964608183</v>
      </c>
      <c r="J35" s="246">
        <f t="shared" si="15"/>
        <v>808.05673020584845</v>
      </c>
      <c r="K35" s="247">
        <f t="shared" si="16"/>
        <v>0.20789237604936597</v>
      </c>
      <c r="L35" s="285">
        <v>10324.068275153646</v>
      </c>
      <c r="M35" s="245">
        <f t="shared" si="4"/>
        <v>15019.024301820313</v>
      </c>
      <c r="N35" s="245">
        <v>11943.059370919529</v>
      </c>
      <c r="O35" s="246">
        <f t="shared" si="8"/>
        <v>3075.9649309007837</v>
      </c>
      <c r="P35" s="247">
        <f t="shared" si="1"/>
        <v>0.25755251107522181</v>
      </c>
      <c r="T35" s="109"/>
    </row>
    <row r="36" spans="1:20" x14ac:dyDescent="0.2">
      <c r="A36" s="239" t="s">
        <v>88</v>
      </c>
      <c r="B36" s="248">
        <f>'IODA iTunes data'!B124</f>
        <v>5060.5407840000016</v>
      </c>
      <c r="C36" s="248">
        <f>'IODA iTunes data'!H124</f>
        <v>5196.0080639999987</v>
      </c>
      <c r="D36" s="248">
        <f>'IODA iTunes data'!N124</f>
        <v>5086.9306800000013</v>
      </c>
      <c r="E36" s="248">
        <f>'IODA iTunes data'!T124</f>
        <v>0</v>
      </c>
      <c r="F36" s="248">
        <f>'IODA iTunes data'!Z124</f>
        <v>0</v>
      </c>
      <c r="G36" s="243">
        <f>SUM(B36:F36)</f>
        <v>15343.479528000002</v>
      </c>
      <c r="H36" s="244">
        <f t="shared" si="2"/>
        <v>25572.465880000003</v>
      </c>
      <c r="I36" s="341">
        <f>SUM(I37:I48)</f>
        <v>18136.812691218307</v>
      </c>
      <c r="J36" s="246">
        <f t="shared" si="10"/>
        <v>7435.6531887816964</v>
      </c>
      <c r="K36" s="247">
        <f t="shared" si="0"/>
        <v>0.40997573914307323</v>
      </c>
      <c r="L36" s="285">
        <v>42309.588813900933</v>
      </c>
      <c r="M36" s="245">
        <f t="shared" si="4"/>
        <v>67882.054693900936</v>
      </c>
      <c r="N36" s="245">
        <v>55727.976016177847</v>
      </c>
      <c r="O36" s="246">
        <f t="shared" si="8"/>
        <v>12154.07867772309</v>
      </c>
      <c r="P36" s="247">
        <f t="shared" si="1"/>
        <v>0.21809653869709456</v>
      </c>
      <c r="R36">
        <v>5.9792530571561482E-3</v>
      </c>
      <c r="S36">
        <f>R36*$S$127</f>
        <v>17538.887385502694</v>
      </c>
      <c r="T36" s="109"/>
    </row>
    <row r="37" spans="1:20" s="3" customFormat="1" x14ac:dyDescent="0.2">
      <c r="A37" s="260" t="s">
        <v>62</v>
      </c>
      <c r="B37" s="261">
        <f>VLOOKUP($A37,'IODA iTunes data'!$A$138:$Z$249,2,FALSE)</f>
        <v>63.601824000000001</v>
      </c>
      <c r="C37" s="261">
        <f>VLOOKUP($A37,'IODA iTunes data'!$A$138:$Z$249,8,FALSE)</f>
        <v>67.823183999999998</v>
      </c>
      <c r="D37" s="261">
        <f>VLOOKUP($A37,'IODA iTunes data'!$A$138:$Z$249,14,FALSE)</f>
        <v>68.194152000000003</v>
      </c>
      <c r="E37" s="261">
        <f>VLOOKUP($A37,'IODA iTunes data'!$A$138:$Z$249,20,FALSE)</f>
        <v>0</v>
      </c>
      <c r="F37" s="261">
        <f>VLOOKUP($A37,'IODA iTunes data'!$A$138:$Z$249,26,FALSE)</f>
        <v>0</v>
      </c>
      <c r="G37" s="262">
        <f t="shared" ref="G37:G48" si="17">SUM(B37:F37)</f>
        <v>199.61915999999999</v>
      </c>
      <c r="H37" s="244">
        <f t="shared" si="2"/>
        <v>332.6986</v>
      </c>
      <c r="I37" s="343">
        <f>VLOOKUP($A37,[2]IODA!$D:$N,11,FALSE)</f>
        <v>182.53643969688437</v>
      </c>
      <c r="J37" s="264">
        <f t="shared" si="10"/>
        <v>150.16216030311563</v>
      </c>
      <c r="K37" s="265">
        <f t="shared" si="0"/>
        <v>0.8226421012290549</v>
      </c>
      <c r="L37" s="286">
        <v>537.54254525899887</v>
      </c>
      <c r="M37" s="263">
        <f t="shared" si="4"/>
        <v>870.24114525899881</v>
      </c>
      <c r="N37" s="263">
        <v>560.86956990143324</v>
      </c>
      <c r="O37" s="264">
        <f t="shared" si="8"/>
        <v>309.37157535756558</v>
      </c>
      <c r="P37" s="265">
        <f t="shared" si="1"/>
        <v>0.55159272665110759</v>
      </c>
      <c r="R37" s="235"/>
      <c r="S37" s="169"/>
      <c r="T37" s="109"/>
    </row>
    <row r="38" spans="1:20" s="3" customFormat="1" x14ac:dyDescent="0.2">
      <c r="A38" s="260" t="s">
        <v>61</v>
      </c>
      <c r="B38" s="261">
        <f>VLOOKUP($A38,'IODA iTunes data'!$A$138:$Z$249,2,FALSE)</f>
        <v>26.172432000000001</v>
      </c>
      <c r="C38" s="261">
        <f>VLOOKUP($A38,'IODA iTunes data'!$A$138:$Z$249,8,FALSE)</f>
        <v>107.670264</v>
      </c>
      <c r="D38" s="261">
        <f>VLOOKUP($A38,'IODA iTunes data'!$A$138:$Z$249,14,FALSE)</f>
        <v>86.755343999999994</v>
      </c>
      <c r="E38" s="261">
        <f>VLOOKUP($A38,'IODA iTunes data'!$A$138:$Z$249,20,FALSE)</f>
        <v>0</v>
      </c>
      <c r="F38" s="261">
        <f>VLOOKUP($A38,'IODA iTunes data'!$A$138:$Z$249,26,FALSE)</f>
        <v>0</v>
      </c>
      <c r="G38" s="262">
        <f t="shared" si="17"/>
        <v>220.59803999999997</v>
      </c>
      <c r="H38" s="244">
        <f t="shared" si="2"/>
        <v>367.66339999999991</v>
      </c>
      <c r="I38" s="343">
        <f>VLOOKUP($A38,[2]IODA!$D:$N,11,FALSE)</f>
        <v>195.99244907802779</v>
      </c>
      <c r="J38" s="264">
        <f t="shared" si="10"/>
        <v>171.67095092197212</v>
      </c>
      <c r="K38" s="265">
        <f t="shared" si="0"/>
        <v>0.87590594295613455</v>
      </c>
      <c r="L38" s="286">
        <v>455.90981489419931</v>
      </c>
      <c r="M38" s="263">
        <f t="shared" si="4"/>
        <v>823.57321489419928</v>
      </c>
      <c r="N38" s="263">
        <v>602.21510182220493</v>
      </c>
      <c r="O38" s="264">
        <f t="shared" si="8"/>
        <v>221.35811307199435</v>
      </c>
      <c r="P38" s="265">
        <f t="shared" si="1"/>
        <v>0.36757316846123705</v>
      </c>
      <c r="R38" s="235"/>
      <c r="S38" s="169"/>
      <c r="T38" s="109"/>
    </row>
    <row r="39" spans="1:20" s="3" customFormat="1" x14ac:dyDescent="0.2">
      <c r="A39" s="260" t="s">
        <v>60</v>
      </c>
      <c r="B39" s="261">
        <f>VLOOKUP($A39,'IODA iTunes data'!$A$138:$Z$249,2,FALSE)</f>
        <v>2404.9727520000001</v>
      </c>
      <c r="C39" s="261">
        <f>VLOOKUP($A39,'IODA iTunes data'!$A$138:$Z$249,8,FALSE)</f>
        <v>2302.6623359999999</v>
      </c>
      <c r="D39" s="261">
        <f>VLOOKUP($A39,'IODA iTunes data'!$A$138:$Z$249,14,FALSE)</f>
        <v>2257.5065760000002</v>
      </c>
      <c r="E39" s="261">
        <f>VLOOKUP($A39,'IODA iTunes data'!$A$138:$Z$249,20,FALSE)</f>
        <v>0</v>
      </c>
      <c r="F39" s="261">
        <f>VLOOKUP($A39,'IODA iTunes data'!$A$138:$Z$249,26,FALSE)</f>
        <v>0</v>
      </c>
      <c r="G39" s="262">
        <f t="shared" si="17"/>
        <v>6965.1416640000007</v>
      </c>
      <c r="H39" s="244">
        <f t="shared" si="2"/>
        <v>11608.569440000001</v>
      </c>
      <c r="I39" s="343">
        <f>VLOOKUP($A39,[2]IODA!$D:$N,11,FALSE)</f>
        <v>7936.1906761282644</v>
      </c>
      <c r="J39" s="264">
        <f t="shared" si="10"/>
        <v>3672.3787638717367</v>
      </c>
      <c r="K39" s="265">
        <f t="shared" si="0"/>
        <v>0.46273822211934768</v>
      </c>
      <c r="L39" s="286">
        <v>18747.432406485073</v>
      </c>
      <c r="M39" s="263">
        <f t="shared" si="4"/>
        <v>30356.001846485073</v>
      </c>
      <c r="N39" s="263">
        <v>24385.091867505067</v>
      </c>
      <c r="O39" s="264">
        <f t="shared" si="8"/>
        <v>5970.9099789800057</v>
      </c>
      <c r="P39" s="265">
        <f t="shared" si="1"/>
        <v>0.24485903155184269</v>
      </c>
      <c r="R39" s="235"/>
      <c r="S39" s="169"/>
      <c r="T39" s="109"/>
    </row>
    <row r="40" spans="1:20" s="3" customFormat="1" x14ac:dyDescent="0.2">
      <c r="A40" s="260" t="s">
        <v>59</v>
      </c>
      <c r="B40" s="261">
        <f>VLOOKUP($A40,'IODA iTunes data'!$A$138:$Z$249,2,FALSE)</f>
        <v>135.13468800000001</v>
      </c>
      <c r="C40" s="261">
        <f>VLOOKUP($A40,'IODA iTunes data'!$A$138:$Z$249,8,FALSE)</f>
        <v>146.19976800000001</v>
      </c>
      <c r="D40" s="261">
        <f>VLOOKUP($A40,'IODA iTunes data'!$A$138:$Z$249,14,FALSE)</f>
        <v>102.233664</v>
      </c>
      <c r="E40" s="261">
        <f>VLOOKUP($A40,'IODA iTunes data'!$A$138:$Z$249,20,FALSE)</f>
        <v>0</v>
      </c>
      <c r="F40" s="261">
        <f>VLOOKUP($A40,'IODA iTunes data'!$A$138:$Z$249,26,FALSE)</f>
        <v>0</v>
      </c>
      <c r="G40" s="262">
        <f t="shared" si="17"/>
        <v>383.56812000000002</v>
      </c>
      <c r="H40" s="244">
        <f t="shared" si="2"/>
        <v>639.28020000000004</v>
      </c>
      <c r="I40" s="343">
        <f>VLOOKUP($A40,[2]IODA!$D:$N,11,FALSE)</f>
        <v>277.32114337714626</v>
      </c>
      <c r="J40" s="264">
        <f t="shared" si="10"/>
        <v>361.95905662285378</v>
      </c>
      <c r="K40" s="265">
        <f t="shared" si="0"/>
        <v>1.305198198071047</v>
      </c>
      <c r="L40" s="286">
        <v>660.07425338029907</v>
      </c>
      <c r="M40" s="263">
        <f t="shared" si="4"/>
        <v>1299.3544533802992</v>
      </c>
      <c r="N40" s="263">
        <v>852.10925921860496</v>
      </c>
      <c r="O40" s="264">
        <f t="shared" si="8"/>
        <v>447.24519416169426</v>
      </c>
      <c r="P40" s="265">
        <f t="shared" si="1"/>
        <v>0.52486836555657634</v>
      </c>
      <c r="R40" s="235"/>
      <c r="S40" s="169"/>
      <c r="T40" s="109"/>
    </row>
    <row r="41" spans="1:20" s="3" customFormat="1" x14ac:dyDescent="0.2">
      <c r="A41" s="260" t="s">
        <v>58</v>
      </c>
      <c r="B41" s="261">
        <f>VLOOKUP($A41,'IODA iTunes data'!$A$138:$Z$249,2,FALSE)</f>
        <v>537.41750400000001</v>
      </c>
      <c r="C41" s="261">
        <f>VLOOKUP($A41,'IODA iTunes data'!$A$138:$Z$249,8,FALSE)</f>
        <v>674.58612000000005</v>
      </c>
      <c r="D41" s="261">
        <f>VLOOKUP($A41,'IODA iTunes data'!$A$138:$Z$249,14,FALSE)</f>
        <v>535.12773600000003</v>
      </c>
      <c r="E41" s="261">
        <f>VLOOKUP($A41,'IODA iTunes data'!$A$138:$Z$249,20,FALSE)</f>
        <v>0</v>
      </c>
      <c r="F41" s="261">
        <f>VLOOKUP($A41,'IODA iTunes data'!$A$138:$Z$249,26,FALSE)</f>
        <v>0</v>
      </c>
      <c r="G41" s="262">
        <f t="shared" si="17"/>
        <v>1747.1313599999999</v>
      </c>
      <c r="H41" s="244">
        <f t="shared" si="2"/>
        <v>2911.8856000000001</v>
      </c>
      <c r="I41" s="343">
        <f>VLOOKUP($A41,[2]IODA!$D:$N,11,FALSE)</f>
        <v>2026.1644221204772</v>
      </c>
      <c r="J41" s="264">
        <f t="shared" si="10"/>
        <v>885.72117787952288</v>
      </c>
      <c r="K41" s="265">
        <f t="shared" si="0"/>
        <v>0.43714180755013637</v>
      </c>
      <c r="L41" s="286">
        <v>5521.8569853901872</v>
      </c>
      <c r="M41" s="263">
        <f t="shared" si="4"/>
        <v>8433.7425853901877</v>
      </c>
      <c r="N41" s="263">
        <v>6225.6827725543435</v>
      </c>
      <c r="O41" s="264">
        <f t="shared" si="8"/>
        <v>2208.0598128358442</v>
      </c>
      <c r="P41" s="265">
        <f t="shared" si="1"/>
        <v>0.35466950268811986</v>
      </c>
      <c r="R41" s="235"/>
      <c r="S41" s="169"/>
      <c r="T41" s="109"/>
    </row>
    <row r="42" spans="1:20" s="3" customFormat="1" x14ac:dyDescent="0.2">
      <c r="A42" s="260" t="s">
        <v>57</v>
      </c>
      <c r="B42" s="261">
        <f>VLOOKUP($A42,'IODA iTunes data'!$A$138:$Z$249,2,FALSE)</f>
        <v>119.170272</v>
      </c>
      <c r="C42" s="261">
        <f>VLOOKUP($A42,'IODA iTunes data'!$A$138:$Z$249,8,FALSE)</f>
        <v>69.985032000000004</v>
      </c>
      <c r="D42" s="261">
        <f>VLOOKUP($A42,'IODA iTunes data'!$A$138:$Z$249,14,FALSE)</f>
        <v>118.888848</v>
      </c>
      <c r="E42" s="261">
        <f>VLOOKUP($A42,'IODA iTunes data'!$A$138:$Z$249,20,FALSE)</f>
        <v>0</v>
      </c>
      <c r="F42" s="261">
        <f>VLOOKUP($A42,'IODA iTunes data'!$A$138:$Z$249,26,FALSE)</f>
        <v>0</v>
      </c>
      <c r="G42" s="262">
        <f t="shared" si="17"/>
        <v>308.044152</v>
      </c>
      <c r="H42" s="244">
        <f t="shared" si="2"/>
        <v>513.40692000000001</v>
      </c>
      <c r="I42" s="343">
        <f>VLOOKUP($A42,[2]IODA!$D:$N,11,FALSE)</f>
        <v>241.36541561148485</v>
      </c>
      <c r="J42" s="264">
        <f t="shared" si="10"/>
        <v>272.04150438851514</v>
      </c>
      <c r="K42" s="265">
        <f t="shared" si="0"/>
        <v>1.127093969528792</v>
      </c>
      <c r="L42" s="286">
        <v>531.59099310636543</v>
      </c>
      <c r="M42" s="263">
        <f t="shared" si="4"/>
        <v>1044.9979131063656</v>
      </c>
      <c r="N42" s="263">
        <v>741.63009351937535</v>
      </c>
      <c r="O42" s="264">
        <f t="shared" si="8"/>
        <v>303.36781958699021</v>
      </c>
      <c r="P42" s="265">
        <f t="shared" si="1"/>
        <v>0.40905543375049763</v>
      </c>
      <c r="R42" s="235"/>
      <c r="S42" s="169"/>
      <c r="T42" s="109"/>
    </row>
    <row r="43" spans="1:20" s="3" customFormat="1" x14ac:dyDescent="0.2">
      <c r="A43" s="260" t="s">
        <v>56</v>
      </c>
      <c r="B43" s="261">
        <f>VLOOKUP($A43,'IODA iTunes data'!$A$138:$Z$249,2,FALSE)</f>
        <v>44.708039999999997</v>
      </c>
      <c r="C43" s="261">
        <f>VLOOKUP($A43,'IODA iTunes data'!$A$138:$Z$249,8,FALSE)</f>
        <v>21.094007999999999</v>
      </c>
      <c r="D43" s="261">
        <f>VLOOKUP($A43,'IODA iTunes data'!$A$138:$Z$249,14,FALSE)</f>
        <v>39.117936</v>
      </c>
      <c r="E43" s="261">
        <f>VLOOKUP($A43,'IODA iTunes data'!$A$138:$Z$249,20,FALSE)</f>
        <v>0</v>
      </c>
      <c r="F43" s="261">
        <f>VLOOKUP($A43,'IODA iTunes data'!$A$138:$Z$249,26,FALSE)</f>
        <v>0</v>
      </c>
      <c r="G43" s="262">
        <f t="shared" si="17"/>
        <v>104.919984</v>
      </c>
      <c r="H43" s="244">
        <f t="shared" si="2"/>
        <v>174.86664000000002</v>
      </c>
      <c r="I43" s="343">
        <f>VLOOKUP($A43,[2]IODA!$D:$N,11,FALSE)</f>
        <v>143.57271108697748</v>
      </c>
      <c r="J43" s="264">
        <f t="shared" si="10"/>
        <v>31.29392891302254</v>
      </c>
      <c r="K43" s="265">
        <f t="shared" si="0"/>
        <v>0.2179657169952334</v>
      </c>
      <c r="L43" s="286">
        <v>344.18347972631449</v>
      </c>
      <c r="M43" s="263">
        <f t="shared" si="4"/>
        <v>519.05011972631451</v>
      </c>
      <c r="N43" s="263">
        <v>441.14788724188224</v>
      </c>
      <c r="O43" s="264">
        <f t="shared" si="8"/>
        <v>77.902232484432261</v>
      </c>
      <c r="P43" s="265">
        <f t="shared" si="1"/>
        <v>0.17658983469577022</v>
      </c>
      <c r="R43" s="235"/>
      <c r="S43" s="169"/>
      <c r="T43" s="109"/>
    </row>
    <row r="44" spans="1:20" s="3" customFormat="1" x14ac:dyDescent="0.2">
      <c r="A44" s="260" t="s">
        <v>55</v>
      </c>
      <c r="B44" s="261">
        <f>VLOOKUP($A44,'IODA iTunes data'!$A$138:$Z$249,2,FALSE)</f>
        <v>64.906608000000006</v>
      </c>
      <c r="C44" s="261">
        <f>VLOOKUP($A44,'IODA iTunes data'!$A$138:$Z$249,8,FALSE)</f>
        <v>70.061784000000003</v>
      </c>
      <c r="D44" s="261">
        <f>VLOOKUP($A44,'IODA iTunes data'!$A$138:$Z$249,14,FALSE)</f>
        <v>103.013976</v>
      </c>
      <c r="E44" s="261">
        <f>VLOOKUP($A44,'IODA iTunes data'!$A$138:$Z$249,20,FALSE)</f>
        <v>0</v>
      </c>
      <c r="F44" s="261">
        <f>VLOOKUP($A44,'IODA iTunes data'!$A$138:$Z$249,26,FALSE)</f>
        <v>0</v>
      </c>
      <c r="G44" s="262">
        <f t="shared" si="17"/>
        <v>237.98236800000001</v>
      </c>
      <c r="H44" s="244">
        <f t="shared" si="2"/>
        <v>396.63727999999998</v>
      </c>
      <c r="I44" s="343">
        <f>VLOOKUP($A44,[2]IODA!$D:$N,11,FALSE)</f>
        <v>201.47315958994295</v>
      </c>
      <c r="J44" s="264">
        <f t="shared" si="10"/>
        <v>195.16412041005702</v>
      </c>
      <c r="K44" s="265">
        <f t="shared" si="0"/>
        <v>0.96868546067016237</v>
      </c>
      <c r="L44" s="286">
        <v>601.30022466182754</v>
      </c>
      <c r="M44" s="263">
        <f t="shared" si="4"/>
        <v>997.93750466182746</v>
      </c>
      <c r="N44" s="263">
        <v>619.05537630480512</v>
      </c>
      <c r="O44" s="264">
        <f t="shared" si="8"/>
        <v>378.88212835702234</v>
      </c>
      <c r="P44" s="265">
        <f t="shared" si="1"/>
        <v>0.6120326918386565</v>
      </c>
      <c r="R44" s="235"/>
      <c r="S44" s="169"/>
      <c r="T44" s="109"/>
    </row>
    <row r="45" spans="1:20" s="3" customFormat="1" x14ac:dyDescent="0.2">
      <c r="A45" s="260" t="s">
        <v>54</v>
      </c>
      <c r="B45" s="261">
        <f>VLOOKUP($A45,'IODA iTunes data'!$A$138:$Z$249,2,FALSE)</f>
        <v>1073.8756080000001</v>
      </c>
      <c r="C45" s="261">
        <f>VLOOKUP($A45,'IODA iTunes data'!$A$138:$Z$249,8,FALSE)</f>
        <v>1040.50128</v>
      </c>
      <c r="D45" s="261">
        <f>VLOOKUP($A45,'IODA iTunes data'!$A$138:$Z$249,14,FALSE)</f>
        <v>923.72311200000001</v>
      </c>
      <c r="E45" s="261">
        <f>VLOOKUP($A45,'IODA iTunes data'!$A$138:$Z$249,20,FALSE)</f>
        <v>0</v>
      </c>
      <c r="F45" s="261">
        <f>VLOOKUP($A45,'IODA iTunes data'!$A$138:$Z$249,26,FALSE)</f>
        <v>0</v>
      </c>
      <c r="G45" s="262">
        <f t="shared" si="17"/>
        <v>3038.1</v>
      </c>
      <c r="H45" s="244">
        <f t="shared" si="2"/>
        <v>5063.5</v>
      </c>
      <c r="I45" s="343">
        <f>VLOOKUP($A45,[2]IODA!$D:$N,11,FALSE)</f>
        <v>4519.7095722444874</v>
      </c>
      <c r="J45" s="264">
        <f t="shared" si="10"/>
        <v>543.79042775551261</v>
      </c>
      <c r="K45" s="265">
        <f t="shared" si="0"/>
        <v>0.12031534749376968</v>
      </c>
      <c r="L45" s="286">
        <v>9138.2991214990543</v>
      </c>
      <c r="M45" s="263">
        <f t="shared" si="4"/>
        <v>14201.799121499054</v>
      </c>
      <c r="N45" s="263">
        <v>13887.4603233944</v>
      </c>
      <c r="O45" s="264">
        <f t="shared" si="8"/>
        <v>314.33879810465442</v>
      </c>
      <c r="P45" s="265">
        <f t="shared" si="1"/>
        <v>2.2634721596657144E-2</v>
      </c>
      <c r="R45" s="235"/>
      <c r="S45" s="169"/>
      <c r="T45" s="109"/>
    </row>
    <row r="46" spans="1:20" s="3" customFormat="1" x14ac:dyDescent="0.2">
      <c r="A46" s="260" t="s">
        <v>53</v>
      </c>
      <c r="B46" s="261">
        <f>VLOOKUP($A46,'IODA iTunes data'!$A$138:$Z$249,2,FALSE)</f>
        <v>132.550704</v>
      </c>
      <c r="C46" s="261">
        <f>VLOOKUP($A46,'IODA iTunes data'!$A$138:$Z$249,8,FALSE)</f>
        <v>167.76707999999999</v>
      </c>
      <c r="D46" s="261">
        <f>VLOOKUP($A46,'IODA iTunes data'!$A$138:$Z$249,14,FALSE)</f>
        <v>160.15584000000001</v>
      </c>
      <c r="E46" s="261">
        <f>VLOOKUP($A46,'IODA iTunes data'!$A$138:$Z$249,20,FALSE)</f>
        <v>0</v>
      </c>
      <c r="F46" s="261">
        <f>VLOOKUP($A46,'IODA iTunes data'!$A$138:$Z$249,26,FALSE)</f>
        <v>0</v>
      </c>
      <c r="G46" s="262">
        <f t="shared" si="17"/>
        <v>460.47362399999997</v>
      </c>
      <c r="H46" s="244">
        <f t="shared" si="2"/>
        <v>767.45604000000003</v>
      </c>
      <c r="I46" s="343">
        <f>VLOOKUP($A46,[2]IODA!$D:$N,11,FALSE)</f>
        <v>583.78388870334879</v>
      </c>
      <c r="J46" s="264">
        <f t="shared" si="10"/>
        <v>183.67215129665124</v>
      </c>
      <c r="K46" s="265">
        <f t="shared" si="0"/>
        <v>0.31462353595370407</v>
      </c>
      <c r="L46" s="286">
        <v>1173.5516079664226</v>
      </c>
      <c r="M46" s="263">
        <f t="shared" si="4"/>
        <v>1941.0076479664226</v>
      </c>
      <c r="N46" s="263">
        <v>1793.7602985801088</v>
      </c>
      <c r="O46" s="264">
        <f t="shared" si="8"/>
        <v>147.24734938631377</v>
      </c>
      <c r="P46" s="265">
        <f t="shared" si="1"/>
        <v>8.2088643339286033E-2</v>
      </c>
      <c r="R46" s="235"/>
      <c r="S46" s="169"/>
      <c r="T46" s="109"/>
    </row>
    <row r="47" spans="1:20" s="3" customFormat="1" x14ac:dyDescent="0.2">
      <c r="A47" s="260" t="s">
        <v>52</v>
      </c>
      <c r="B47" s="261">
        <f>VLOOKUP($A47,'IODA iTunes data'!$A$138:$Z$249,2,FALSE)</f>
        <v>437.39685600000001</v>
      </c>
      <c r="C47" s="261">
        <f>VLOOKUP($A47,'IODA iTunes data'!$A$138:$Z$249,8,FALSE)</f>
        <v>499.97532000000001</v>
      </c>
      <c r="D47" s="261">
        <f>VLOOKUP($A47,'IODA iTunes data'!$A$138:$Z$249,14,FALSE)</f>
        <v>584.683944</v>
      </c>
      <c r="E47" s="261">
        <f>VLOOKUP($A47,'IODA iTunes data'!$A$138:$Z$249,20,FALSE)</f>
        <v>0</v>
      </c>
      <c r="F47" s="261">
        <f>VLOOKUP($A47,'IODA iTunes data'!$A$138:$Z$249,26,FALSE)</f>
        <v>0</v>
      </c>
      <c r="G47" s="262">
        <f t="shared" si="17"/>
        <v>1522.0561200000002</v>
      </c>
      <c r="H47" s="244">
        <f t="shared" si="2"/>
        <v>2536.7602000000002</v>
      </c>
      <c r="I47" s="343">
        <f>VLOOKUP($A47,[2]IODA!$D:$N,11,FALSE)</f>
        <v>1643.4770193580218</v>
      </c>
      <c r="J47" s="264">
        <f t="shared" si="10"/>
        <v>893.28318064197833</v>
      </c>
      <c r="K47" s="265">
        <f t="shared" si="0"/>
        <v>0.54353250463515113</v>
      </c>
      <c r="L47" s="286">
        <v>4168.6848378777522</v>
      </c>
      <c r="M47" s="263">
        <f t="shared" si="4"/>
        <v>6705.4450378777528</v>
      </c>
      <c r="N47" s="263">
        <v>5049.8204660992769</v>
      </c>
      <c r="O47" s="264">
        <f t="shared" si="8"/>
        <v>1655.6245717784759</v>
      </c>
      <c r="P47" s="265">
        <f t="shared" si="1"/>
        <v>0.32785810562832929</v>
      </c>
      <c r="R47" s="235"/>
      <c r="S47" s="169"/>
      <c r="T47" s="109"/>
    </row>
    <row r="48" spans="1:20" s="3" customFormat="1" x14ac:dyDescent="0.2">
      <c r="A48" s="260" t="s">
        <v>90</v>
      </c>
      <c r="B48" s="261">
        <f>VLOOKUP($A48,'IODA iTunes data'!$A$138:$Z$249,2,FALSE)</f>
        <v>20.633496000000001</v>
      </c>
      <c r="C48" s="261">
        <f>VLOOKUP($A48,'IODA iTunes data'!$A$138:$Z$249,8,FALSE)</f>
        <v>27.681888000000001</v>
      </c>
      <c r="D48" s="261">
        <f>VLOOKUP($A48,'IODA iTunes data'!$A$138:$Z$249,14,FALSE)</f>
        <v>107.529552</v>
      </c>
      <c r="E48" s="261">
        <f>VLOOKUP($A48,'IODA iTunes data'!$A$138:$Z$249,20,FALSE)</f>
        <v>0</v>
      </c>
      <c r="F48" s="261">
        <f>VLOOKUP($A48,'IODA iTunes data'!$A$138:$Z$249,26,FALSE)</f>
        <v>0</v>
      </c>
      <c r="G48" s="262">
        <f t="shared" si="17"/>
        <v>155.84493599999999</v>
      </c>
      <c r="H48" s="244">
        <f t="shared" si="2"/>
        <v>259.74155999999999</v>
      </c>
      <c r="I48" s="343">
        <f>VLOOKUP($A48,[2]IODA!$D:$N,11,FALSE)</f>
        <v>185.22579422324532</v>
      </c>
      <c r="J48" s="264">
        <f t="shared" si="10"/>
        <v>74.515765776754677</v>
      </c>
      <c r="K48" s="265">
        <f t="shared" si="0"/>
        <v>0.40229691598430278</v>
      </c>
      <c r="L48" s="286">
        <v>429.16254365444161</v>
      </c>
      <c r="M48" s="263">
        <f t="shared" si="4"/>
        <v>688.90410365444154</v>
      </c>
      <c r="N48" s="263">
        <v>569.13300003635482</v>
      </c>
      <c r="O48" s="264">
        <f t="shared" si="8"/>
        <v>119.77110361808673</v>
      </c>
      <c r="P48" s="265">
        <f t="shared" si="1"/>
        <v>0.21044484085518858</v>
      </c>
      <c r="R48" s="235"/>
      <c r="S48" s="169"/>
      <c r="T48" s="109"/>
    </row>
    <row r="49" spans="1:20" x14ac:dyDescent="0.2">
      <c r="A49" s="239" t="s">
        <v>95</v>
      </c>
      <c r="B49" s="248">
        <f>'IODA iTunes data'!B129</f>
        <v>39963.06</v>
      </c>
      <c r="C49" s="248">
        <f>'IODA iTunes data'!H129</f>
        <v>37061.290000000008</v>
      </c>
      <c r="D49" s="248">
        <f>'IODA iTunes data'!N129</f>
        <v>37925.650000000009</v>
      </c>
      <c r="E49" s="248">
        <f>'IODA iTunes data'!T129</f>
        <v>0</v>
      </c>
      <c r="F49" s="248">
        <f>'IODA iTunes data'!Z129</f>
        <v>0</v>
      </c>
      <c r="G49" s="243">
        <f>SUM(B49:F49)</f>
        <v>114950.00000000001</v>
      </c>
      <c r="H49" s="244">
        <f t="shared" si="2"/>
        <v>191583.33333333337</v>
      </c>
      <c r="I49" s="341">
        <f>SUM(I50:I66)</f>
        <v>149618.70530022751</v>
      </c>
      <c r="J49" s="246">
        <f t="shared" si="10"/>
        <v>41964.628033105866</v>
      </c>
      <c r="K49" s="247">
        <f t="shared" si="0"/>
        <v>0.2804771498917793</v>
      </c>
      <c r="L49" s="285">
        <v>363453.13022959238</v>
      </c>
      <c r="M49" s="245">
        <f t="shared" si="4"/>
        <v>555036.46356292581</v>
      </c>
      <c r="N49" s="245">
        <v>459725.07752587798</v>
      </c>
      <c r="O49" s="246">
        <f t="shared" si="8"/>
        <v>95311.386037047836</v>
      </c>
      <c r="P49" s="247">
        <f t="shared" si="1"/>
        <v>0.20732257319959393</v>
      </c>
      <c r="R49">
        <v>4.9325541168944859E-2</v>
      </c>
      <c r="S49">
        <f>R49*$S$127</f>
        <v>144686.15118333304</v>
      </c>
      <c r="T49" s="109"/>
    </row>
    <row r="50" spans="1:20" s="3" customFormat="1" x14ac:dyDescent="0.2">
      <c r="A50" s="260" t="s">
        <v>128</v>
      </c>
      <c r="B50" s="261">
        <f>VLOOKUP($A50,'IODA iTunes data'!$A$138:$Z$249,2,FALSE)</f>
        <v>451.27</v>
      </c>
      <c r="C50" s="261">
        <f>VLOOKUP($A50,'IODA iTunes data'!$A$138:$Z$249,8,FALSE)</f>
        <v>283.87</v>
      </c>
      <c r="D50" s="261">
        <f>VLOOKUP($A50,'IODA iTunes data'!$A$138:$Z$249,14,FALSE)</f>
        <v>331.71</v>
      </c>
      <c r="E50" s="261">
        <f>VLOOKUP($A50,'IODA iTunes data'!$A$138:$Z$249,20,FALSE)</f>
        <v>0</v>
      </c>
      <c r="F50" s="261">
        <f>VLOOKUP($A50,'IODA iTunes data'!$A$138:$Z$249,26,FALSE)</f>
        <v>0</v>
      </c>
      <c r="G50" s="262">
        <f t="shared" ref="G50:G66" si="18">SUM(B50:F50)</f>
        <v>1066.8499999999999</v>
      </c>
      <c r="H50" s="244">
        <f t="shared" si="2"/>
        <v>1778.083333333333</v>
      </c>
      <c r="I50" s="343">
        <f>VLOOKUP($A50,[2]IODA!$D:$N,11,FALSE)</f>
        <v>1953.1925680551064</v>
      </c>
      <c r="J50" s="264">
        <f t="shared" si="10"/>
        <v>-175.10923472177342</v>
      </c>
      <c r="K50" s="265">
        <f t="shared" si="0"/>
        <v>-8.9652826651976575E-2</v>
      </c>
      <c r="L50" s="286">
        <v>5057.1300045251846</v>
      </c>
      <c r="M50" s="263">
        <f t="shared" si="4"/>
        <v>6835.2133378585177</v>
      </c>
      <c r="N50" s="263">
        <v>6001.466213534577</v>
      </c>
      <c r="O50" s="264">
        <f t="shared" si="8"/>
        <v>833.74712432394062</v>
      </c>
      <c r="P50" s="265">
        <f t="shared" si="1"/>
        <v>0.1389239053689354</v>
      </c>
      <c r="R50" s="235"/>
      <c r="S50" s="169"/>
      <c r="T50" s="109"/>
    </row>
    <row r="51" spans="1:20" s="3" customFormat="1" x14ac:dyDescent="0.2">
      <c r="A51" s="260" t="s">
        <v>134</v>
      </c>
      <c r="B51" s="261">
        <f>VLOOKUP($A51,'IODA iTunes data'!$A$138:$Z$249,2,FALSE)</f>
        <v>0</v>
      </c>
      <c r="C51" s="261">
        <f>VLOOKUP($A51,'IODA iTunes data'!$A$138:$Z$249,8,FALSE)</f>
        <v>11.59</v>
      </c>
      <c r="D51" s="261">
        <f>VLOOKUP($A51,'IODA iTunes data'!$A$138:$Z$249,14,FALSE)</f>
        <v>10.98</v>
      </c>
      <c r="E51" s="261">
        <f>VLOOKUP($A51,'IODA iTunes data'!$A$138:$Z$249,20,FALSE)</f>
        <v>0</v>
      </c>
      <c r="F51" s="261">
        <f>VLOOKUP($A51,'IODA iTunes data'!$A$138:$Z$249,26,FALSE)</f>
        <v>0</v>
      </c>
      <c r="G51" s="262">
        <f t="shared" si="18"/>
        <v>22.57</v>
      </c>
      <c r="H51" s="244">
        <f t="shared" si="2"/>
        <v>56.424999999999997</v>
      </c>
      <c r="I51" s="343">
        <f>VLOOKUP($A51,[2]IODA!$D:$N,11,FALSE)</f>
        <v>17.245912546865192</v>
      </c>
      <c r="J51" s="264">
        <f t="shared" si="10"/>
        <v>39.179087453134805</v>
      </c>
      <c r="K51" s="265">
        <f t="shared" si="0"/>
        <v>2.271789755785143</v>
      </c>
      <c r="L51" s="286">
        <v>29.346666932106032</v>
      </c>
      <c r="M51" s="263">
        <f t="shared" si="4"/>
        <v>85.771666932106029</v>
      </c>
      <c r="N51" s="263">
        <v>52.990556673397791</v>
      </c>
      <c r="O51" s="264">
        <f t="shared" si="8"/>
        <v>32.781110258708239</v>
      </c>
      <c r="P51" s="265">
        <f t="shared" si="1"/>
        <v>0.61862173784569707</v>
      </c>
      <c r="R51" s="235"/>
      <c r="S51" s="169"/>
      <c r="T51" s="109"/>
    </row>
    <row r="52" spans="1:20" s="3" customFormat="1" x14ac:dyDescent="0.2">
      <c r="A52" s="260" t="s">
        <v>136</v>
      </c>
      <c r="B52" s="261">
        <f>VLOOKUP($A52,'IODA iTunes data'!$A$138:$Z$249,2,FALSE)</f>
        <v>0.61</v>
      </c>
      <c r="C52" s="261">
        <f>VLOOKUP($A52,'IODA iTunes data'!$A$138:$Z$249,8,FALSE)</f>
        <v>18.3</v>
      </c>
      <c r="D52" s="261">
        <f>VLOOKUP($A52,'IODA iTunes data'!$A$138:$Z$249,14,FALSE)</f>
        <v>3.66</v>
      </c>
      <c r="E52" s="261">
        <f>VLOOKUP($A52,'IODA iTunes data'!$A$138:$Z$249,20,FALSE)</f>
        <v>0</v>
      </c>
      <c r="F52" s="261">
        <f>VLOOKUP($A52,'IODA iTunes data'!$A$138:$Z$249,26,FALSE)</f>
        <v>0</v>
      </c>
      <c r="G52" s="262">
        <f t="shared" si="18"/>
        <v>22.57</v>
      </c>
      <c r="H52" s="244">
        <f t="shared" si="2"/>
        <v>37.616666666666667</v>
      </c>
      <c r="I52" s="343">
        <f>VLOOKUP($A52,[2]IODA!$D:$N,11,FALSE)</f>
        <v>40.89649688559556</v>
      </c>
      <c r="J52" s="264">
        <f t="shared" si="10"/>
        <v>-3.2798302189288933</v>
      </c>
      <c r="K52" s="265">
        <f t="shared" si="0"/>
        <v>-8.019831693907517E-2</v>
      </c>
      <c r="L52" s="286">
        <v>118.00000023841848</v>
      </c>
      <c r="M52" s="263">
        <f t="shared" si="4"/>
        <v>155.61666690508514</v>
      </c>
      <c r="N52" s="263">
        <v>125.66039228544676</v>
      </c>
      <c r="O52" s="264">
        <f t="shared" si="8"/>
        <v>29.956274619638378</v>
      </c>
      <c r="P52" s="265">
        <f t="shared" si="1"/>
        <v>0.23839074568214391</v>
      </c>
      <c r="R52" s="235"/>
      <c r="S52" s="169"/>
      <c r="T52" s="109"/>
    </row>
    <row r="53" spans="1:20" s="3" customFormat="1" x14ac:dyDescent="0.2">
      <c r="A53" s="260" t="s">
        <v>138</v>
      </c>
      <c r="B53" s="261">
        <f>VLOOKUP($A53,'IODA iTunes data'!$A$138:$Z$249,2,FALSE)</f>
        <v>33940.22</v>
      </c>
      <c r="C53" s="261">
        <f>VLOOKUP($A53,'IODA iTunes data'!$A$138:$Z$249,8,FALSE)</f>
        <v>31243.93</v>
      </c>
      <c r="D53" s="261">
        <f>VLOOKUP($A53,'IODA iTunes data'!$A$138:$Z$249,14,FALSE)</f>
        <v>32156.75</v>
      </c>
      <c r="E53" s="261">
        <f>VLOOKUP($A53,'IODA iTunes data'!$A$138:$Z$249,20,FALSE)</f>
        <v>0</v>
      </c>
      <c r="F53" s="261">
        <f>VLOOKUP($A53,'IODA iTunes data'!$A$138:$Z$249,26,FALSE)</f>
        <v>0</v>
      </c>
      <c r="G53" s="262">
        <f t="shared" si="18"/>
        <v>97340.9</v>
      </c>
      <c r="H53" s="244">
        <f t="shared" si="2"/>
        <v>162234.83333333331</v>
      </c>
      <c r="I53" s="343">
        <f>VLOOKUP($A53,[2]IODA!$D:$N,11,FALSE)</f>
        <v>123576.72860339357</v>
      </c>
      <c r="J53" s="264">
        <f t="shared" si="10"/>
        <v>38658.104729939747</v>
      </c>
      <c r="K53" s="265">
        <f t="shared" si="0"/>
        <v>0.31282673661000399</v>
      </c>
      <c r="L53" s="286">
        <v>299626.92997282749</v>
      </c>
      <c r="M53" s="263">
        <f t="shared" si="4"/>
        <v>461861.76330616081</v>
      </c>
      <c r="N53" s="263">
        <v>379707.34356771014</v>
      </c>
      <c r="O53" s="264">
        <f t="shared" si="8"/>
        <v>82154.41973845067</v>
      </c>
      <c r="P53" s="265">
        <f t="shared" si="1"/>
        <v>0.2163624726520485</v>
      </c>
      <c r="R53" s="235"/>
      <c r="S53" s="169"/>
      <c r="T53" s="109"/>
    </row>
    <row r="54" spans="1:20" s="3" customFormat="1" x14ac:dyDescent="0.2">
      <c r="A54" s="260" t="s">
        <v>144</v>
      </c>
      <c r="B54" s="261">
        <f>VLOOKUP($A54,'IODA iTunes data'!$A$138:$Z$249,2,FALSE)</f>
        <v>1642.49</v>
      </c>
      <c r="C54" s="261">
        <f>VLOOKUP($A54,'IODA iTunes data'!$A$138:$Z$249,8,FALSE)</f>
        <v>1628.63</v>
      </c>
      <c r="D54" s="261">
        <f>VLOOKUP($A54,'IODA iTunes data'!$A$138:$Z$249,14,FALSE)</f>
        <v>1374.76</v>
      </c>
      <c r="E54" s="261">
        <f>VLOOKUP($A54,'IODA iTunes data'!$A$138:$Z$249,20,FALSE)</f>
        <v>0</v>
      </c>
      <c r="F54" s="261">
        <f>VLOOKUP($A54,'IODA iTunes data'!$A$138:$Z$249,26,FALSE)</f>
        <v>0</v>
      </c>
      <c r="G54" s="262">
        <f t="shared" si="18"/>
        <v>4645.88</v>
      </c>
      <c r="H54" s="244">
        <f t="shared" si="2"/>
        <v>7743.1333333333341</v>
      </c>
      <c r="I54" s="343">
        <f>VLOOKUP($A54,[2]IODA!$D:$N,11,FALSE)</f>
        <v>6500.6601315027674</v>
      </c>
      <c r="J54" s="264">
        <f t="shared" si="10"/>
        <v>1242.4732018305667</v>
      </c>
      <c r="K54" s="265">
        <f t="shared" si="0"/>
        <v>0.19113031241387823</v>
      </c>
      <c r="L54" s="286">
        <v>16174.900008916849</v>
      </c>
      <c r="M54" s="263">
        <f t="shared" si="4"/>
        <v>23918.033342250183</v>
      </c>
      <c r="N54" s="263">
        <v>19974.216973256673</v>
      </c>
      <c r="O54" s="264">
        <f t="shared" si="8"/>
        <v>3943.81636899351</v>
      </c>
      <c r="P54" s="265">
        <f t="shared" si="1"/>
        <v>0.19744535539359845</v>
      </c>
      <c r="R54" s="235"/>
      <c r="S54" s="169"/>
      <c r="T54" s="109"/>
    </row>
    <row r="55" spans="1:20" s="3" customFormat="1" x14ac:dyDescent="0.2">
      <c r="A55" s="260" t="s">
        <v>145</v>
      </c>
      <c r="B55" s="261">
        <f>VLOOKUP($A55,'IODA iTunes data'!$A$138:$Z$249,2,FALSE)</f>
        <v>2391.37</v>
      </c>
      <c r="C55" s="261">
        <f>VLOOKUP($A55,'IODA iTunes data'!$A$138:$Z$249,8,FALSE)</f>
        <v>2272.2800000000002</v>
      </c>
      <c r="D55" s="261">
        <f>VLOOKUP($A55,'IODA iTunes data'!$A$138:$Z$249,14,FALSE)</f>
        <v>2379.81</v>
      </c>
      <c r="E55" s="261">
        <f>VLOOKUP($A55,'IODA iTunes data'!$A$138:$Z$249,20,FALSE)</f>
        <v>0</v>
      </c>
      <c r="F55" s="261">
        <f>VLOOKUP($A55,'IODA iTunes data'!$A$138:$Z$249,26,FALSE)</f>
        <v>0</v>
      </c>
      <c r="G55" s="262">
        <f t="shared" si="18"/>
        <v>7043.4599999999991</v>
      </c>
      <c r="H55" s="244">
        <f t="shared" si="2"/>
        <v>11739.099999999999</v>
      </c>
      <c r="I55" s="343">
        <f>VLOOKUP($A55,[2]IODA!$D:$N,11,FALSE)</f>
        <v>10056.000354590515</v>
      </c>
      <c r="J55" s="264">
        <f t="shared" si="10"/>
        <v>1683.0996454094839</v>
      </c>
      <c r="K55" s="265">
        <f t="shared" si="0"/>
        <v>0.167372671644861</v>
      </c>
      <c r="L55" s="286">
        <v>23052.820101618767</v>
      </c>
      <c r="M55" s="263">
        <f t="shared" si="4"/>
        <v>34791.920101618765</v>
      </c>
      <c r="N55" s="263">
        <v>30898.513212888691</v>
      </c>
      <c r="O55" s="264">
        <f t="shared" si="8"/>
        <v>3893.4068887300746</v>
      </c>
      <c r="P55" s="265">
        <f t="shared" si="1"/>
        <v>0.12600628586575546</v>
      </c>
      <c r="R55" s="235"/>
      <c r="S55" s="169"/>
      <c r="T55" s="109"/>
    </row>
    <row r="56" spans="1:20" s="3" customFormat="1" x14ac:dyDescent="0.2">
      <c r="A56" s="260" t="s">
        <v>146</v>
      </c>
      <c r="B56" s="261">
        <f>VLOOKUP($A56,'IODA iTunes data'!$A$138:$Z$249,2,FALSE)</f>
        <v>178.01</v>
      </c>
      <c r="C56" s="261">
        <f>VLOOKUP($A56,'IODA iTunes data'!$A$138:$Z$249,8,FALSE)</f>
        <v>241.82</v>
      </c>
      <c r="D56" s="261">
        <f>VLOOKUP($A56,'IODA iTunes data'!$A$138:$Z$249,14,FALSE)</f>
        <v>216.76</v>
      </c>
      <c r="E56" s="261">
        <f>VLOOKUP($A56,'IODA iTunes data'!$A$138:$Z$249,20,FALSE)</f>
        <v>0</v>
      </c>
      <c r="F56" s="261">
        <f>VLOOKUP($A56,'IODA iTunes data'!$A$138:$Z$249,26,FALSE)</f>
        <v>0</v>
      </c>
      <c r="G56" s="262">
        <f t="shared" si="18"/>
        <v>636.58999999999992</v>
      </c>
      <c r="H56" s="244">
        <f t="shared" si="2"/>
        <v>1060.9833333333331</v>
      </c>
      <c r="I56" s="343">
        <f>VLOOKUP($A56,[2]IODA!$D:$N,11,FALSE)</f>
        <v>1043.2276096535497</v>
      </c>
      <c r="J56" s="264">
        <f t="shared" si="10"/>
        <v>17.755723679783387</v>
      </c>
      <c r="K56" s="265">
        <f t="shared" si="0"/>
        <v>1.7019990187644638E-2</v>
      </c>
      <c r="L56" s="286">
        <v>2785.2000257968884</v>
      </c>
      <c r="M56" s="263">
        <f t="shared" si="4"/>
        <v>3846.1833591302216</v>
      </c>
      <c r="N56" s="263">
        <v>3205.4674765614691</v>
      </c>
      <c r="O56" s="264">
        <f t="shared" si="8"/>
        <v>640.71588256875248</v>
      </c>
      <c r="P56" s="265">
        <f t="shared" si="1"/>
        <v>0.19988219729374812</v>
      </c>
      <c r="R56" s="235"/>
      <c r="S56" s="169"/>
      <c r="T56" s="109"/>
    </row>
    <row r="57" spans="1:20" s="3" customFormat="1" x14ac:dyDescent="0.2">
      <c r="A57" s="260" t="s">
        <v>148</v>
      </c>
      <c r="B57" s="261">
        <f>VLOOKUP($A57,'IODA iTunes data'!$A$138:$Z$249,2,FALSE)</f>
        <v>171.9</v>
      </c>
      <c r="C57" s="261">
        <f>VLOOKUP($A57,'IODA iTunes data'!$A$138:$Z$249,8,FALSE)</f>
        <v>160.97</v>
      </c>
      <c r="D57" s="261">
        <f>VLOOKUP($A57,'IODA iTunes data'!$A$138:$Z$249,14,FALSE)</f>
        <v>211.98</v>
      </c>
      <c r="E57" s="261">
        <f>VLOOKUP($A57,'IODA iTunes data'!$A$138:$Z$249,20,FALSE)</f>
        <v>0</v>
      </c>
      <c r="F57" s="261">
        <f>VLOOKUP($A57,'IODA iTunes data'!$A$138:$Z$249,26,FALSE)</f>
        <v>0</v>
      </c>
      <c r="G57" s="262">
        <f t="shared" si="18"/>
        <v>544.85</v>
      </c>
      <c r="H57" s="244">
        <f t="shared" si="2"/>
        <v>908.08333333333337</v>
      </c>
      <c r="I57" s="343">
        <f>VLOOKUP($A57,[2]IODA!$D:$N,11,FALSE)</f>
        <v>658.06271197055014</v>
      </c>
      <c r="J57" s="264">
        <f t="shared" si="10"/>
        <v>250.02062136278323</v>
      </c>
      <c r="K57" s="265">
        <f t="shared" si="0"/>
        <v>0.37993433880200195</v>
      </c>
      <c r="L57" s="286">
        <v>1751.140005409718</v>
      </c>
      <c r="M57" s="263">
        <f t="shared" si="4"/>
        <v>2659.2233387430515</v>
      </c>
      <c r="N57" s="263">
        <v>2021.9927092036569</v>
      </c>
      <c r="O57" s="264">
        <f t="shared" si="8"/>
        <v>637.23062953939461</v>
      </c>
      <c r="P57" s="265">
        <f t="shared" si="1"/>
        <v>0.3151498156441731</v>
      </c>
      <c r="R57" s="235"/>
      <c r="S57" s="169"/>
      <c r="T57" s="109"/>
    </row>
    <row r="58" spans="1:20" s="3" customFormat="1" x14ac:dyDescent="0.2">
      <c r="A58" s="260" t="s">
        <v>149</v>
      </c>
      <c r="B58" s="261">
        <f>VLOOKUP($A58,'IODA iTunes data'!$A$138:$Z$249,2,FALSE)</f>
        <v>329.83</v>
      </c>
      <c r="C58" s="261">
        <f>VLOOKUP($A58,'IODA iTunes data'!$A$138:$Z$249,8,FALSE)</f>
        <v>326.89999999999998</v>
      </c>
      <c r="D58" s="261">
        <f>VLOOKUP($A58,'IODA iTunes data'!$A$138:$Z$249,14,FALSE)</f>
        <v>343.83</v>
      </c>
      <c r="E58" s="261">
        <f>VLOOKUP($A58,'IODA iTunes data'!$A$138:$Z$249,20,FALSE)</f>
        <v>0</v>
      </c>
      <c r="F58" s="261">
        <f>VLOOKUP($A58,'IODA iTunes data'!$A$138:$Z$249,26,FALSE)</f>
        <v>0</v>
      </c>
      <c r="G58" s="262">
        <f t="shared" si="18"/>
        <v>1000.56</v>
      </c>
      <c r="H58" s="244">
        <f t="shared" si="2"/>
        <v>1667.6</v>
      </c>
      <c r="I58" s="343">
        <f>VLOOKUP($A58,[2]IODA!$D:$N,11,FALSE)</f>
        <v>1442.0036667906199</v>
      </c>
      <c r="J58" s="264">
        <f t="shared" si="10"/>
        <v>225.59633320937996</v>
      </c>
      <c r="K58" s="265">
        <f t="shared" si="0"/>
        <v>0.15644643519629603</v>
      </c>
      <c r="L58" s="286">
        <v>4017.1000291109076</v>
      </c>
      <c r="M58" s="263">
        <f t="shared" si="4"/>
        <v>5684.7000291109071</v>
      </c>
      <c r="N58" s="263">
        <v>4430.7644968433615</v>
      </c>
      <c r="O58" s="264">
        <f t="shared" si="8"/>
        <v>1253.9355322675456</v>
      </c>
      <c r="P58" s="265">
        <f t="shared" si="1"/>
        <v>0.28300658569438641</v>
      </c>
      <c r="R58" s="235"/>
      <c r="S58" s="169"/>
      <c r="T58" s="109"/>
    </row>
    <row r="59" spans="1:20" s="3" customFormat="1" x14ac:dyDescent="0.2">
      <c r="A59" s="260" t="s">
        <v>150</v>
      </c>
      <c r="B59" s="261">
        <f>VLOOKUP($A59,'IODA iTunes data'!$A$138:$Z$249,2,FALSE)</f>
        <v>16.149999999999999</v>
      </c>
      <c r="C59" s="261">
        <f>VLOOKUP($A59,'IODA iTunes data'!$A$138:$Z$249,8,FALSE)</f>
        <v>53.16</v>
      </c>
      <c r="D59" s="261">
        <f>VLOOKUP($A59,'IODA iTunes data'!$A$138:$Z$249,14,FALSE)</f>
        <v>75.209999999999994</v>
      </c>
      <c r="E59" s="261">
        <f>VLOOKUP($A59,'IODA iTunes data'!$A$138:$Z$249,20,FALSE)</f>
        <v>0</v>
      </c>
      <c r="F59" s="261">
        <f>VLOOKUP($A59,'IODA iTunes data'!$A$138:$Z$249,26,FALSE)</f>
        <v>0</v>
      </c>
      <c r="G59" s="262">
        <f t="shared" si="18"/>
        <v>144.51999999999998</v>
      </c>
      <c r="H59" s="244">
        <f t="shared" si="2"/>
        <v>240.86666666666662</v>
      </c>
      <c r="I59" s="343">
        <f>VLOOKUP($A59,[2]IODA!$D:$N,11,FALSE)</f>
        <v>191.54959453493703</v>
      </c>
      <c r="J59" s="264">
        <f t="shared" si="10"/>
        <v>49.317072131729589</v>
      </c>
      <c r="K59" s="265">
        <f t="shared" si="0"/>
        <v>0.25746372500274112</v>
      </c>
      <c r="L59" s="286">
        <v>479.90000426769274</v>
      </c>
      <c r="M59" s="263">
        <f t="shared" si="4"/>
        <v>720.76667093435935</v>
      </c>
      <c r="N59" s="263">
        <v>588.56378967403407</v>
      </c>
      <c r="O59" s="264">
        <f t="shared" si="8"/>
        <v>132.20288126032528</v>
      </c>
      <c r="P59" s="265">
        <f t="shared" si="1"/>
        <v>0.22461946110130829</v>
      </c>
      <c r="R59" s="235"/>
      <c r="S59" s="169"/>
      <c r="T59" s="109"/>
    </row>
    <row r="60" spans="1:20" s="3" customFormat="1" x14ac:dyDescent="0.2">
      <c r="A60" s="260" t="s">
        <v>155</v>
      </c>
      <c r="B60" s="261">
        <f>VLOOKUP($A60,'IODA iTunes data'!$A$138:$Z$249,2,FALSE)</f>
        <v>41.07</v>
      </c>
      <c r="C60" s="261">
        <f>VLOOKUP($A60,'IODA iTunes data'!$A$138:$Z$249,8,FALSE)</f>
        <v>86.73</v>
      </c>
      <c r="D60" s="261">
        <f>VLOOKUP($A60,'IODA iTunes data'!$A$138:$Z$249,14,FALSE)</f>
        <v>82.64</v>
      </c>
      <c r="E60" s="261">
        <f>VLOOKUP($A60,'IODA iTunes data'!$A$138:$Z$249,20,FALSE)</f>
        <v>0</v>
      </c>
      <c r="F60" s="261">
        <f>VLOOKUP($A60,'IODA iTunes data'!$A$138:$Z$249,26,FALSE)</f>
        <v>0</v>
      </c>
      <c r="G60" s="262">
        <f t="shared" si="18"/>
        <v>210.44</v>
      </c>
      <c r="H60" s="244">
        <f t="shared" si="2"/>
        <v>350.73333333333329</v>
      </c>
      <c r="I60" s="343">
        <f>VLOOKUP($A60,[2]IODA!$D:$N,11,FALSE)</f>
        <v>405.45376691059744</v>
      </c>
      <c r="J60" s="264">
        <f t="shared" si="10"/>
        <v>-54.720433577264146</v>
      </c>
      <c r="K60" s="265">
        <f t="shared" si="0"/>
        <v>-0.1349609697653395</v>
      </c>
      <c r="L60" s="286">
        <v>1040.8800078034405</v>
      </c>
      <c r="M60" s="263">
        <f t="shared" si="4"/>
        <v>1391.6133411367739</v>
      </c>
      <c r="N60" s="263">
        <v>1245.8152478468892</v>
      </c>
      <c r="O60" s="264">
        <f t="shared" si="8"/>
        <v>145.79809328988472</v>
      </c>
      <c r="P60" s="265">
        <f t="shared" si="1"/>
        <v>0.11703026876727016</v>
      </c>
      <c r="R60" s="235"/>
      <c r="S60" s="169"/>
      <c r="T60" s="109"/>
    </row>
    <row r="61" spans="1:20" s="3" customFormat="1" x14ac:dyDescent="0.2">
      <c r="A61" s="260" t="s">
        <v>157</v>
      </c>
      <c r="B61" s="261">
        <f>VLOOKUP($A61,'IODA iTunes data'!$A$138:$Z$249,2,FALSE)</f>
        <v>44.25</v>
      </c>
      <c r="C61" s="261">
        <f>VLOOKUP($A61,'IODA iTunes data'!$A$138:$Z$249,8,FALSE)</f>
        <v>50.83</v>
      </c>
      <c r="D61" s="261">
        <f>VLOOKUP($A61,'IODA iTunes data'!$A$138:$Z$249,14,FALSE)</f>
        <v>45.45</v>
      </c>
      <c r="E61" s="261">
        <f>VLOOKUP($A61,'IODA iTunes data'!$A$138:$Z$249,20,FALSE)</f>
        <v>0</v>
      </c>
      <c r="F61" s="261">
        <f>VLOOKUP($A61,'IODA iTunes data'!$A$138:$Z$249,26,FALSE)</f>
        <v>0</v>
      </c>
      <c r="G61" s="262">
        <f t="shared" si="18"/>
        <v>140.53</v>
      </c>
      <c r="H61" s="244">
        <f t="shared" si="2"/>
        <v>234.21666666666667</v>
      </c>
      <c r="I61" s="343">
        <f>VLOOKUP($A61,[2]IODA!$D:$N,11,FALSE)</f>
        <v>231.50095826428699</v>
      </c>
      <c r="J61" s="264">
        <f t="shared" si="10"/>
        <v>2.7157084023796756</v>
      </c>
      <c r="K61" s="265">
        <f t="shared" si="0"/>
        <v>1.1730873266102676E-2</v>
      </c>
      <c r="L61" s="286">
        <v>526.74000364542007</v>
      </c>
      <c r="M61" s="263">
        <f t="shared" si="4"/>
        <v>760.95667031208677</v>
      </c>
      <c r="N61" s="263">
        <v>711.32012385621476</v>
      </c>
      <c r="O61" s="264">
        <f t="shared" si="8"/>
        <v>49.636546455872008</v>
      </c>
      <c r="P61" s="265">
        <f t="shared" si="1"/>
        <v>6.9780883165208279E-2</v>
      </c>
      <c r="R61" s="235"/>
      <c r="S61" s="169"/>
      <c r="T61" s="109"/>
    </row>
    <row r="62" spans="1:20" s="3" customFormat="1" x14ac:dyDescent="0.2">
      <c r="A62" s="260" t="s">
        <v>174</v>
      </c>
      <c r="B62" s="261">
        <f>VLOOKUP($A62,'IODA iTunes data'!$A$138:$Z$249,2,FALSE)</f>
        <v>24.06</v>
      </c>
      <c r="C62" s="261">
        <f>VLOOKUP($A62,'IODA iTunes data'!$A$138:$Z$249,8,FALSE)</f>
        <v>14.32</v>
      </c>
      <c r="D62" s="261">
        <f>VLOOKUP($A62,'IODA iTunes data'!$A$138:$Z$249,14,FALSE)</f>
        <v>28.67</v>
      </c>
      <c r="E62" s="261">
        <f>VLOOKUP($A62,'IODA iTunes data'!$A$138:$Z$249,20,FALSE)</f>
        <v>0</v>
      </c>
      <c r="F62" s="261">
        <f>VLOOKUP($A62,'IODA iTunes data'!$A$138:$Z$249,26,FALSE)</f>
        <v>0</v>
      </c>
      <c r="G62" s="262">
        <f t="shared" si="18"/>
        <v>67.05</v>
      </c>
      <c r="H62" s="244">
        <f t="shared" si="2"/>
        <v>111.74999999999999</v>
      </c>
      <c r="I62" s="343">
        <f>VLOOKUP($A62,[2]IODA!$D:$N,11,FALSE)</f>
        <v>105.21872305891365</v>
      </c>
      <c r="J62" s="264">
        <f t="shared" si="10"/>
        <v>6.5312769410863325</v>
      </c>
      <c r="K62" s="265">
        <f t="shared" si="0"/>
        <v>6.2073334015176798E-2</v>
      </c>
      <c r="L62" s="286">
        <v>305.05000221729279</v>
      </c>
      <c r="M62" s="263">
        <f t="shared" si="4"/>
        <v>416.80000221729279</v>
      </c>
      <c r="N62" s="263">
        <v>323.29972056882508</v>
      </c>
      <c r="O62" s="264">
        <f t="shared" si="8"/>
        <v>93.500281648467706</v>
      </c>
      <c r="P62" s="265">
        <f t="shared" si="1"/>
        <v>0.28920619381903567</v>
      </c>
      <c r="R62" s="235"/>
      <c r="S62" s="169"/>
      <c r="T62" s="109"/>
    </row>
    <row r="63" spans="1:20" s="3" customFormat="1" x14ac:dyDescent="0.2">
      <c r="A63" s="260" t="s">
        <v>177</v>
      </c>
      <c r="B63" s="261">
        <f>VLOOKUP($A63,'IODA iTunes data'!$A$138:$Z$249,2,FALSE)</f>
        <v>102.61</v>
      </c>
      <c r="C63" s="261">
        <f>VLOOKUP($A63,'IODA iTunes data'!$A$138:$Z$249,8,FALSE)</f>
        <v>162.12</v>
      </c>
      <c r="D63" s="261">
        <f>VLOOKUP($A63,'IODA iTunes data'!$A$138:$Z$249,14,FALSE)</f>
        <v>116.73</v>
      </c>
      <c r="E63" s="261">
        <f>VLOOKUP($A63,'IODA iTunes data'!$A$138:$Z$249,20,FALSE)</f>
        <v>0</v>
      </c>
      <c r="F63" s="261">
        <f>VLOOKUP($A63,'IODA iTunes data'!$A$138:$Z$249,26,FALSE)</f>
        <v>0</v>
      </c>
      <c r="G63" s="262">
        <f t="shared" si="18"/>
        <v>381.46000000000004</v>
      </c>
      <c r="H63" s="244">
        <f t="shared" si="2"/>
        <v>635.76666666666677</v>
      </c>
      <c r="I63" s="343">
        <f>VLOOKUP($A63,[2]IODA!$D:$N,11,FALSE)</f>
        <v>650.41639543825568</v>
      </c>
      <c r="J63" s="264">
        <f t="shared" si="10"/>
        <v>-14.649728771588912</v>
      </c>
      <c r="K63" s="265">
        <f t="shared" si="0"/>
        <v>-2.2523615447482392E-2</v>
      </c>
      <c r="L63" s="286">
        <v>1509.8300107121468</v>
      </c>
      <c r="M63" s="263">
        <f t="shared" si="4"/>
        <v>2145.5966773788136</v>
      </c>
      <c r="N63" s="263">
        <v>1998.498297501973</v>
      </c>
      <c r="O63" s="264">
        <f t="shared" si="8"/>
        <v>147.09837987684068</v>
      </c>
      <c r="P63" s="265">
        <f t="shared" si="1"/>
        <v>7.3604455936092911E-2</v>
      </c>
      <c r="R63" s="235"/>
      <c r="S63" s="169"/>
      <c r="T63" s="109"/>
    </row>
    <row r="64" spans="1:20" s="3" customFormat="1" x14ac:dyDescent="0.2">
      <c r="A64" s="260" t="s">
        <v>179</v>
      </c>
      <c r="B64" s="261">
        <f>VLOOKUP($A64,'IODA iTunes data'!$A$138:$Z$249,2,FALSE)</f>
        <v>43.21</v>
      </c>
      <c r="C64" s="261">
        <f>VLOOKUP($A64,'IODA iTunes data'!$A$138:$Z$249,8,FALSE)</f>
        <v>64</v>
      </c>
      <c r="D64" s="261">
        <f>VLOOKUP($A64,'IODA iTunes data'!$A$138:$Z$249,14,FALSE)</f>
        <v>72.09</v>
      </c>
      <c r="E64" s="261">
        <f>VLOOKUP($A64,'IODA iTunes data'!$A$138:$Z$249,20,FALSE)</f>
        <v>0</v>
      </c>
      <c r="F64" s="261">
        <f>VLOOKUP($A64,'IODA iTunes data'!$A$138:$Z$249,26,FALSE)</f>
        <v>0</v>
      </c>
      <c r="G64" s="262">
        <f t="shared" si="18"/>
        <v>179.3</v>
      </c>
      <c r="H64" s="244">
        <f t="shared" si="2"/>
        <v>298.83333333333337</v>
      </c>
      <c r="I64" s="343">
        <f>VLOOKUP($A64,[2]IODA!$D:$N,11,FALSE)</f>
        <v>200.13733959455337</v>
      </c>
      <c r="J64" s="264">
        <f t="shared" si="10"/>
        <v>98.695993738780004</v>
      </c>
      <c r="K64" s="265">
        <f t="shared" si="0"/>
        <v>0.49314132954261558</v>
      </c>
      <c r="L64" s="286">
        <v>617.22000032663323</v>
      </c>
      <c r="M64" s="263">
        <f t="shared" si="4"/>
        <v>916.0533336599666</v>
      </c>
      <c r="N64" s="263">
        <v>614.95087647165383</v>
      </c>
      <c r="O64" s="264">
        <f t="shared" si="8"/>
        <v>301.10245718831277</v>
      </c>
      <c r="P64" s="265">
        <f t="shared" si="1"/>
        <v>0.48963660140777454</v>
      </c>
      <c r="R64" s="235"/>
      <c r="S64" s="169"/>
      <c r="T64" s="109"/>
    </row>
    <row r="65" spans="1:20" s="3" customFormat="1" x14ac:dyDescent="0.2">
      <c r="A65" s="260" t="s">
        <v>180</v>
      </c>
      <c r="B65" s="261">
        <f>VLOOKUP($A65,'IODA iTunes data'!$A$138:$Z$249,2,FALSE)</f>
        <v>409.88</v>
      </c>
      <c r="C65" s="261">
        <f>VLOOKUP($A65,'IODA iTunes data'!$A$138:$Z$249,8,FALSE)</f>
        <v>383.37</v>
      </c>
      <c r="D65" s="261">
        <f>VLOOKUP($A65,'IODA iTunes data'!$A$138:$Z$249,14,FALSE)</f>
        <v>379.67</v>
      </c>
      <c r="E65" s="261">
        <f>VLOOKUP($A65,'IODA iTunes data'!$A$138:$Z$249,20,FALSE)</f>
        <v>0</v>
      </c>
      <c r="F65" s="261">
        <f>VLOOKUP($A65,'IODA iTunes data'!$A$138:$Z$249,26,FALSE)</f>
        <v>0</v>
      </c>
      <c r="G65" s="262">
        <f t="shared" si="18"/>
        <v>1172.92</v>
      </c>
      <c r="H65" s="244">
        <f t="shared" si="2"/>
        <v>1954.8666666666668</v>
      </c>
      <c r="I65" s="343">
        <f>VLOOKUP($A65,[2]IODA!$D:$N,11,FALSE)</f>
        <v>1716.1431333151145</v>
      </c>
      <c r="J65" s="264">
        <f t="shared" si="10"/>
        <v>238.72353335155231</v>
      </c>
      <c r="K65" s="265">
        <f t="shared" si="0"/>
        <v>0.13910467531365195</v>
      </c>
      <c r="L65" s="286">
        <v>4657.1900436878186</v>
      </c>
      <c r="M65" s="263">
        <f t="shared" si="4"/>
        <v>6612.0567103544854</v>
      </c>
      <c r="N65" s="263">
        <v>5273.097594486364</v>
      </c>
      <c r="O65" s="264">
        <f t="shared" si="8"/>
        <v>1338.9591158681214</v>
      </c>
      <c r="P65" s="265">
        <f t="shared" si="1"/>
        <v>0.25392268811185265</v>
      </c>
      <c r="R65" s="235"/>
      <c r="S65" s="169"/>
      <c r="T65" s="109"/>
    </row>
    <row r="66" spans="1:20" s="3" customFormat="1" x14ac:dyDescent="0.2">
      <c r="A66" s="260" t="s">
        <v>197</v>
      </c>
      <c r="B66" s="261">
        <f>VLOOKUP($A66,'IODA iTunes data'!$A$138:$Z$249,2,FALSE)</f>
        <v>176.13</v>
      </c>
      <c r="C66" s="261">
        <f>VLOOKUP($A66,'IODA iTunes data'!$A$138:$Z$249,8,FALSE)</f>
        <v>58.47</v>
      </c>
      <c r="D66" s="261">
        <f>VLOOKUP($A66,'IODA iTunes data'!$A$138:$Z$249,14,FALSE)</f>
        <v>94.95</v>
      </c>
      <c r="E66" s="261">
        <f>VLOOKUP($A66,'IODA iTunes data'!$A$138:$Z$249,20,FALSE)</f>
        <v>0</v>
      </c>
      <c r="F66" s="261">
        <f>VLOOKUP($A66,'IODA iTunes data'!$A$138:$Z$249,26,FALSE)</f>
        <v>0</v>
      </c>
      <c r="G66" s="262">
        <f t="shared" si="18"/>
        <v>329.55</v>
      </c>
      <c r="H66" s="244">
        <f t="shared" si="2"/>
        <v>549.25</v>
      </c>
      <c r="I66" s="343">
        <f>VLOOKUP($A66,[2]IODA!$D:$N,11,FALSE)</f>
        <v>830.26733372174419</v>
      </c>
      <c r="J66" s="264">
        <f t="shared" si="10"/>
        <v>-281.01733372174419</v>
      </c>
      <c r="K66" s="265">
        <f t="shared" si="0"/>
        <v>-0.33846608472726492</v>
      </c>
      <c r="L66" s="286">
        <v>1713.9200083017342</v>
      </c>
      <c r="M66" s="263">
        <f t="shared" si="4"/>
        <v>2263.170008301734</v>
      </c>
      <c r="N66" s="263">
        <v>2551.1162765144732</v>
      </c>
      <c r="O66" s="264">
        <f t="shared" si="8"/>
        <v>-287.94626821273914</v>
      </c>
      <c r="P66" s="265">
        <f t="shared" si="1"/>
        <v>-0.11287069541422588</v>
      </c>
      <c r="R66" s="235"/>
      <c r="S66" s="169"/>
      <c r="T66" s="109"/>
    </row>
    <row r="67" spans="1:20" x14ac:dyDescent="0.2">
      <c r="A67" s="239" t="s">
        <v>100</v>
      </c>
      <c r="B67" s="248">
        <f>'IODA iTunes data'!B130</f>
        <v>3574.8274130000004</v>
      </c>
      <c r="C67" s="248">
        <f>'IODA iTunes data'!H130</f>
        <v>3793.299884</v>
      </c>
      <c r="D67" s="248">
        <f>'IODA iTunes data'!N130</f>
        <v>3487.0204620000004</v>
      </c>
      <c r="E67" s="248">
        <f>'IODA iTunes data'!T130</f>
        <v>0</v>
      </c>
      <c r="F67" s="248">
        <f>'IODA iTunes data'!Z130</f>
        <v>0</v>
      </c>
      <c r="G67" s="243">
        <f>SUM(B67:F67)</f>
        <v>10855.147759000001</v>
      </c>
      <c r="H67" s="244">
        <f t="shared" si="2"/>
        <v>18091.912931666669</v>
      </c>
      <c r="I67" s="341">
        <f>SUM(I68:I80)</f>
        <v>18349.482986036619</v>
      </c>
      <c r="J67" s="252">
        <f t="shared" si="10"/>
        <v>-257.5700543699495</v>
      </c>
      <c r="K67" s="247">
        <f t="shared" si="0"/>
        <v>-1.403691071655546E-2</v>
      </c>
      <c r="L67" s="285">
        <v>30304.149304270744</v>
      </c>
      <c r="M67" s="251">
        <f t="shared" si="4"/>
        <v>48396.06223593741</v>
      </c>
      <c r="N67" s="251">
        <v>56381.43620737936</v>
      </c>
      <c r="O67" s="252">
        <f t="shared" si="8"/>
        <v>-7985.3739714419498</v>
      </c>
      <c r="P67" s="247">
        <f t="shared" si="1"/>
        <v>-0.14163126214221555</v>
      </c>
      <c r="R67">
        <v>6.0493651287813182E-3</v>
      </c>
      <c r="S67">
        <f>R67*$S$127</f>
        <v>17744.546473158538</v>
      </c>
      <c r="T67" s="109"/>
    </row>
    <row r="68" spans="1:20" s="3" customFormat="1" x14ac:dyDescent="0.2">
      <c r="A68" s="260" t="s">
        <v>139</v>
      </c>
      <c r="B68" s="261">
        <f>VLOOKUP($A68,'IODA iTunes data'!$A$138:$Z$249,2,FALSE)</f>
        <v>12.06</v>
      </c>
      <c r="C68" s="261">
        <f>VLOOKUP($A68,'IODA iTunes data'!$A$138:$Z$249,8,FALSE)</f>
        <v>3.72</v>
      </c>
      <c r="D68" s="261">
        <f>VLOOKUP($A68,'IODA iTunes data'!$A$138:$Z$249,14,FALSE)</f>
        <v>18.600000000000001</v>
      </c>
      <c r="E68" s="261">
        <f>VLOOKUP($A68,'IODA iTunes data'!$A$138:$Z$249,20,FALSE)</f>
        <v>0</v>
      </c>
      <c r="F68" s="261">
        <f>VLOOKUP($A68,'IODA iTunes data'!$A$138:$Z$249,26,FALSE)</f>
        <v>0</v>
      </c>
      <c r="G68" s="262">
        <f t="shared" ref="G68:G80" si="19">SUM(B68:F68)</f>
        <v>34.380000000000003</v>
      </c>
      <c r="H68" s="244">
        <f t="shared" si="2"/>
        <v>57.300000000000004</v>
      </c>
      <c r="I68" s="343">
        <f>VLOOKUP($A68,[2]IODA!$D:$N,11,FALSE)</f>
        <v>52.148958175945793</v>
      </c>
      <c r="J68" s="264">
        <f t="shared" si="10"/>
        <v>5.1510418240542108</v>
      </c>
      <c r="K68" s="265">
        <f t="shared" si="0"/>
        <v>9.8775546132198244E-2</v>
      </c>
      <c r="L68" s="286">
        <v>112.50999873876587</v>
      </c>
      <c r="M68" s="263">
        <f t="shared" si="4"/>
        <v>169.80999873876587</v>
      </c>
      <c r="N68" s="263">
        <v>160.23520449681374</v>
      </c>
      <c r="O68" s="264">
        <f t="shared" si="8"/>
        <v>9.5747942419521337</v>
      </c>
      <c r="P68" s="265">
        <f t="shared" si="1"/>
        <v>5.9754623036927738E-2</v>
      </c>
      <c r="R68" s="235"/>
      <c r="S68" s="169"/>
      <c r="T68" s="109"/>
    </row>
    <row r="69" spans="1:20" s="3" customFormat="1" x14ac:dyDescent="0.2">
      <c r="A69" s="260" t="s">
        <v>141</v>
      </c>
      <c r="B69" s="261">
        <f>VLOOKUP($A69,'IODA iTunes data'!$A$138:$Z$249,2,FALSE)</f>
        <v>1.24</v>
      </c>
      <c r="C69" s="261">
        <f>VLOOKUP($A69,'IODA iTunes data'!$A$138:$Z$249,8,FALSE)</f>
        <v>3.72</v>
      </c>
      <c r="D69" s="261">
        <f>VLOOKUP($A69,'IODA iTunes data'!$A$138:$Z$249,14,FALSE)</f>
        <v>3.72</v>
      </c>
      <c r="E69" s="261">
        <f>VLOOKUP($A69,'IODA iTunes data'!$A$138:$Z$249,20,FALSE)</f>
        <v>0</v>
      </c>
      <c r="F69" s="261">
        <f>VLOOKUP($A69,'IODA iTunes data'!$A$138:$Z$249,26,FALSE)</f>
        <v>0</v>
      </c>
      <c r="G69" s="262">
        <f t="shared" si="19"/>
        <v>8.68</v>
      </c>
      <c r="H69" s="244">
        <f t="shared" ref="H69:H125" si="20">IFERROR((((B69+C69+D69+E69+F69))/COUNTIF(B69:F69, "&gt;0")*5),0)</f>
        <v>14.466666666666665</v>
      </c>
      <c r="I69" s="343">
        <f>VLOOKUP($A69,[2]IODA!$D:$N,11,FALSE)</f>
        <v>18.140918760939996</v>
      </c>
      <c r="J69" s="264">
        <f t="shared" si="10"/>
        <v>-3.6742520942733314</v>
      </c>
      <c r="K69" s="265">
        <f t="shared" si="0"/>
        <v>-0.20253947127443864</v>
      </c>
      <c r="L69" s="286">
        <v>53.729999721050234</v>
      </c>
      <c r="M69" s="263">
        <f t="shared" ref="M69:M125" si="21">L69+H69</f>
        <v>68.196666387716903</v>
      </c>
      <c r="N69" s="263">
        <v>55.740592508329364</v>
      </c>
      <c r="O69" s="264">
        <f t="shared" si="8"/>
        <v>12.456073879387539</v>
      </c>
      <c r="P69" s="265">
        <f t="shared" si="1"/>
        <v>0.2234650425993627</v>
      </c>
      <c r="R69" s="235"/>
      <c r="S69" s="169"/>
      <c r="T69" s="109"/>
    </row>
    <row r="70" spans="1:20" s="3" customFormat="1" x14ac:dyDescent="0.2">
      <c r="A70" s="260" t="s">
        <v>158</v>
      </c>
      <c r="B70" s="261">
        <f>VLOOKUP($A70,'IODA iTunes data'!$A$138:$Z$249,2,FALSE)</f>
        <v>695.123154</v>
      </c>
      <c r="C70" s="261">
        <f>VLOOKUP($A70,'IODA iTunes data'!$A$138:$Z$249,8,FALSE)</f>
        <v>735.25827300000003</v>
      </c>
      <c r="D70" s="261">
        <f>VLOOKUP($A70,'IODA iTunes data'!$A$138:$Z$249,14,FALSE)</f>
        <v>710.81000700000004</v>
      </c>
      <c r="E70" s="261">
        <f>VLOOKUP($A70,'IODA iTunes data'!$A$138:$Z$249,20,FALSE)</f>
        <v>0</v>
      </c>
      <c r="F70" s="261">
        <f>VLOOKUP($A70,'IODA iTunes data'!$A$138:$Z$249,26,FALSE)</f>
        <v>0</v>
      </c>
      <c r="G70" s="262">
        <f t="shared" si="19"/>
        <v>2141.1914340000003</v>
      </c>
      <c r="H70" s="244">
        <f t="shared" si="20"/>
        <v>3568.6523900000002</v>
      </c>
      <c r="I70" s="343">
        <f>VLOOKUP($A70,[2]IODA!$D:$N,11,FALSE)</f>
        <v>3909.6341012711582</v>
      </c>
      <c r="J70" s="264">
        <f t="shared" si="10"/>
        <v>-340.98171127115802</v>
      </c>
      <c r="K70" s="265">
        <f t="shared" si="0"/>
        <v>-8.7215760462160133E-2</v>
      </c>
      <c r="L70" s="286">
        <v>5675.3195918798456</v>
      </c>
      <c r="M70" s="263">
        <f t="shared" si="21"/>
        <v>9243.9719818798458</v>
      </c>
      <c r="N70" s="263">
        <v>12012.915341688684</v>
      </c>
      <c r="O70" s="264">
        <f t="shared" ref="O70:O80" si="22">M70-N70</f>
        <v>-2768.9433598088381</v>
      </c>
      <c r="P70" s="265">
        <f t="shared" si="1"/>
        <v>-0.23049720080850924</v>
      </c>
      <c r="R70" s="235"/>
      <c r="S70" s="169"/>
      <c r="T70" s="109"/>
    </row>
    <row r="71" spans="1:20" s="3" customFormat="1" x14ac:dyDescent="0.2">
      <c r="A71" s="260" t="s">
        <v>203</v>
      </c>
      <c r="B71" s="261">
        <f>VLOOKUP($A71,'IODA iTunes data'!$A$138:$Z$249,2,FALSE)</f>
        <v>0</v>
      </c>
      <c r="C71" s="261">
        <f>VLOOKUP($A71,'IODA iTunes data'!$A$138:$Z$249,8,FALSE)</f>
        <v>0</v>
      </c>
      <c r="D71" s="261">
        <f>VLOOKUP($A71,'IODA iTunes data'!$A$138:$Z$249,14,FALSE)</f>
        <v>0</v>
      </c>
      <c r="E71" s="261">
        <f>VLOOKUP($A71,'IODA iTunes data'!$A$138:$Z$249,20,FALSE)</f>
        <v>0</v>
      </c>
      <c r="F71" s="261">
        <f>VLOOKUP($A71,'IODA iTunes data'!$A$138:$Z$249,26,FALSE)</f>
        <v>0</v>
      </c>
      <c r="G71" s="262">
        <f t="shared" si="19"/>
        <v>0</v>
      </c>
      <c r="H71" s="244">
        <f t="shared" si="20"/>
        <v>0</v>
      </c>
      <c r="I71" s="343">
        <f>VLOOKUP($A71,[2]IODA!$D:$N,11,FALSE)</f>
        <v>2.5920309155449766</v>
      </c>
      <c r="J71" s="264">
        <f t="shared" si="10"/>
        <v>-2.5920309155449766</v>
      </c>
      <c r="K71" s="265">
        <f t="shared" si="0"/>
        <v>-1</v>
      </c>
      <c r="L71" s="286">
        <v>27.9000002145767</v>
      </c>
      <c r="M71" s="263">
        <f t="shared" si="21"/>
        <v>27.9000002145767</v>
      </c>
      <c r="N71" s="263">
        <v>7.9643892868024695</v>
      </c>
      <c r="O71" s="264">
        <f t="shared" si="22"/>
        <v>19.935610927774231</v>
      </c>
      <c r="P71" s="265">
        <f t="shared" si="1"/>
        <v>2.5030934839924117</v>
      </c>
      <c r="R71" s="235"/>
      <c r="S71" s="169"/>
      <c r="T71" s="109"/>
    </row>
    <row r="72" spans="1:20" s="3" customFormat="1" x14ac:dyDescent="0.2">
      <c r="A72" s="260" t="s">
        <v>165</v>
      </c>
      <c r="B72" s="261">
        <f>VLOOKUP($A72,'IODA iTunes data'!$A$138:$Z$249,2,FALSE)</f>
        <v>19.22</v>
      </c>
      <c r="C72" s="261">
        <f>VLOOKUP($A72,'IODA iTunes data'!$A$138:$Z$249,8,FALSE)</f>
        <v>21.7</v>
      </c>
      <c r="D72" s="261">
        <f>VLOOKUP($A72,'IODA iTunes data'!$A$138:$Z$249,14,FALSE)</f>
        <v>45.14</v>
      </c>
      <c r="E72" s="261">
        <f>VLOOKUP($A72,'IODA iTunes data'!$A$138:$Z$249,20,FALSE)</f>
        <v>0</v>
      </c>
      <c r="F72" s="261">
        <f>VLOOKUP($A72,'IODA iTunes data'!$A$138:$Z$249,26,FALSE)</f>
        <v>0</v>
      </c>
      <c r="G72" s="262">
        <f t="shared" si="19"/>
        <v>86.06</v>
      </c>
      <c r="H72" s="244">
        <f t="shared" si="20"/>
        <v>143.43333333333334</v>
      </c>
      <c r="I72" s="343">
        <f>VLOOKUP($A72,[2]IODA!$D:$N,11,FALSE)</f>
        <v>110.17120734568876</v>
      </c>
      <c r="J72" s="264">
        <f t="shared" ref="J72:J80" si="23">H72-I72</f>
        <v>33.262125987644581</v>
      </c>
      <c r="K72" s="265">
        <f t="shared" si="0"/>
        <v>0.30191305685955344</v>
      </c>
      <c r="L72" s="286">
        <v>179.45999765396135</v>
      </c>
      <c r="M72" s="263">
        <f t="shared" si="21"/>
        <v>322.89333098729469</v>
      </c>
      <c r="N72" s="263">
        <v>338.51694369687448</v>
      </c>
      <c r="O72" s="264">
        <f t="shared" si="22"/>
        <v>-15.623612709579788</v>
      </c>
      <c r="P72" s="265">
        <f t="shared" si="1"/>
        <v>-4.61531187743736E-2</v>
      </c>
      <c r="R72" s="235"/>
      <c r="S72" s="169"/>
      <c r="T72" s="109"/>
    </row>
    <row r="73" spans="1:20" s="3" customFormat="1" x14ac:dyDescent="0.2">
      <c r="A73" s="260" t="s">
        <v>166</v>
      </c>
      <c r="B73" s="261">
        <f>VLOOKUP($A73,'IODA iTunes data'!$A$138:$Z$249,2,FALSE)</f>
        <v>452.54</v>
      </c>
      <c r="C73" s="261">
        <f>VLOOKUP($A73,'IODA iTunes data'!$A$138:$Z$249,8,FALSE)</f>
        <v>422.12</v>
      </c>
      <c r="D73" s="261">
        <f>VLOOKUP($A73,'IODA iTunes data'!$A$138:$Z$249,14,FALSE)</f>
        <v>350.73</v>
      </c>
      <c r="E73" s="261">
        <f>VLOOKUP($A73,'IODA iTunes data'!$A$138:$Z$249,20,FALSE)</f>
        <v>0</v>
      </c>
      <c r="F73" s="261">
        <f>VLOOKUP($A73,'IODA iTunes data'!$A$138:$Z$249,26,FALSE)</f>
        <v>0</v>
      </c>
      <c r="G73" s="262">
        <f t="shared" si="19"/>
        <v>1225.3900000000001</v>
      </c>
      <c r="H73" s="244">
        <f t="shared" si="20"/>
        <v>2042.3166666666668</v>
      </c>
      <c r="I73" s="343">
        <f>VLOOKUP($A73,[2]IODA!$D:$N,11,FALSE)</f>
        <v>2245.7144838080758</v>
      </c>
      <c r="J73" s="264">
        <f t="shared" si="23"/>
        <v>-203.39781714140895</v>
      </c>
      <c r="K73" s="265">
        <f t="shared" si="0"/>
        <v>-9.0571539083857927E-2</v>
      </c>
      <c r="L73" s="286">
        <v>4292.2399585247058</v>
      </c>
      <c r="M73" s="263">
        <f t="shared" si="21"/>
        <v>6334.5566251913724</v>
      </c>
      <c r="N73" s="263">
        <v>6900.2820409253036</v>
      </c>
      <c r="O73" s="264">
        <f t="shared" si="22"/>
        <v>-565.72541573393119</v>
      </c>
      <c r="P73" s="265">
        <f t="shared" si="1"/>
        <v>-8.1985839474188998E-2</v>
      </c>
      <c r="R73" s="235"/>
      <c r="S73" s="169"/>
      <c r="T73" s="109"/>
    </row>
    <row r="74" spans="1:20" s="3" customFormat="1" x14ac:dyDescent="0.2">
      <c r="A74" s="260" t="s">
        <v>170</v>
      </c>
      <c r="B74" s="261">
        <f>VLOOKUP($A74,'IODA iTunes data'!$A$138:$Z$249,2,FALSE)</f>
        <v>0</v>
      </c>
      <c r="C74" s="261">
        <f>VLOOKUP($A74,'IODA iTunes data'!$A$138:$Z$249,8,FALSE)</f>
        <v>1.8</v>
      </c>
      <c r="D74" s="261">
        <f>VLOOKUP($A74,'IODA iTunes data'!$A$138:$Z$249,14,FALSE)</f>
        <v>2.48</v>
      </c>
      <c r="E74" s="261">
        <f>VLOOKUP($A74,'IODA iTunes data'!$A$138:$Z$249,20,FALSE)</f>
        <v>0</v>
      </c>
      <c r="F74" s="261">
        <f>VLOOKUP($A74,'IODA iTunes data'!$A$138:$Z$249,26,FALSE)</f>
        <v>0</v>
      </c>
      <c r="G74" s="262">
        <f t="shared" si="19"/>
        <v>4.28</v>
      </c>
      <c r="H74" s="244">
        <f t="shared" si="20"/>
        <v>10.700000000000001</v>
      </c>
      <c r="I74" s="343">
        <f>VLOOKUP($A74,[2]IODA!$D:$N,11,FALSE)</f>
        <v>11.063948788944659</v>
      </c>
      <c r="J74" s="264">
        <f t="shared" si="23"/>
        <v>-0.36394878894465776</v>
      </c>
      <c r="K74" s="265">
        <f t="shared" si="0"/>
        <v>-3.2895017492156453E-2</v>
      </c>
      <c r="L74" s="286">
        <v>20.846666455268839</v>
      </c>
      <c r="M74" s="263">
        <f t="shared" si="21"/>
        <v>31.546666455268841</v>
      </c>
      <c r="N74" s="263">
        <v>33.995580328900203</v>
      </c>
      <c r="O74" s="264">
        <f t="shared" si="22"/>
        <v>-2.448913873631362</v>
      </c>
      <c r="P74" s="265">
        <f t="shared" si="1"/>
        <v>-7.2036242650916002E-2</v>
      </c>
      <c r="R74" s="235"/>
      <c r="S74" s="169"/>
      <c r="T74" s="109"/>
    </row>
    <row r="75" spans="1:20" s="3" customFormat="1" x14ac:dyDescent="0.2">
      <c r="A75" s="260" t="s">
        <v>181</v>
      </c>
      <c r="B75" s="261">
        <f>VLOOKUP($A75,'IODA iTunes data'!$A$138:$Z$249,2,FALSE)</f>
        <v>281.35000000000002</v>
      </c>
      <c r="C75" s="261">
        <f>VLOOKUP($A75,'IODA iTunes data'!$A$138:$Z$249,8,FALSE)</f>
        <v>305.85000000000002</v>
      </c>
      <c r="D75" s="261">
        <f>VLOOKUP($A75,'IODA iTunes data'!$A$138:$Z$249,14,FALSE)</f>
        <v>241.79</v>
      </c>
      <c r="E75" s="261">
        <f>VLOOKUP($A75,'IODA iTunes data'!$A$138:$Z$249,20,FALSE)</f>
        <v>0</v>
      </c>
      <c r="F75" s="261">
        <f>VLOOKUP($A75,'IODA iTunes data'!$A$138:$Z$249,26,FALSE)</f>
        <v>0</v>
      </c>
      <c r="G75" s="262">
        <f t="shared" si="19"/>
        <v>828.99</v>
      </c>
      <c r="H75" s="244">
        <f t="shared" si="20"/>
        <v>1381.6499999999999</v>
      </c>
      <c r="I75" s="343">
        <f>VLOOKUP($A75,[2]IODA!$D:$N,11,FALSE)</f>
        <v>1936.4911305084433</v>
      </c>
      <c r="J75" s="264">
        <f t="shared" si="23"/>
        <v>-554.84113050844348</v>
      </c>
      <c r="K75" s="265">
        <f t="shared" si="0"/>
        <v>-0.28651880804781427</v>
      </c>
      <c r="L75" s="286">
        <v>2608.5299814343452</v>
      </c>
      <c r="M75" s="263">
        <f t="shared" si="21"/>
        <v>3990.1799814343449</v>
      </c>
      <c r="N75" s="263">
        <v>5950.1486349234983</v>
      </c>
      <c r="O75" s="264">
        <f t="shared" si="22"/>
        <v>-1959.9686534891534</v>
      </c>
      <c r="P75" s="265">
        <f t="shared" si="1"/>
        <v>-0.32939826779879305</v>
      </c>
      <c r="R75" s="235"/>
      <c r="S75" s="169"/>
      <c r="T75" s="109"/>
    </row>
    <row r="76" spans="1:20" s="3" customFormat="1" x14ac:dyDescent="0.2">
      <c r="A76" s="260" t="s">
        <v>184</v>
      </c>
      <c r="B76" s="261">
        <f>VLOOKUP($A76,'IODA iTunes data'!$A$138:$Z$249,2,FALSE)</f>
        <v>881.61061099999995</v>
      </c>
      <c r="C76" s="261">
        <f>VLOOKUP($A76,'IODA iTunes data'!$A$138:$Z$249,8,FALSE)</f>
        <v>947.03412300000002</v>
      </c>
      <c r="D76" s="261">
        <f>VLOOKUP($A76,'IODA iTunes data'!$A$138:$Z$249,14,FALSE)</f>
        <v>801.90368699999999</v>
      </c>
      <c r="E76" s="261">
        <f>VLOOKUP($A76,'IODA iTunes data'!$A$138:$Z$249,20,FALSE)</f>
        <v>0</v>
      </c>
      <c r="F76" s="261">
        <f>VLOOKUP($A76,'IODA iTunes data'!$A$138:$Z$249,26,FALSE)</f>
        <v>0</v>
      </c>
      <c r="G76" s="262">
        <f t="shared" si="19"/>
        <v>2630.548421</v>
      </c>
      <c r="H76" s="244">
        <f t="shared" si="20"/>
        <v>4384.2473683333337</v>
      </c>
      <c r="I76" s="343">
        <f>VLOOKUP($A76,[2]IODA!$D:$N,11,FALSE)</f>
        <v>4468.2392618649665</v>
      </c>
      <c r="J76" s="264">
        <f t="shared" si="23"/>
        <v>-83.991893531632741</v>
      </c>
      <c r="K76" s="265">
        <f t="shared" si="0"/>
        <v>-1.8797537152604484E-2</v>
      </c>
      <c r="L76" s="286">
        <v>7051.9027798771858</v>
      </c>
      <c r="M76" s="263">
        <f t="shared" si="21"/>
        <v>11436.15014821052</v>
      </c>
      <c r="N76" s="263">
        <v>13729.310362251352</v>
      </c>
      <c r="O76" s="264">
        <f t="shared" si="22"/>
        <v>-2293.1602140408322</v>
      </c>
      <c r="P76" s="265">
        <f t="shared" si="1"/>
        <v>-0.16702661339391534</v>
      </c>
      <c r="R76" s="235"/>
      <c r="S76" s="169"/>
      <c r="T76" s="109"/>
    </row>
    <row r="77" spans="1:20" s="3" customFormat="1" x14ac:dyDescent="0.2">
      <c r="A77" s="260" t="s">
        <v>186</v>
      </c>
      <c r="B77" s="261">
        <f>VLOOKUP($A77,'IODA iTunes data'!$A$138:$Z$249,2,FALSE)</f>
        <v>26.66</v>
      </c>
      <c r="C77" s="261">
        <f>VLOOKUP($A77,'IODA iTunes data'!$A$138:$Z$249,8,FALSE)</f>
        <v>25.18</v>
      </c>
      <c r="D77" s="261">
        <f>VLOOKUP($A77,'IODA iTunes data'!$A$138:$Z$249,14,FALSE)</f>
        <v>22.32</v>
      </c>
      <c r="E77" s="261">
        <f>VLOOKUP($A77,'IODA iTunes data'!$A$138:$Z$249,20,FALSE)</f>
        <v>0</v>
      </c>
      <c r="F77" s="261">
        <f>VLOOKUP($A77,'IODA iTunes data'!$A$138:$Z$249,26,FALSE)</f>
        <v>0</v>
      </c>
      <c r="G77" s="262">
        <f t="shared" si="19"/>
        <v>74.16</v>
      </c>
      <c r="H77" s="244">
        <f t="shared" si="20"/>
        <v>123.6</v>
      </c>
      <c r="I77" s="343">
        <f>VLOOKUP($A77,[2]IODA!$D:$N,11,FALSE)</f>
        <v>141.35142669036489</v>
      </c>
      <c r="J77" s="264">
        <f t="shared" si="23"/>
        <v>-17.751426690364895</v>
      </c>
      <c r="K77" s="265">
        <f t="shared" si="0"/>
        <v>-0.1255836400523215</v>
      </c>
      <c r="L77" s="286">
        <v>207.30999773740774</v>
      </c>
      <c r="M77" s="263">
        <f t="shared" si="21"/>
        <v>330.90999773740771</v>
      </c>
      <c r="N77" s="263">
        <v>434.32267017165992</v>
      </c>
      <c r="O77" s="264">
        <f t="shared" si="22"/>
        <v>-103.41267243425222</v>
      </c>
      <c r="P77" s="265">
        <f t="shared" si="1"/>
        <v>-0.23810102381572626</v>
      </c>
      <c r="R77" s="235"/>
      <c r="S77" s="169"/>
      <c r="T77" s="109"/>
    </row>
    <row r="78" spans="1:20" s="3" customFormat="1" x14ac:dyDescent="0.2">
      <c r="A78" s="260" t="s">
        <v>188</v>
      </c>
      <c r="B78" s="261">
        <f>VLOOKUP($A78,'IODA iTunes data'!$A$138:$Z$249,2,FALSE)</f>
        <v>831.23364800000002</v>
      </c>
      <c r="C78" s="261">
        <f>VLOOKUP($A78,'IODA iTunes data'!$A$138:$Z$249,8,FALSE)</f>
        <v>848.89748799999995</v>
      </c>
      <c r="D78" s="261">
        <f>VLOOKUP($A78,'IODA iTunes data'!$A$138:$Z$249,14,FALSE)</f>
        <v>707.58676800000001</v>
      </c>
      <c r="E78" s="261">
        <f>VLOOKUP($A78,'IODA iTunes data'!$A$138:$Z$249,20,FALSE)</f>
        <v>0</v>
      </c>
      <c r="F78" s="261">
        <f>VLOOKUP($A78,'IODA iTunes data'!$A$138:$Z$249,26,FALSE)</f>
        <v>0</v>
      </c>
      <c r="G78" s="262">
        <f t="shared" si="19"/>
        <v>2387.7179040000001</v>
      </c>
      <c r="H78" s="244">
        <f t="shared" si="20"/>
        <v>3979.5298400000001</v>
      </c>
      <c r="I78" s="343">
        <f>VLOOKUP($A78,[2]IODA!$D:$N,11,FALSE)</f>
        <v>3043.2939993859204</v>
      </c>
      <c r="J78" s="264">
        <f t="shared" si="23"/>
        <v>936.23584061407973</v>
      </c>
      <c r="K78" s="265">
        <f t="shared" si="0"/>
        <v>0.30763897303480853</v>
      </c>
      <c r="L78" s="286">
        <v>5901.0170396566382</v>
      </c>
      <c r="M78" s="263">
        <f t="shared" si="21"/>
        <v>9880.5468796566383</v>
      </c>
      <c r="N78" s="263">
        <v>9350.9602759515728</v>
      </c>
      <c r="O78" s="264">
        <f t="shared" si="22"/>
        <v>529.5866037050655</v>
      </c>
      <c r="P78" s="265">
        <f t="shared" si="1"/>
        <v>5.6634461924411683E-2</v>
      </c>
      <c r="R78" s="235"/>
      <c r="S78" s="169"/>
      <c r="T78" s="109"/>
    </row>
    <row r="79" spans="1:20" s="3" customFormat="1" x14ac:dyDescent="0.2">
      <c r="A79" s="260" t="s">
        <v>190</v>
      </c>
      <c r="B79" s="261">
        <f>VLOOKUP($A79,'IODA iTunes data'!$A$138:$Z$249,2,FALSE)</f>
        <v>362.01</v>
      </c>
      <c r="C79" s="261">
        <f>VLOOKUP($A79,'IODA iTunes data'!$A$138:$Z$249,8,FALSE)</f>
        <v>451.48</v>
      </c>
      <c r="D79" s="261">
        <f>VLOOKUP($A79,'IODA iTunes data'!$A$138:$Z$249,14,FALSE)</f>
        <v>524.91</v>
      </c>
      <c r="E79" s="261">
        <f>VLOOKUP($A79,'IODA iTunes data'!$A$138:$Z$249,20,FALSE)</f>
        <v>0</v>
      </c>
      <c r="F79" s="261">
        <f>VLOOKUP($A79,'IODA iTunes data'!$A$138:$Z$249,26,FALSE)</f>
        <v>0</v>
      </c>
      <c r="G79" s="262">
        <f t="shared" si="19"/>
        <v>1338.4</v>
      </c>
      <c r="H79" s="244">
        <f t="shared" si="20"/>
        <v>2230.666666666667</v>
      </c>
      <c r="I79" s="343">
        <f>VLOOKUP($A79,[2]IODA!$D:$N,11,FALSE)</f>
        <v>2285.1720528236006</v>
      </c>
      <c r="J79" s="264">
        <f t="shared" si="23"/>
        <v>-54.505386156933582</v>
      </c>
      <c r="K79" s="265">
        <f t="shared" si="0"/>
        <v>-2.385176472361708E-2</v>
      </c>
      <c r="L79" s="286">
        <v>4056.6899608969698</v>
      </c>
      <c r="M79" s="263">
        <f t="shared" si="21"/>
        <v>6287.3566275636367</v>
      </c>
      <c r="N79" s="263">
        <v>7021.521119543484</v>
      </c>
      <c r="O79" s="264">
        <f t="shared" si="22"/>
        <v>-734.1644919798473</v>
      </c>
      <c r="P79" s="265">
        <f t="shared" si="1"/>
        <v>-0.10455918019478666</v>
      </c>
      <c r="R79" s="235"/>
      <c r="S79" s="169"/>
      <c r="T79" s="109"/>
    </row>
    <row r="80" spans="1:20" s="3" customFormat="1" x14ac:dyDescent="0.2">
      <c r="A80" s="260" t="s">
        <v>198</v>
      </c>
      <c r="B80" s="261">
        <f>VLOOKUP($A80,'IODA iTunes data'!$A$138:$Z$249,2,FALSE)</f>
        <v>11.78</v>
      </c>
      <c r="C80" s="261">
        <f>VLOOKUP($A80,'IODA iTunes data'!$A$138:$Z$249,8,FALSE)</f>
        <v>26.54</v>
      </c>
      <c r="D80" s="261">
        <f>VLOOKUP($A80,'IODA iTunes data'!$A$138:$Z$249,14,FALSE)</f>
        <v>57.03</v>
      </c>
      <c r="E80" s="261">
        <f>VLOOKUP($A80,'IODA iTunes data'!$A$138:$Z$249,20,FALSE)</f>
        <v>0</v>
      </c>
      <c r="F80" s="261">
        <f>VLOOKUP($A80,'IODA iTunes data'!$A$138:$Z$249,26,FALSE)</f>
        <v>0</v>
      </c>
      <c r="G80" s="262">
        <f t="shared" si="19"/>
        <v>95.35</v>
      </c>
      <c r="H80" s="244">
        <f t="shared" si="20"/>
        <v>158.91666666666666</v>
      </c>
      <c r="I80" s="343">
        <f>VLOOKUP($A80,[2]IODA!$D:$N,11,FALSE)</f>
        <v>125.46946569702452</v>
      </c>
      <c r="J80" s="264">
        <f t="shared" si="23"/>
        <v>33.44720096964214</v>
      </c>
      <c r="K80" s="265">
        <f t="shared" si="0"/>
        <v>0.26657641987898678</v>
      </c>
      <c r="L80" s="286">
        <v>158.26999825239187</v>
      </c>
      <c r="M80" s="263">
        <f t="shared" si="21"/>
        <v>317.18666491905856</v>
      </c>
      <c r="N80" s="263">
        <v>385.52305160608427</v>
      </c>
      <c r="O80" s="264">
        <f t="shared" si="22"/>
        <v>-68.336386687025708</v>
      </c>
      <c r="P80" s="265">
        <f t="shared" si="1"/>
        <v>-0.17725629220441466</v>
      </c>
      <c r="R80" s="235"/>
      <c r="S80" s="169"/>
      <c r="T80" s="109"/>
    </row>
    <row r="81" spans="1:20" x14ac:dyDescent="0.2">
      <c r="A81" s="239" t="s">
        <v>26</v>
      </c>
      <c r="B81" s="248">
        <f>'IODA iTunes data'!B131</f>
        <v>4277.7169689999992</v>
      </c>
      <c r="C81" s="248">
        <f>'IODA iTunes data'!H131</f>
        <v>4474.5399879999995</v>
      </c>
      <c r="D81" s="248">
        <f>'IODA iTunes data'!N131</f>
        <v>4064.4797170000002</v>
      </c>
      <c r="E81" s="248">
        <f>'IODA iTunes data'!T131</f>
        <v>0</v>
      </c>
      <c r="F81" s="248">
        <f>'IODA iTunes data'!Z131</f>
        <v>0</v>
      </c>
      <c r="G81" s="243">
        <f>SUM(B81:F81)</f>
        <v>12816.736673999998</v>
      </c>
      <c r="H81" s="244">
        <f t="shared" si="20"/>
        <v>21361.227789999997</v>
      </c>
      <c r="I81" s="341">
        <f>SUM(I82:I125)</f>
        <v>14653.984866542794</v>
      </c>
      <c r="J81" s="252">
        <f>H81-I81</f>
        <v>6707.2429234572028</v>
      </c>
      <c r="K81" s="247">
        <f t="shared" si="0"/>
        <v>0.45770778286872849</v>
      </c>
      <c r="L81" s="285">
        <v>38195.493921332032</v>
      </c>
      <c r="M81" s="251">
        <f t="shared" si="21"/>
        <v>59556.721711332029</v>
      </c>
      <c r="N81" s="251">
        <v>45026.484591724249</v>
      </c>
      <c r="O81" s="252">
        <f>M81-N81</f>
        <v>14530.23711960778</v>
      </c>
      <c r="P81" s="247">
        <f t="shared" si="1"/>
        <v>0.32270423177292418</v>
      </c>
      <c r="R81">
        <v>9.3795401920677684E-3</v>
      </c>
      <c r="S81">
        <f>R81*$S$127</f>
        <v>27512.918015668591</v>
      </c>
      <c r="T81" s="109"/>
    </row>
    <row r="82" spans="1:20" s="3" customFormat="1" x14ac:dyDescent="0.2">
      <c r="A82" s="260" t="s">
        <v>126</v>
      </c>
      <c r="B82" s="261">
        <f>VLOOKUP($A82,'IODA iTunes data'!$A$138:$Z$249,2,FALSE)</f>
        <v>0</v>
      </c>
      <c r="C82" s="261">
        <f>VLOOKUP($A82,'IODA iTunes data'!$A$138:$Z$249,8,FALSE)</f>
        <v>0.61</v>
      </c>
      <c r="D82" s="261">
        <f>VLOOKUP($A82,'IODA iTunes data'!$A$138:$Z$249,14,FALSE)</f>
        <v>0</v>
      </c>
      <c r="E82" s="261">
        <f>VLOOKUP($A82,'IODA iTunes data'!$A$138:$Z$249,20,FALSE)</f>
        <v>0</v>
      </c>
      <c r="F82" s="261">
        <f>VLOOKUP($A82,'IODA iTunes data'!$A$138:$Z$249,26,FALSE)</f>
        <v>0</v>
      </c>
      <c r="G82" s="262">
        <f t="shared" ref="G82:G124" si="24">SUM(B82:F82)</f>
        <v>0.61</v>
      </c>
      <c r="H82" s="244">
        <f t="shared" si="20"/>
        <v>3.05</v>
      </c>
      <c r="I82" s="343">
        <f>VLOOKUP($A82,[2]IODA!$D:$N,11,FALSE)</f>
        <v>3.6091564399077525</v>
      </c>
      <c r="J82" s="264">
        <f t="shared" ref="J82:J125" si="25">H82-I82</f>
        <v>-0.55915643990775266</v>
      </c>
      <c r="K82" s="265">
        <f t="shared" ref="K82:K125" si="26">J82/I82</f>
        <v>-0.15492718290760604</v>
      </c>
      <c r="L82" s="286">
        <v>5.9600000381469602</v>
      </c>
      <c r="M82" s="263">
        <f t="shared" si="21"/>
        <v>9.0100000381469592</v>
      </c>
      <c r="N82" s="263">
        <v>11.089654337070979</v>
      </c>
      <c r="O82" s="264">
        <f t="shared" ref="O82:O124" si="27">M82-N82</f>
        <v>-2.0796542989240194</v>
      </c>
      <c r="P82" s="265">
        <f t="shared" ref="P82:P125" si="28">O82/N82</f>
        <v>-0.18753102988720402</v>
      </c>
      <c r="R82" s="235"/>
      <c r="S82" s="169"/>
      <c r="T82" s="109"/>
    </row>
    <row r="83" spans="1:20" s="3" customFormat="1" x14ac:dyDescent="0.2">
      <c r="A83" s="260" t="s">
        <v>127</v>
      </c>
      <c r="B83" s="261">
        <f>VLOOKUP($A83,'IODA iTunes data'!$A$138:$Z$249,2,FALSE)</f>
        <v>0</v>
      </c>
      <c r="C83" s="261">
        <f>VLOOKUP($A83,'IODA iTunes data'!$A$138:$Z$249,8,FALSE)</f>
        <v>6.71</v>
      </c>
      <c r="D83" s="261">
        <f>VLOOKUP($A83,'IODA iTunes data'!$A$138:$Z$249,14,FALSE)</f>
        <v>0.61</v>
      </c>
      <c r="E83" s="261">
        <f>VLOOKUP($A83,'IODA iTunes data'!$A$138:$Z$249,20,FALSE)</f>
        <v>0</v>
      </c>
      <c r="F83" s="261">
        <f>VLOOKUP($A83,'IODA iTunes data'!$A$138:$Z$249,26,FALSE)</f>
        <v>0</v>
      </c>
      <c r="G83" s="262">
        <f t="shared" si="24"/>
        <v>7.32</v>
      </c>
      <c r="H83" s="244">
        <f t="shared" si="20"/>
        <v>18.3</v>
      </c>
      <c r="I83" s="343">
        <f>VLOOKUP($A83,[2]IODA!$D:$N,11,FALSE)</f>
        <v>16.764599723323904</v>
      </c>
      <c r="J83" s="264">
        <f t="shared" si="25"/>
        <v>1.5354002766760964</v>
      </c>
      <c r="K83" s="265">
        <f t="shared" si="26"/>
        <v>9.1585859609875239E-2</v>
      </c>
      <c r="L83" s="286">
        <v>23.605000456174224</v>
      </c>
      <c r="M83" s="263">
        <f t="shared" si="21"/>
        <v>41.905000456174221</v>
      </c>
      <c r="N83" s="263">
        <v>51.511653519726536</v>
      </c>
      <c r="O83" s="264">
        <f t="shared" si="27"/>
        <v>-9.6066530635523151</v>
      </c>
      <c r="P83" s="265">
        <f t="shared" si="28"/>
        <v>-0.18649475229665108</v>
      </c>
      <c r="R83" s="235"/>
      <c r="S83" s="169"/>
      <c r="T83" s="109"/>
    </row>
    <row r="84" spans="1:20" s="3" customFormat="1" x14ac:dyDescent="0.2">
      <c r="A84" s="260" t="s">
        <v>129</v>
      </c>
      <c r="B84" s="261">
        <f>VLOOKUP($A84,'IODA iTunes data'!$A$138:$Z$249,2,FALSE)</f>
        <v>11.04</v>
      </c>
      <c r="C84" s="261">
        <f>VLOOKUP($A84,'IODA iTunes data'!$A$138:$Z$249,8,FALSE)</f>
        <v>28.8</v>
      </c>
      <c r="D84" s="261">
        <f>VLOOKUP($A84,'IODA iTunes data'!$A$138:$Z$249,14,FALSE)</f>
        <v>1.74</v>
      </c>
      <c r="E84" s="261">
        <f>VLOOKUP($A84,'IODA iTunes data'!$A$138:$Z$249,20,FALSE)</f>
        <v>0</v>
      </c>
      <c r="F84" s="261">
        <f>VLOOKUP($A84,'IODA iTunes data'!$A$138:$Z$249,26,FALSE)</f>
        <v>0</v>
      </c>
      <c r="G84" s="262">
        <f t="shared" si="24"/>
        <v>41.580000000000005</v>
      </c>
      <c r="H84" s="244">
        <f t="shared" si="20"/>
        <v>69.300000000000011</v>
      </c>
      <c r="I84" s="343">
        <f>VLOOKUP($A84,[2]IODA!$D:$N,11,FALSE)</f>
        <v>25.539446976035141</v>
      </c>
      <c r="J84" s="264">
        <f t="shared" si="25"/>
        <v>43.760553023964874</v>
      </c>
      <c r="K84" s="265">
        <f t="shared" si="26"/>
        <v>1.7134495145892332</v>
      </c>
      <c r="L84" s="286">
        <v>91.830000609159413</v>
      </c>
      <c r="M84" s="263">
        <f t="shared" si="21"/>
        <v>161.13000060915942</v>
      </c>
      <c r="N84" s="263">
        <v>78.473638823874708</v>
      </c>
      <c r="O84" s="264">
        <f t="shared" si="27"/>
        <v>82.656361785284716</v>
      </c>
      <c r="P84" s="265">
        <f t="shared" si="28"/>
        <v>1.0533009941185174</v>
      </c>
      <c r="R84" s="235"/>
      <c r="S84" s="169"/>
      <c r="T84" s="109"/>
    </row>
    <row r="85" spans="1:20" s="3" customFormat="1" x14ac:dyDescent="0.2">
      <c r="A85" s="260" t="s">
        <v>130</v>
      </c>
      <c r="B85" s="261">
        <f>VLOOKUP($A85,'IODA iTunes data'!$A$138:$Z$249,2,FALSE)</f>
        <v>43.14</v>
      </c>
      <c r="C85" s="261">
        <f>VLOOKUP($A85,'IODA iTunes data'!$A$138:$Z$249,8,FALSE)</f>
        <v>55.23</v>
      </c>
      <c r="D85" s="261">
        <f>VLOOKUP($A85,'IODA iTunes data'!$A$138:$Z$249,14,FALSE)</f>
        <v>22.68</v>
      </c>
      <c r="E85" s="261">
        <f>VLOOKUP($A85,'IODA iTunes data'!$A$138:$Z$249,20,FALSE)</f>
        <v>0</v>
      </c>
      <c r="F85" s="261">
        <f>VLOOKUP($A85,'IODA iTunes data'!$A$138:$Z$249,26,FALSE)</f>
        <v>0</v>
      </c>
      <c r="G85" s="262">
        <f t="shared" si="24"/>
        <v>121.05000000000001</v>
      </c>
      <c r="H85" s="244">
        <f t="shared" si="20"/>
        <v>201.75</v>
      </c>
      <c r="I85" s="343">
        <f>VLOOKUP($A85,[2]IODA!$D:$N,11,FALSE)</f>
        <v>89.145709134566545</v>
      </c>
      <c r="J85" s="264">
        <f t="shared" si="25"/>
        <v>112.60429086543346</v>
      </c>
      <c r="K85" s="265">
        <f t="shared" si="26"/>
        <v>1.2631487478040686</v>
      </c>
      <c r="L85" s="286">
        <v>280.08000400662428</v>
      </c>
      <c r="M85" s="263">
        <f t="shared" si="21"/>
        <v>481.83000400662428</v>
      </c>
      <c r="N85" s="263">
        <v>273.91306428398593</v>
      </c>
      <c r="O85" s="264">
        <f t="shared" si="27"/>
        <v>207.91693972263835</v>
      </c>
      <c r="P85" s="265">
        <f t="shared" si="28"/>
        <v>0.75906178577548777</v>
      </c>
      <c r="R85" s="235"/>
      <c r="S85" s="169"/>
      <c r="T85" s="109"/>
    </row>
    <row r="86" spans="1:20" s="3" customFormat="1" x14ac:dyDescent="0.2">
      <c r="A86" s="260" t="s">
        <v>131</v>
      </c>
      <c r="B86" s="261">
        <f>VLOOKUP($A86,'IODA iTunes data'!$A$138:$Z$249,2,FALSE)</f>
        <v>6.37</v>
      </c>
      <c r="C86" s="261">
        <f>VLOOKUP($A86,'IODA iTunes data'!$A$138:$Z$249,8,FALSE)</f>
        <v>1.22</v>
      </c>
      <c r="D86" s="261">
        <f>VLOOKUP($A86,'IODA iTunes data'!$A$138:$Z$249,14,FALSE)</f>
        <v>11.43</v>
      </c>
      <c r="E86" s="261">
        <f>VLOOKUP($A86,'IODA iTunes data'!$A$138:$Z$249,20,FALSE)</f>
        <v>0</v>
      </c>
      <c r="F86" s="261">
        <f>VLOOKUP($A86,'IODA iTunes data'!$A$138:$Z$249,26,FALSE)</f>
        <v>0</v>
      </c>
      <c r="G86" s="262">
        <f t="shared" si="24"/>
        <v>19.02</v>
      </c>
      <c r="H86" s="244">
        <f t="shared" si="20"/>
        <v>31.7</v>
      </c>
      <c r="I86" s="343">
        <f>VLOOKUP($A86,[2]IODA!$D:$N,11,FALSE)</f>
        <v>47.68250871837391</v>
      </c>
      <c r="J86" s="264">
        <f t="shared" si="25"/>
        <v>-15.982508718373911</v>
      </c>
      <c r="K86" s="265">
        <f t="shared" si="26"/>
        <v>-0.33518598639117397</v>
      </c>
      <c r="L86" s="286">
        <v>113.29000061750415</v>
      </c>
      <c r="M86" s="263">
        <f t="shared" si="21"/>
        <v>144.99000061750414</v>
      </c>
      <c r="N86" s="263">
        <v>146.51139356670706</v>
      </c>
      <c r="O86" s="264">
        <f t="shared" si="27"/>
        <v>-1.5213929492029195</v>
      </c>
      <c r="P86" s="265">
        <f t="shared" si="28"/>
        <v>-1.0384127214722212E-2</v>
      </c>
      <c r="R86" s="235"/>
      <c r="S86" s="169"/>
      <c r="T86" s="109"/>
    </row>
    <row r="87" spans="1:20" s="3" customFormat="1" x14ac:dyDescent="0.2">
      <c r="A87" s="260" t="s">
        <v>132</v>
      </c>
      <c r="B87" s="261">
        <f>VLOOKUP($A87,'IODA iTunes data'!$A$138:$Z$249,2,FALSE)</f>
        <v>14.21</v>
      </c>
      <c r="C87" s="261">
        <f>VLOOKUP($A87,'IODA iTunes data'!$A$138:$Z$249,8,FALSE)</f>
        <v>8.5399999999999991</v>
      </c>
      <c r="D87" s="261">
        <f>VLOOKUP($A87,'IODA iTunes data'!$A$138:$Z$249,14,FALSE)</f>
        <v>0.61</v>
      </c>
      <c r="E87" s="261">
        <f>VLOOKUP($A87,'IODA iTunes data'!$A$138:$Z$249,20,FALSE)</f>
        <v>0</v>
      </c>
      <c r="F87" s="261">
        <f>VLOOKUP($A87,'IODA iTunes data'!$A$138:$Z$249,26,FALSE)</f>
        <v>0</v>
      </c>
      <c r="G87" s="262">
        <f t="shared" si="24"/>
        <v>23.36</v>
      </c>
      <c r="H87" s="244">
        <f t="shared" si="20"/>
        <v>38.93333333333333</v>
      </c>
      <c r="I87" s="343">
        <f>VLOOKUP($A87,[2]IODA!$D:$N,11,FALSE)</f>
        <v>26.491799754025422</v>
      </c>
      <c r="J87" s="264">
        <f t="shared" si="25"/>
        <v>12.441533579307908</v>
      </c>
      <c r="K87" s="265">
        <f t="shared" si="26"/>
        <v>0.46963715922763688</v>
      </c>
      <c r="L87" s="286">
        <v>77.940001487731934</v>
      </c>
      <c r="M87" s="263">
        <f t="shared" si="21"/>
        <v>116.87333482106527</v>
      </c>
      <c r="N87" s="263">
        <v>81.399880257491105</v>
      </c>
      <c r="O87" s="264">
        <f t="shared" si="27"/>
        <v>35.473454563574165</v>
      </c>
      <c r="P87" s="265">
        <f t="shared" si="28"/>
        <v>0.43579246617269563</v>
      </c>
      <c r="R87" s="235"/>
      <c r="S87" s="169"/>
      <c r="T87" s="109"/>
    </row>
    <row r="88" spans="1:20" s="3" customFormat="1" x14ac:dyDescent="0.2">
      <c r="A88" s="260" t="s">
        <v>133</v>
      </c>
      <c r="B88" s="261">
        <f>VLOOKUP($A88,'IODA iTunes data'!$A$138:$Z$249,2,FALSE)</f>
        <v>24.27</v>
      </c>
      <c r="C88" s="261">
        <f>VLOOKUP($A88,'IODA iTunes data'!$A$138:$Z$249,8,FALSE)</f>
        <v>39.18</v>
      </c>
      <c r="D88" s="261">
        <f>VLOOKUP($A88,'IODA iTunes data'!$A$138:$Z$249,14,FALSE)</f>
        <v>4.59</v>
      </c>
      <c r="E88" s="261">
        <f>VLOOKUP($A88,'IODA iTunes data'!$A$138:$Z$249,20,FALSE)</f>
        <v>0</v>
      </c>
      <c r="F88" s="261">
        <f>VLOOKUP($A88,'IODA iTunes data'!$A$138:$Z$249,26,FALSE)</f>
        <v>0</v>
      </c>
      <c r="G88" s="262">
        <f t="shared" si="24"/>
        <v>68.040000000000006</v>
      </c>
      <c r="H88" s="244">
        <f t="shared" si="20"/>
        <v>113.40000000000002</v>
      </c>
      <c r="I88" s="343">
        <f>VLOOKUP($A88,[2]IODA!$D:$N,11,FALSE)</f>
        <v>31.84409245516213</v>
      </c>
      <c r="J88" s="264">
        <f t="shared" si="25"/>
        <v>81.555907544837893</v>
      </c>
      <c r="K88" s="265">
        <f t="shared" si="26"/>
        <v>2.561100074045827</v>
      </c>
      <c r="L88" s="286">
        <v>193.47000372409818</v>
      </c>
      <c r="M88" s="263">
        <f t="shared" si="21"/>
        <v>306.87000372409818</v>
      </c>
      <c r="N88" s="263">
        <v>97.845572472470593</v>
      </c>
      <c r="O88" s="264">
        <f t="shared" si="27"/>
        <v>209.02443125162759</v>
      </c>
      <c r="P88" s="265">
        <f t="shared" si="28"/>
        <v>2.1362686728664988</v>
      </c>
      <c r="R88" s="235"/>
      <c r="S88" s="169"/>
      <c r="T88" s="109"/>
    </row>
    <row r="89" spans="1:20" s="3" customFormat="1" x14ac:dyDescent="0.2">
      <c r="A89" s="260" t="s">
        <v>135</v>
      </c>
      <c r="B89" s="261">
        <f>VLOOKUP($A89,'IODA iTunes data'!$A$138:$Z$249,2,FALSE)</f>
        <v>27.02</v>
      </c>
      <c r="C89" s="261">
        <f>VLOOKUP($A89,'IODA iTunes data'!$A$138:$Z$249,8,FALSE)</f>
        <v>13.24</v>
      </c>
      <c r="D89" s="261">
        <f>VLOOKUP($A89,'IODA iTunes data'!$A$138:$Z$249,14,FALSE)</f>
        <v>15.45</v>
      </c>
      <c r="E89" s="261">
        <f>VLOOKUP($A89,'IODA iTunes data'!$A$138:$Z$249,20,FALSE)</f>
        <v>0</v>
      </c>
      <c r="F89" s="261">
        <f>VLOOKUP($A89,'IODA iTunes data'!$A$138:$Z$249,26,FALSE)</f>
        <v>0</v>
      </c>
      <c r="G89" s="262">
        <f t="shared" si="24"/>
        <v>55.709999999999994</v>
      </c>
      <c r="H89" s="244">
        <f t="shared" si="20"/>
        <v>92.84999999999998</v>
      </c>
      <c r="I89" s="343">
        <f>VLOOKUP($A89,[2]IODA!$D:$N,11,FALSE)</f>
        <v>44.222406381879701</v>
      </c>
      <c r="J89" s="264">
        <f t="shared" si="25"/>
        <v>48.627593618120279</v>
      </c>
      <c r="K89" s="265">
        <f t="shared" si="26"/>
        <v>1.0996143719136375</v>
      </c>
      <c r="L89" s="286">
        <v>89.83999991416934</v>
      </c>
      <c r="M89" s="263">
        <f t="shared" si="21"/>
        <v>182.68999991416933</v>
      </c>
      <c r="N89" s="263">
        <v>135.87972948633453</v>
      </c>
      <c r="O89" s="264">
        <f t="shared" si="27"/>
        <v>46.810270427834809</v>
      </c>
      <c r="P89" s="265">
        <f t="shared" si="28"/>
        <v>0.34449781880484637</v>
      </c>
      <c r="R89" s="235"/>
      <c r="S89" s="169"/>
      <c r="T89" s="109"/>
    </row>
    <row r="90" spans="1:20" s="3" customFormat="1" x14ac:dyDescent="0.2">
      <c r="A90" s="260" t="s">
        <v>137</v>
      </c>
      <c r="B90" s="261">
        <f>VLOOKUP($A90,'IODA iTunes data'!$A$138:$Z$249,2,FALSE)</f>
        <v>1.49</v>
      </c>
      <c r="C90" s="261">
        <f>VLOOKUP($A90,'IODA iTunes data'!$A$138:$Z$249,8,FALSE)</f>
        <v>6.37</v>
      </c>
      <c r="D90" s="261">
        <f>VLOOKUP($A90,'IODA iTunes data'!$A$138:$Z$249,14,FALSE)</f>
        <v>50.63</v>
      </c>
      <c r="E90" s="261">
        <f>VLOOKUP($A90,'IODA iTunes data'!$A$138:$Z$249,20,FALSE)</f>
        <v>0</v>
      </c>
      <c r="F90" s="261">
        <f>VLOOKUP($A90,'IODA iTunes data'!$A$138:$Z$249,26,FALSE)</f>
        <v>0</v>
      </c>
      <c r="G90" s="262">
        <f t="shared" si="24"/>
        <v>58.49</v>
      </c>
      <c r="H90" s="244">
        <f t="shared" si="20"/>
        <v>97.483333333333334</v>
      </c>
      <c r="I90" s="343">
        <f>VLOOKUP($A90,[2]IODA!$D:$N,11,FALSE)</f>
        <v>58.465602705000201</v>
      </c>
      <c r="J90" s="264">
        <f t="shared" si="25"/>
        <v>39.017730628333133</v>
      </c>
      <c r="K90" s="265">
        <f t="shared" si="26"/>
        <v>0.66736215523518738</v>
      </c>
      <c r="L90" s="286">
        <v>119.28999966382987</v>
      </c>
      <c r="M90" s="263">
        <f t="shared" si="21"/>
        <v>216.77333299716321</v>
      </c>
      <c r="N90" s="263">
        <v>179.64400695901838</v>
      </c>
      <c r="O90" s="264">
        <f t="shared" si="27"/>
        <v>37.129326038144825</v>
      </c>
      <c r="P90" s="265">
        <f t="shared" si="28"/>
        <v>0.20668279819997012</v>
      </c>
      <c r="R90" s="235"/>
      <c r="S90" s="169"/>
      <c r="T90" s="109"/>
    </row>
    <row r="91" spans="1:20" s="3" customFormat="1" x14ac:dyDescent="0.2">
      <c r="A91" s="260" t="s">
        <v>140</v>
      </c>
      <c r="B91" s="261">
        <f>VLOOKUP($A91,'IODA iTunes data'!$A$138:$Z$249,2,FALSE)</f>
        <v>32.94</v>
      </c>
      <c r="C91" s="261">
        <f>VLOOKUP($A91,'IODA iTunes data'!$A$138:$Z$249,8,FALSE)</f>
        <v>2.69</v>
      </c>
      <c r="D91" s="261">
        <f>VLOOKUP($A91,'IODA iTunes data'!$A$138:$Z$249,14,FALSE)</f>
        <v>0.61</v>
      </c>
      <c r="E91" s="261">
        <f>VLOOKUP($A91,'IODA iTunes data'!$A$138:$Z$249,20,FALSE)</f>
        <v>0</v>
      </c>
      <c r="F91" s="261">
        <f>VLOOKUP($A91,'IODA iTunes data'!$A$138:$Z$249,26,FALSE)</f>
        <v>0</v>
      </c>
      <c r="G91" s="262">
        <f t="shared" si="24"/>
        <v>36.239999999999995</v>
      </c>
      <c r="H91" s="244">
        <f t="shared" si="20"/>
        <v>60.399999999999991</v>
      </c>
      <c r="I91" s="343">
        <f>VLOOKUP($A91,[2]IODA!$D:$N,11,FALSE)</f>
        <v>27.183592808645695</v>
      </c>
      <c r="J91" s="264">
        <f t="shared" si="25"/>
        <v>33.216407191354293</v>
      </c>
      <c r="K91" s="265">
        <f t="shared" si="26"/>
        <v>1.2219285149382413</v>
      </c>
      <c r="L91" s="286">
        <v>91.126667718092634</v>
      </c>
      <c r="M91" s="263">
        <f t="shared" si="21"/>
        <v>151.52666771809263</v>
      </c>
      <c r="N91" s="263">
        <v>83.525514315271479</v>
      </c>
      <c r="O91" s="264">
        <f t="shared" si="27"/>
        <v>68.001153402821146</v>
      </c>
      <c r="P91" s="265">
        <f t="shared" si="28"/>
        <v>0.8141363026649221</v>
      </c>
      <c r="R91" s="235"/>
      <c r="S91" s="169"/>
      <c r="T91" s="109"/>
    </row>
    <row r="92" spans="1:20" s="3" customFormat="1" x14ac:dyDescent="0.2">
      <c r="A92" s="260" t="s">
        <v>142</v>
      </c>
      <c r="B92" s="261">
        <f>VLOOKUP($A92,'IODA iTunes data'!$A$138:$Z$249,2,FALSE)</f>
        <v>0</v>
      </c>
      <c r="C92" s="261">
        <f>VLOOKUP($A92,'IODA iTunes data'!$A$138:$Z$249,8,FALSE)</f>
        <v>0</v>
      </c>
      <c r="D92" s="261">
        <f>VLOOKUP($A92,'IODA iTunes data'!$A$138:$Z$249,14,FALSE)</f>
        <v>0</v>
      </c>
      <c r="E92" s="261">
        <f>VLOOKUP($A92,'IODA iTunes data'!$A$138:$Z$249,20,FALSE)</f>
        <v>0</v>
      </c>
      <c r="F92" s="261">
        <f>VLOOKUP($A92,'IODA iTunes data'!$A$138:$Z$249,26,FALSE)</f>
        <v>0</v>
      </c>
      <c r="G92" s="262">
        <f t="shared" si="24"/>
        <v>0</v>
      </c>
      <c r="H92" s="244">
        <f t="shared" si="20"/>
        <v>0</v>
      </c>
      <c r="I92" s="343">
        <f>VLOOKUP($A92,[2]IODA!$D:$N,11,FALSE)</f>
        <v>1.5269507858488447</v>
      </c>
      <c r="J92" s="264">
        <f t="shared" si="25"/>
        <v>-1.5269507858488447</v>
      </c>
      <c r="K92" s="265">
        <f t="shared" si="26"/>
        <v>-1</v>
      </c>
      <c r="L92" s="286">
        <v>3.6600000858306898</v>
      </c>
      <c r="M92" s="263">
        <f t="shared" si="21"/>
        <v>3.6600000858306898</v>
      </c>
      <c r="N92" s="263">
        <v>4.691776786825951</v>
      </c>
      <c r="O92" s="264">
        <f t="shared" si="27"/>
        <v>-1.0317767009952612</v>
      </c>
      <c r="P92" s="265">
        <f t="shared" si="28"/>
        <v>-0.21991171956270147</v>
      </c>
      <c r="R92" s="235"/>
      <c r="S92" s="169"/>
      <c r="T92" s="109"/>
    </row>
    <row r="93" spans="1:20" s="3" customFormat="1" x14ac:dyDescent="0.2">
      <c r="A93" s="260" t="s">
        <v>143</v>
      </c>
      <c r="B93" s="261">
        <f>VLOOKUP($A93,'IODA iTunes data'!$A$138:$Z$249,2,FALSE)</f>
        <v>0.88</v>
      </c>
      <c r="C93" s="261">
        <f>VLOOKUP($A93,'IODA iTunes data'!$A$138:$Z$249,8,FALSE)</f>
        <v>30.5</v>
      </c>
      <c r="D93" s="261">
        <f>VLOOKUP($A93,'IODA iTunes data'!$A$138:$Z$249,14,FALSE)</f>
        <v>7.93</v>
      </c>
      <c r="E93" s="261">
        <f>VLOOKUP($A93,'IODA iTunes data'!$A$138:$Z$249,20,FALSE)</f>
        <v>0</v>
      </c>
      <c r="F93" s="261">
        <f>VLOOKUP($A93,'IODA iTunes data'!$A$138:$Z$249,26,FALSE)</f>
        <v>0</v>
      </c>
      <c r="G93" s="262">
        <f t="shared" si="24"/>
        <v>39.31</v>
      </c>
      <c r="H93" s="244">
        <f t="shared" si="20"/>
        <v>65.516666666666666</v>
      </c>
      <c r="I93" s="343">
        <f>VLOOKUP($A93,[2]IODA!$D:$N,11,FALSE)</f>
        <v>48.60527819415784</v>
      </c>
      <c r="J93" s="264">
        <f t="shared" si="25"/>
        <v>16.911388472508825</v>
      </c>
      <c r="K93" s="265">
        <f t="shared" si="26"/>
        <v>0.34793316900594362</v>
      </c>
      <c r="L93" s="286">
        <v>103.289999961853</v>
      </c>
      <c r="M93" s="263">
        <f t="shared" si="21"/>
        <v>168.80666662851968</v>
      </c>
      <c r="N93" s="263">
        <v>149.34673603235689</v>
      </c>
      <c r="O93" s="264">
        <f t="shared" si="27"/>
        <v>19.459930596162792</v>
      </c>
      <c r="P93" s="265">
        <f t="shared" si="28"/>
        <v>0.1303003407583456</v>
      </c>
      <c r="R93" s="235"/>
      <c r="S93" s="169"/>
      <c r="T93" s="109"/>
    </row>
    <row r="94" spans="1:20" s="3" customFormat="1" x14ac:dyDescent="0.2">
      <c r="A94" s="260" t="s">
        <v>147</v>
      </c>
      <c r="B94" s="261">
        <f>VLOOKUP($A94,'IODA iTunes data'!$A$138:$Z$249,2,FALSE)</f>
        <v>0.61</v>
      </c>
      <c r="C94" s="261">
        <f>VLOOKUP($A94,'IODA iTunes data'!$A$138:$Z$249,8,FALSE)</f>
        <v>0</v>
      </c>
      <c r="D94" s="261">
        <f>VLOOKUP($A94,'IODA iTunes data'!$A$138:$Z$249,14,FALSE)</f>
        <v>1.83</v>
      </c>
      <c r="E94" s="261">
        <f>VLOOKUP($A94,'IODA iTunes data'!$A$138:$Z$249,20,FALSE)</f>
        <v>0</v>
      </c>
      <c r="F94" s="261">
        <f>VLOOKUP($A94,'IODA iTunes data'!$A$138:$Z$249,26,FALSE)</f>
        <v>0</v>
      </c>
      <c r="G94" s="262">
        <f t="shared" si="24"/>
        <v>2.44</v>
      </c>
      <c r="H94" s="244">
        <f t="shared" si="20"/>
        <v>6.1</v>
      </c>
      <c r="I94" s="343">
        <f>VLOOKUP($A94,[2]IODA!$D:$N,11,FALSE)</f>
        <v>0.8249175347611527</v>
      </c>
      <c r="J94" s="264">
        <f t="shared" si="25"/>
        <v>5.2750824652388468</v>
      </c>
      <c r="K94" s="265">
        <f t="shared" si="26"/>
        <v>6.3946785502216272</v>
      </c>
      <c r="L94" s="286">
        <v>15.980000019073509</v>
      </c>
      <c r="M94" s="263">
        <f t="shared" si="21"/>
        <v>22.080000019073509</v>
      </c>
      <c r="N94" s="263">
        <v>2.5346782466774243</v>
      </c>
      <c r="O94" s="264">
        <f t="shared" si="27"/>
        <v>19.545321772396086</v>
      </c>
      <c r="P94" s="265">
        <f t="shared" si="28"/>
        <v>7.7111648383841285</v>
      </c>
      <c r="R94" s="235"/>
      <c r="S94" s="169"/>
      <c r="T94" s="109"/>
    </row>
    <row r="95" spans="1:20" s="3" customFormat="1" x14ac:dyDescent="0.2">
      <c r="A95" s="260" t="s">
        <v>151</v>
      </c>
      <c r="B95" s="261">
        <f>VLOOKUP($A95,'IODA iTunes data'!$A$138:$Z$249,2,FALSE)</f>
        <v>6.1</v>
      </c>
      <c r="C95" s="261">
        <f>VLOOKUP($A95,'IODA iTunes data'!$A$138:$Z$249,8,FALSE)</f>
        <v>0</v>
      </c>
      <c r="D95" s="261">
        <f>VLOOKUP($A95,'IODA iTunes data'!$A$138:$Z$249,14,FALSE)</f>
        <v>0</v>
      </c>
      <c r="E95" s="261">
        <f>VLOOKUP($A95,'IODA iTunes data'!$A$138:$Z$249,20,FALSE)</f>
        <v>0</v>
      </c>
      <c r="F95" s="261">
        <f>VLOOKUP($A95,'IODA iTunes data'!$A$138:$Z$249,26,FALSE)</f>
        <v>0</v>
      </c>
      <c r="G95" s="262">
        <f t="shared" si="24"/>
        <v>6.1</v>
      </c>
      <c r="H95" s="244">
        <f t="shared" si="20"/>
        <v>30.5</v>
      </c>
      <c r="I95" s="343">
        <f>VLOOKUP($A95,[2]IODA!$D:$N,11,FALSE)</f>
        <v>2.221019310074138</v>
      </c>
      <c r="J95" s="264">
        <f t="shared" si="25"/>
        <v>28.278980689925863</v>
      </c>
      <c r="K95" s="265">
        <f t="shared" si="26"/>
        <v>12.732433509991369</v>
      </c>
      <c r="L95" s="286">
        <v>0</v>
      </c>
      <c r="M95" s="263">
        <f t="shared" si="21"/>
        <v>30.5</v>
      </c>
      <c r="N95" s="263">
        <v>6.8244025535539237</v>
      </c>
      <c r="O95" s="264">
        <f t="shared" si="27"/>
        <v>23.675597446446076</v>
      </c>
      <c r="P95" s="265">
        <f t="shared" si="28"/>
        <v>3.4692556983052834</v>
      </c>
      <c r="R95" s="235"/>
      <c r="S95" s="169"/>
      <c r="T95" s="109"/>
    </row>
    <row r="96" spans="1:20" s="3" customFormat="1" x14ac:dyDescent="0.2">
      <c r="A96" s="260" t="s">
        <v>152</v>
      </c>
      <c r="B96" s="261">
        <f>VLOOKUP($A96,'IODA iTunes data'!$A$138:$Z$249,2,FALSE)</f>
        <v>0</v>
      </c>
      <c r="C96" s="261">
        <f>VLOOKUP($A96,'IODA iTunes data'!$A$138:$Z$249,8,FALSE)</f>
        <v>0</v>
      </c>
      <c r="D96" s="261">
        <f>VLOOKUP($A96,'IODA iTunes data'!$A$138:$Z$249,14,FALSE)</f>
        <v>0</v>
      </c>
      <c r="E96" s="261">
        <f>VLOOKUP($A96,'IODA iTunes data'!$A$138:$Z$249,20,FALSE)</f>
        <v>0</v>
      </c>
      <c r="F96" s="261">
        <f>VLOOKUP($A96,'IODA iTunes data'!$A$138:$Z$249,26,FALSE)</f>
        <v>0</v>
      </c>
      <c r="G96" s="262">
        <f t="shared" si="24"/>
        <v>0</v>
      </c>
      <c r="H96" s="244">
        <f t="shared" si="20"/>
        <v>0</v>
      </c>
      <c r="I96" s="343"/>
      <c r="J96" s="264">
        <f t="shared" si="25"/>
        <v>0</v>
      </c>
      <c r="K96" s="265" t="e">
        <f t="shared" si="26"/>
        <v>#DIV/0!</v>
      </c>
      <c r="L96" s="286">
        <v>0</v>
      </c>
      <c r="M96" s="263">
        <f t="shared" si="21"/>
        <v>0</v>
      </c>
      <c r="N96" s="263">
        <v>0</v>
      </c>
      <c r="O96" s="264">
        <f t="shared" si="27"/>
        <v>0</v>
      </c>
      <c r="P96" s="265" t="e">
        <f t="shared" si="28"/>
        <v>#DIV/0!</v>
      </c>
      <c r="R96" s="235"/>
      <c r="S96" s="169"/>
      <c r="T96" s="109"/>
    </row>
    <row r="97" spans="1:20" s="3" customFormat="1" x14ac:dyDescent="0.2">
      <c r="A97" s="260" t="s">
        <v>153</v>
      </c>
      <c r="B97" s="261">
        <f>VLOOKUP($A97,'IODA iTunes data'!$A$138:$Z$249,2,FALSE)</f>
        <v>1.22</v>
      </c>
      <c r="C97" s="261">
        <f>VLOOKUP($A97,'IODA iTunes data'!$A$138:$Z$249,8,FALSE)</f>
        <v>13.42</v>
      </c>
      <c r="D97" s="261">
        <f>VLOOKUP($A97,'IODA iTunes data'!$A$138:$Z$249,14,FALSE)</f>
        <v>11.59</v>
      </c>
      <c r="E97" s="261">
        <f>VLOOKUP($A97,'IODA iTunes data'!$A$138:$Z$249,20,FALSE)</f>
        <v>0</v>
      </c>
      <c r="F97" s="261">
        <f>VLOOKUP($A97,'IODA iTunes data'!$A$138:$Z$249,26,FALSE)</f>
        <v>0</v>
      </c>
      <c r="G97" s="262">
        <f t="shared" si="24"/>
        <v>26.23</v>
      </c>
      <c r="H97" s="244">
        <f t="shared" si="20"/>
        <v>43.716666666666669</v>
      </c>
      <c r="I97" s="343">
        <f>VLOOKUP($A97,[2]IODA!$D:$N,11,FALSE)</f>
        <v>64.377701186429178</v>
      </c>
      <c r="J97" s="264">
        <f t="shared" si="25"/>
        <v>-20.661034519762509</v>
      </c>
      <c r="K97" s="265">
        <f t="shared" si="26"/>
        <v>-0.32093464257027332</v>
      </c>
      <c r="L97" s="286">
        <v>122.8849999308587</v>
      </c>
      <c r="M97" s="263">
        <f t="shared" si="21"/>
        <v>166.60166659752537</v>
      </c>
      <c r="N97" s="263">
        <v>197.80978327195797</v>
      </c>
      <c r="O97" s="264">
        <f t="shared" si="27"/>
        <v>-31.208116674432603</v>
      </c>
      <c r="P97" s="265">
        <f t="shared" si="28"/>
        <v>-0.15776831741191613</v>
      </c>
      <c r="R97" s="235"/>
      <c r="S97" s="169"/>
      <c r="T97" s="109"/>
    </row>
    <row r="98" spans="1:20" s="3" customFormat="1" x14ac:dyDescent="0.2">
      <c r="A98" s="260" t="s">
        <v>154</v>
      </c>
      <c r="B98" s="261">
        <f>VLOOKUP($A98,'IODA iTunes data'!$A$138:$Z$249,2,FALSE)</f>
        <v>0</v>
      </c>
      <c r="C98" s="261">
        <f>VLOOKUP($A98,'IODA iTunes data'!$A$138:$Z$249,8,FALSE)</f>
        <v>1.22</v>
      </c>
      <c r="D98" s="261">
        <f>VLOOKUP($A98,'IODA iTunes data'!$A$138:$Z$249,14,FALSE)</f>
        <v>0</v>
      </c>
      <c r="E98" s="261">
        <f>VLOOKUP($A98,'IODA iTunes data'!$A$138:$Z$249,20,FALSE)</f>
        <v>0</v>
      </c>
      <c r="F98" s="261">
        <f>VLOOKUP($A98,'IODA iTunes data'!$A$138:$Z$249,26,FALSE)</f>
        <v>0</v>
      </c>
      <c r="G98" s="262">
        <f t="shared" si="24"/>
        <v>1.22</v>
      </c>
      <c r="H98" s="244">
        <f t="shared" si="20"/>
        <v>6.1</v>
      </c>
      <c r="I98" s="343">
        <f>VLOOKUP($A98,[2]IODA!$D:$N,11,FALSE)</f>
        <v>5.5525482751853508</v>
      </c>
      <c r="J98" s="264">
        <f t="shared" si="25"/>
        <v>0.54745172481464888</v>
      </c>
      <c r="K98" s="265">
        <f t="shared" si="26"/>
        <v>9.8594680799308179E-2</v>
      </c>
      <c r="L98" s="286">
        <v>33.549999594688401</v>
      </c>
      <c r="M98" s="263">
        <f t="shared" si="21"/>
        <v>39.649999594688403</v>
      </c>
      <c r="N98" s="263">
        <v>17.06100638388483</v>
      </c>
      <c r="O98" s="264">
        <f t="shared" si="27"/>
        <v>22.588993210803572</v>
      </c>
      <c r="P98" s="265">
        <f t="shared" si="28"/>
        <v>1.3240129393621389</v>
      </c>
      <c r="R98" s="235"/>
      <c r="S98" s="169"/>
      <c r="T98" s="109"/>
    </row>
    <row r="99" spans="1:20" s="3" customFormat="1" x14ac:dyDescent="0.2">
      <c r="A99" s="260" t="s">
        <v>156</v>
      </c>
      <c r="B99" s="261">
        <f>VLOOKUP($A99,'IODA iTunes data'!$A$138:$Z$249,2,FALSE)</f>
        <v>0</v>
      </c>
      <c r="C99" s="261">
        <f>VLOOKUP($A99,'IODA iTunes data'!$A$138:$Z$249,8,FALSE)</f>
        <v>0</v>
      </c>
      <c r="D99" s="261">
        <f>VLOOKUP($A99,'IODA iTunes data'!$A$138:$Z$249,14,FALSE)</f>
        <v>0</v>
      </c>
      <c r="E99" s="261">
        <f>VLOOKUP($A99,'IODA iTunes data'!$A$138:$Z$249,20,FALSE)</f>
        <v>0</v>
      </c>
      <c r="F99" s="261">
        <f>VLOOKUP($A99,'IODA iTunes data'!$A$138:$Z$249,26,FALSE)</f>
        <v>0</v>
      </c>
      <c r="G99" s="262">
        <f t="shared" si="24"/>
        <v>0</v>
      </c>
      <c r="H99" s="244">
        <f t="shared" si="20"/>
        <v>0</v>
      </c>
      <c r="I99" s="343">
        <f>VLOOKUP($A99,[2]IODA!$D:$N,11,FALSE)</f>
        <v>6.9406855135296749E-2</v>
      </c>
      <c r="J99" s="264">
        <f t="shared" si="25"/>
        <v>-6.9406855135296749E-2</v>
      </c>
      <c r="K99" s="265">
        <f t="shared" si="26"/>
        <v>-1</v>
      </c>
      <c r="L99" s="286">
        <v>0</v>
      </c>
      <c r="M99" s="263">
        <f t="shared" si="21"/>
        <v>0</v>
      </c>
      <c r="N99" s="263">
        <v>0.21326258500816708</v>
      </c>
      <c r="O99" s="264">
        <f t="shared" si="27"/>
        <v>-0.21326258500816708</v>
      </c>
      <c r="P99" s="265">
        <f t="shared" si="28"/>
        <v>-1</v>
      </c>
      <c r="R99" s="235"/>
      <c r="S99" s="169"/>
      <c r="T99" s="109"/>
    </row>
    <row r="100" spans="1:20" s="3" customFormat="1" x14ac:dyDescent="0.2">
      <c r="A100" s="260" t="s">
        <v>159</v>
      </c>
      <c r="B100" s="261">
        <f>VLOOKUP($A100,'IODA iTunes data'!$A$138:$Z$249,2,FALSE)</f>
        <v>440.70602400000001</v>
      </c>
      <c r="C100" s="261">
        <f>VLOOKUP($A100,'IODA iTunes data'!$A$138:$Z$249,8,FALSE)</f>
        <v>520.64186700000005</v>
      </c>
      <c r="D100" s="261">
        <f>VLOOKUP($A100,'IODA iTunes data'!$A$138:$Z$249,14,FALSE)</f>
        <v>573.34280799999999</v>
      </c>
      <c r="E100" s="261">
        <f>VLOOKUP($A100,'IODA iTunes data'!$A$138:$Z$249,20,FALSE)</f>
        <v>0</v>
      </c>
      <c r="F100" s="261">
        <f>VLOOKUP($A100,'IODA iTunes data'!$A$138:$Z$249,26,FALSE)</f>
        <v>0</v>
      </c>
      <c r="G100" s="262">
        <f t="shared" si="24"/>
        <v>1534.6906990000002</v>
      </c>
      <c r="H100" s="244">
        <f t="shared" si="20"/>
        <v>2557.8178316666672</v>
      </c>
      <c r="I100" s="343">
        <f>VLOOKUP($A100,[2]IODA!$D:$N,11,FALSE)</f>
        <v>1802.9550431981233</v>
      </c>
      <c r="J100" s="264">
        <f t="shared" si="25"/>
        <v>754.86278846854384</v>
      </c>
      <c r="K100" s="265">
        <f t="shared" si="26"/>
        <v>0.41868087133750753</v>
      </c>
      <c r="L100" s="286">
        <v>4641.9720434024921</v>
      </c>
      <c r="M100" s="263">
        <f t="shared" si="21"/>
        <v>7199.7898750691593</v>
      </c>
      <c r="N100" s="263">
        <v>5539.8397235607499</v>
      </c>
      <c r="O100" s="264">
        <f t="shared" si="27"/>
        <v>1659.9501515084094</v>
      </c>
      <c r="P100" s="265">
        <f t="shared" si="28"/>
        <v>0.29963866002272554</v>
      </c>
      <c r="R100" s="235"/>
      <c r="S100" s="169"/>
      <c r="T100" s="109"/>
    </row>
    <row r="101" spans="1:20" s="3" customFormat="1" x14ac:dyDescent="0.2">
      <c r="A101" s="260" t="s">
        <v>160</v>
      </c>
      <c r="B101" s="261">
        <f>VLOOKUP($A101,'IODA iTunes data'!$A$138:$Z$249,2,FALSE)</f>
        <v>656.32399999999996</v>
      </c>
      <c r="C101" s="261">
        <f>VLOOKUP($A101,'IODA iTunes data'!$A$138:$Z$249,8,FALSE)</f>
        <v>577.99400000000003</v>
      </c>
      <c r="D101" s="261">
        <f>VLOOKUP($A101,'IODA iTunes data'!$A$138:$Z$249,14,FALSE)</f>
        <v>555.71600000000001</v>
      </c>
      <c r="E101" s="261">
        <f>VLOOKUP($A101,'IODA iTunes data'!$A$138:$Z$249,20,FALSE)</f>
        <v>0</v>
      </c>
      <c r="F101" s="261">
        <f>VLOOKUP($A101,'IODA iTunes data'!$A$138:$Z$249,26,FALSE)</f>
        <v>0</v>
      </c>
      <c r="G101" s="262">
        <f t="shared" si="24"/>
        <v>1790.0340000000001</v>
      </c>
      <c r="H101" s="244">
        <f t="shared" si="20"/>
        <v>2983.39</v>
      </c>
      <c r="I101" s="343">
        <f>VLOOKUP($A101,[2]IODA!$D:$N,11,FALSE)</f>
        <v>2272.3796501217803</v>
      </c>
      <c r="J101" s="264">
        <f t="shared" si="25"/>
        <v>711.01034987821959</v>
      </c>
      <c r="K101" s="265">
        <f t="shared" si="26"/>
        <v>0.31289241207564744</v>
      </c>
      <c r="L101" s="286">
        <v>5403.5068628937006</v>
      </c>
      <c r="M101" s="263">
        <f t="shared" si="21"/>
        <v>8386.8968628937</v>
      </c>
      <c r="N101" s="263">
        <v>6982.2146149721702</v>
      </c>
      <c r="O101" s="264">
        <f t="shared" si="27"/>
        <v>1404.6822479215298</v>
      </c>
      <c r="P101" s="265">
        <f t="shared" si="28"/>
        <v>0.20118004463933661</v>
      </c>
      <c r="R101" s="235"/>
      <c r="S101" s="169"/>
      <c r="T101" s="109"/>
    </row>
    <row r="102" spans="1:20" s="3" customFormat="1" x14ac:dyDescent="0.2">
      <c r="A102" s="260" t="s">
        <v>161</v>
      </c>
      <c r="B102" s="261">
        <f>VLOOKUP($A102,'IODA iTunes data'!$A$138:$Z$249,2,FALSE)</f>
        <v>427.16494499999999</v>
      </c>
      <c r="C102" s="261">
        <f>VLOOKUP($A102,'IODA iTunes data'!$A$138:$Z$249,8,FALSE)</f>
        <v>552.22812099999999</v>
      </c>
      <c r="D102" s="261">
        <f>VLOOKUP($A102,'IODA iTunes data'!$A$138:$Z$249,14,FALSE)</f>
        <v>452.58690899999999</v>
      </c>
      <c r="E102" s="261">
        <f>VLOOKUP($A102,'IODA iTunes data'!$A$138:$Z$249,20,FALSE)</f>
        <v>0</v>
      </c>
      <c r="F102" s="261">
        <f>VLOOKUP($A102,'IODA iTunes data'!$A$138:$Z$249,26,FALSE)</f>
        <v>0</v>
      </c>
      <c r="G102" s="262">
        <f t="shared" si="24"/>
        <v>1431.979975</v>
      </c>
      <c r="H102" s="244">
        <f t="shared" si="20"/>
        <v>2386.6332916666665</v>
      </c>
      <c r="I102" s="343">
        <f>VLOOKUP($A102,[2]IODA!$D:$N,11,FALSE)</f>
        <v>2052.1303233780259</v>
      </c>
      <c r="J102" s="264">
        <f t="shared" si="25"/>
        <v>334.50296828864066</v>
      </c>
      <c r="K102" s="265">
        <f t="shared" si="26"/>
        <v>0.16300279006550278</v>
      </c>
      <c r="L102" s="286">
        <v>4699.9920402765274</v>
      </c>
      <c r="M102" s="263">
        <f t="shared" si="21"/>
        <v>7086.6253319431944</v>
      </c>
      <c r="N102" s="263">
        <v>6305.4667537397354</v>
      </c>
      <c r="O102" s="264">
        <f t="shared" si="27"/>
        <v>781.158578203459</v>
      </c>
      <c r="P102" s="265">
        <f t="shared" si="28"/>
        <v>0.12388592450196624</v>
      </c>
      <c r="R102" s="235"/>
      <c r="S102" s="169"/>
      <c r="T102" s="109"/>
    </row>
    <row r="103" spans="1:20" s="3" customFormat="1" x14ac:dyDescent="0.2">
      <c r="A103" s="260" t="s">
        <v>162</v>
      </c>
      <c r="B103" s="261">
        <f>VLOOKUP($A103,'IODA iTunes data'!$A$138:$Z$249,2,FALSE)</f>
        <v>57.06</v>
      </c>
      <c r="C103" s="261">
        <f>VLOOKUP($A103,'IODA iTunes data'!$A$138:$Z$249,8,FALSE)</f>
        <v>34.380000000000003</v>
      </c>
      <c r="D103" s="261">
        <f>VLOOKUP($A103,'IODA iTunes data'!$A$138:$Z$249,14,FALSE)</f>
        <v>42.42</v>
      </c>
      <c r="E103" s="261">
        <f>VLOOKUP($A103,'IODA iTunes data'!$A$138:$Z$249,20,FALSE)</f>
        <v>0</v>
      </c>
      <c r="F103" s="261">
        <f>VLOOKUP($A103,'IODA iTunes data'!$A$138:$Z$249,26,FALSE)</f>
        <v>0</v>
      </c>
      <c r="G103" s="262">
        <f t="shared" si="24"/>
        <v>133.86000000000001</v>
      </c>
      <c r="H103" s="244">
        <f t="shared" si="20"/>
        <v>223.10000000000002</v>
      </c>
      <c r="I103" s="343">
        <f>VLOOKUP($A103,[2]IODA!$D:$N,11,FALSE)</f>
        <v>280.90205625214048</v>
      </c>
      <c r="J103" s="264">
        <f t="shared" si="25"/>
        <v>-57.80205625214046</v>
      </c>
      <c r="K103" s="265">
        <f t="shared" si="26"/>
        <v>-0.2057729908543523</v>
      </c>
      <c r="L103" s="286">
        <v>520.13000571727798</v>
      </c>
      <c r="M103" s="263">
        <f t="shared" si="21"/>
        <v>743.230005717278</v>
      </c>
      <c r="N103" s="263">
        <v>863.11213112400469</v>
      </c>
      <c r="O103" s="264">
        <f t="shared" si="27"/>
        <v>-119.88212540672669</v>
      </c>
      <c r="P103" s="265">
        <f t="shared" si="28"/>
        <v>-0.1388951922742736</v>
      </c>
      <c r="R103" s="235"/>
      <c r="S103" s="169"/>
      <c r="T103" s="109"/>
    </row>
    <row r="104" spans="1:20" s="3" customFormat="1" x14ac:dyDescent="0.2">
      <c r="A104" s="260" t="s">
        <v>163</v>
      </c>
      <c r="B104" s="261">
        <f>VLOOKUP($A104,'IODA iTunes data'!$A$138:$Z$249,2,FALSE)</f>
        <v>49.16</v>
      </c>
      <c r="C104" s="261">
        <f>VLOOKUP($A104,'IODA iTunes data'!$A$138:$Z$249,8,FALSE)</f>
        <v>52.64</v>
      </c>
      <c r="D104" s="261">
        <f>VLOOKUP($A104,'IODA iTunes data'!$A$138:$Z$249,14,FALSE)</f>
        <v>47.58</v>
      </c>
      <c r="E104" s="261">
        <f>VLOOKUP($A104,'IODA iTunes data'!$A$138:$Z$249,20,FALSE)</f>
        <v>0</v>
      </c>
      <c r="F104" s="261">
        <f>VLOOKUP($A104,'IODA iTunes data'!$A$138:$Z$249,26,FALSE)</f>
        <v>0</v>
      </c>
      <c r="G104" s="262">
        <f t="shared" si="24"/>
        <v>149.38</v>
      </c>
      <c r="H104" s="244">
        <f t="shared" si="20"/>
        <v>248.96666666666664</v>
      </c>
      <c r="I104" s="343">
        <f>VLOOKUP($A104,[2]IODA!$D:$N,11,FALSE)</f>
        <v>284.04925552624769</v>
      </c>
      <c r="J104" s="264">
        <f t="shared" si="25"/>
        <v>-35.082588859581051</v>
      </c>
      <c r="K104" s="265">
        <f t="shared" si="26"/>
        <v>-0.12350882171679985</v>
      </c>
      <c r="L104" s="286">
        <v>814.70000171661343</v>
      </c>
      <c r="M104" s="263">
        <f t="shared" si="21"/>
        <v>1063.66666838328</v>
      </c>
      <c r="N104" s="263">
        <v>872.78235536084094</v>
      </c>
      <c r="O104" s="264">
        <f t="shared" si="27"/>
        <v>190.88431302243907</v>
      </c>
      <c r="P104" s="265">
        <f t="shared" si="28"/>
        <v>0.21870780481523408</v>
      </c>
      <c r="R104" s="235"/>
      <c r="S104" s="169"/>
      <c r="T104" s="109"/>
    </row>
    <row r="105" spans="1:20" s="3" customFormat="1" x14ac:dyDescent="0.2">
      <c r="A105" s="260" t="s">
        <v>164</v>
      </c>
      <c r="B105" s="261">
        <f>VLOOKUP($A105,'IODA iTunes data'!$A$138:$Z$249,2,FALSE)</f>
        <v>0</v>
      </c>
      <c r="C105" s="261">
        <f>VLOOKUP($A105,'IODA iTunes data'!$A$138:$Z$249,8,FALSE)</f>
        <v>0</v>
      </c>
      <c r="D105" s="261">
        <f>VLOOKUP($A105,'IODA iTunes data'!$A$138:$Z$249,14,FALSE)</f>
        <v>0.6</v>
      </c>
      <c r="E105" s="261">
        <f>VLOOKUP($A105,'IODA iTunes data'!$A$138:$Z$249,20,FALSE)</f>
        <v>0</v>
      </c>
      <c r="F105" s="261">
        <f>VLOOKUP($A105,'IODA iTunes data'!$A$138:$Z$249,26,FALSE)</f>
        <v>0</v>
      </c>
      <c r="G105" s="262">
        <f t="shared" si="24"/>
        <v>0.6</v>
      </c>
      <c r="H105" s="244">
        <f t="shared" si="20"/>
        <v>3</v>
      </c>
      <c r="I105" s="343">
        <f>VLOOKUP($A105,[2]IODA!$D:$N,11,FALSE)</f>
        <v>5.9701272900018356</v>
      </c>
      <c r="J105" s="264">
        <f t="shared" si="25"/>
        <v>-2.9701272900018356</v>
      </c>
      <c r="K105" s="265">
        <f t="shared" si="26"/>
        <v>-0.49749815133354092</v>
      </c>
      <c r="L105" s="286">
        <v>9.6000003814697266</v>
      </c>
      <c r="M105" s="263">
        <f t="shared" si="21"/>
        <v>12.600000381469727</v>
      </c>
      <c r="N105" s="263">
        <v>18.34407820685292</v>
      </c>
      <c r="O105" s="264">
        <f t="shared" si="27"/>
        <v>-5.7440778253831937</v>
      </c>
      <c r="P105" s="265">
        <f t="shared" si="28"/>
        <v>-0.31312981555199321</v>
      </c>
      <c r="R105" s="235"/>
      <c r="S105" s="169"/>
      <c r="T105" s="109"/>
    </row>
    <row r="106" spans="1:20" s="3" customFormat="1" x14ac:dyDescent="0.2">
      <c r="A106" s="260" t="s">
        <v>167</v>
      </c>
      <c r="B106" s="261">
        <f>VLOOKUP($A106,'IODA iTunes data'!$A$138:$Z$249,2,FALSE)</f>
        <v>11.25</v>
      </c>
      <c r="C106" s="261">
        <f>VLOOKUP($A106,'IODA iTunes data'!$A$138:$Z$249,8,FALSE)</f>
        <v>10.37</v>
      </c>
      <c r="D106" s="261">
        <f>VLOOKUP($A106,'IODA iTunes data'!$A$138:$Z$249,14,FALSE)</f>
        <v>15.7</v>
      </c>
      <c r="E106" s="261">
        <f>VLOOKUP($A106,'IODA iTunes data'!$A$138:$Z$249,20,FALSE)</f>
        <v>0</v>
      </c>
      <c r="F106" s="261">
        <f>VLOOKUP($A106,'IODA iTunes data'!$A$138:$Z$249,26,FALSE)</f>
        <v>0</v>
      </c>
      <c r="G106" s="262">
        <f t="shared" si="24"/>
        <v>37.319999999999993</v>
      </c>
      <c r="H106" s="244">
        <f t="shared" si="20"/>
        <v>62.199999999999989</v>
      </c>
      <c r="I106" s="343">
        <f>VLOOKUP($A106,[2]IODA!$D:$N,11,FALSE)</f>
        <v>47.589207452066049</v>
      </c>
      <c r="J106" s="264">
        <f t="shared" si="25"/>
        <v>14.61079254793394</v>
      </c>
      <c r="K106" s="265">
        <f t="shared" si="26"/>
        <v>0.30701903499129662</v>
      </c>
      <c r="L106" s="286">
        <v>103.28999996185286</v>
      </c>
      <c r="M106" s="263">
        <f t="shared" si="21"/>
        <v>165.48999996185285</v>
      </c>
      <c r="N106" s="263">
        <v>146.22471195293039</v>
      </c>
      <c r="O106" s="264">
        <f t="shared" si="27"/>
        <v>19.265288008922454</v>
      </c>
      <c r="P106" s="265">
        <f t="shared" si="28"/>
        <v>0.13175124608981231</v>
      </c>
      <c r="R106" s="235"/>
      <c r="S106" s="169"/>
      <c r="T106" s="109"/>
    </row>
    <row r="107" spans="1:20" s="3" customFormat="1" x14ac:dyDescent="0.2">
      <c r="A107" s="260" t="s">
        <v>168</v>
      </c>
      <c r="B107" s="261">
        <f>VLOOKUP($A107,'IODA iTunes data'!$A$138:$Z$249,2,FALSE)</f>
        <v>0</v>
      </c>
      <c r="C107" s="261">
        <f>VLOOKUP($A107,'IODA iTunes data'!$A$138:$Z$249,8,FALSE)</f>
        <v>0</v>
      </c>
      <c r="D107" s="261">
        <f>VLOOKUP($A107,'IODA iTunes data'!$A$138:$Z$249,14,FALSE)</f>
        <v>0.61</v>
      </c>
      <c r="E107" s="261">
        <f>VLOOKUP($A107,'IODA iTunes data'!$A$138:$Z$249,20,FALSE)</f>
        <v>0</v>
      </c>
      <c r="F107" s="261">
        <f>VLOOKUP($A107,'IODA iTunes data'!$A$138:$Z$249,26,FALSE)</f>
        <v>0</v>
      </c>
      <c r="G107" s="262">
        <f t="shared" si="24"/>
        <v>0.61</v>
      </c>
      <c r="H107" s="244">
        <f t="shared" si="20"/>
        <v>3.05</v>
      </c>
      <c r="I107" s="343">
        <f>VLOOKUP($A107,[2]IODA!$D:$N,11,FALSE)</f>
        <v>0.69406852422528964</v>
      </c>
      <c r="J107" s="264">
        <f t="shared" si="25"/>
        <v>2.3559314757747103</v>
      </c>
      <c r="K107" s="265">
        <f t="shared" si="26"/>
        <v>3.3943787876051155</v>
      </c>
      <c r="L107" s="286">
        <v>0</v>
      </c>
      <c r="M107" s="263">
        <f t="shared" si="21"/>
        <v>3.05</v>
      </c>
      <c r="N107" s="263">
        <v>2.1326257667279629</v>
      </c>
      <c r="O107" s="264">
        <f t="shared" si="27"/>
        <v>0.91737423327203693</v>
      </c>
      <c r="P107" s="265">
        <f t="shared" si="28"/>
        <v>0.4301618444193997</v>
      </c>
      <c r="R107" s="235"/>
      <c r="S107" s="169"/>
      <c r="T107" s="109"/>
    </row>
    <row r="108" spans="1:20" s="3" customFormat="1" x14ac:dyDescent="0.2">
      <c r="A108" s="260" t="s">
        <v>169</v>
      </c>
      <c r="B108" s="261">
        <f>VLOOKUP($A108,'IODA iTunes data'!$A$138:$Z$249,2,FALSE)</f>
        <v>4.2</v>
      </c>
      <c r="C108" s="261">
        <f>VLOOKUP($A108,'IODA iTunes data'!$A$138:$Z$249,8,FALSE)</f>
        <v>7.8</v>
      </c>
      <c r="D108" s="261">
        <f>VLOOKUP($A108,'IODA iTunes data'!$A$138:$Z$249,14,FALSE)</f>
        <v>1.47</v>
      </c>
      <c r="E108" s="261">
        <f>VLOOKUP($A108,'IODA iTunes data'!$A$138:$Z$249,20,FALSE)</f>
        <v>0</v>
      </c>
      <c r="F108" s="261">
        <f>VLOOKUP($A108,'IODA iTunes data'!$A$138:$Z$249,26,FALSE)</f>
        <v>0</v>
      </c>
      <c r="G108" s="262">
        <f t="shared" si="24"/>
        <v>13.47</v>
      </c>
      <c r="H108" s="244">
        <f t="shared" si="20"/>
        <v>22.450000000000003</v>
      </c>
      <c r="I108" s="343">
        <f>VLOOKUP($A108,[2]IODA!$D:$N,11,FALSE)</f>
        <v>16.981922980979956</v>
      </c>
      <c r="J108" s="264">
        <f t="shared" si="25"/>
        <v>5.4680770190200469</v>
      </c>
      <c r="K108" s="265">
        <f t="shared" si="26"/>
        <v>0.32199398296320075</v>
      </c>
      <c r="L108" s="286">
        <v>66.735000113646137</v>
      </c>
      <c r="M108" s="263">
        <f t="shared" si="21"/>
        <v>89.18500011364614</v>
      </c>
      <c r="N108" s="263">
        <v>52.17941061115188</v>
      </c>
      <c r="O108" s="264">
        <f t="shared" si="27"/>
        <v>37.00558950249426</v>
      </c>
      <c r="P108" s="265">
        <f t="shared" si="28"/>
        <v>0.70919907045836494</v>
      </c>
      <c r="R108" s="235"/>
      <c r="S108" s="169"/>
      <c r="T108" s="109"/>
    </row>
    <row r="109" spans="1:20" s="3" customFormat="1" x14ac:dyDescent="0.2">
      <c r="A109" s="260" t="s">
        <v>171</v>
      </c>
      <c r="B109" s="261">
        <f>VLOOKUP($A109,'IODA iTunes data'!$A$138:$Z$249,2,FALSE)</f>
        <v>44.8</v>
      </c>
      <c r="C109" s="261">
        <f>VLOOKUP($A109,'IODA iTunes data'!$A$138:$Z$249,8,FALSE)</f>
        <v>24.4</v>
      </c>
      <c r="D109" s="261">
        <f>VLOOKUP($A109,'IODA iTunes data'!$A$138:$Z$249,14,FALSE)</f>
        <v>56.12</v>
      </c>
      <c r="E109" s="261">
        <f>VLOOKUP($A109,'IODA iTunes data'!$A$138:$Z$249,20,FALSE)</f>
        <v>0</v>
      </c>
      <c r="F109" s="261">
        <f>VLOOKUP($A109,'IODA iTunes data'!$A$138:$Z$249,26,FALSE)</f>
        <v>0</v>
      </c>
      <c r="G109" s="262">
        <f t="shared" si="24"/>
        <v>125.32</v>
      </c>
      <c r="H109" s="244">
        <f t="shared" si="20"/>
        <v>208.86666666666667</v>
      </c>
      <c r="I109" s="343">
        <f>VLOOKUP($A109,[2]IODA!$D:$N,11,FALSE)</f>
        <v>106.48718069412948</v>
      </c>
      <c r="J109" s="264">
        <f t="shared" si="25"/>
        <v>102.3794859725372</v>
      </c>
      <c r="K109" s="265">
        <f t="shared" si="26"/>
        <v>0.96142545332859264</v>
      </c>
      <c r="L109" s="286">
        <v>283.39999914169312</v>
      </c>
      <c r="M109" s="263">
        <f t="shared" si="21"/>
        <v>492.26666580835979</v>
      </c>
      <c r="N109" s="263">
        <v>327.19723982297018</v>
      </c>
      <c r="O109" s="264">
        <f t="shared" si="27"/>
        <v>165.06942598538961</v>
      </c>
      <c r="P109" s="265">
        <f t="shared" si="28"/>
        <v>0.50449516650782356</v>
      </c>
      <c r="R109" s="235"/>
      <c r="S109" s="169"/>
      <c r="T109" s="109"/>
    </row>
    <row r="110" spans="1:20" s="3" customFormat="1" x14ac:dyDescent="0.2">
      <c r="A110" s="260" t="s">
        <v>172</v>
      </c>
      <c r="B110" s="261">
        <f>VLOOKUP($A110,'IODA iTunes data'!$A$138:$Z$249,2,FALSE)</f>
        <v>25.01</v>
      </c>
      <c r="C110" s="261">
        <f>VLOOKUP($A110,'IODA iTunes data'!$A$138:$Z$249,8,FALSE)</f>
        <v>26.23</v>
      </c>
      <c r="D110" s="261">
        <f>VLOOKUP($A110,'IODA iTunes data'!$A$138:$Z$249,14,FALSE)</f>
        <v>36.64</v>
      </c>
      <c r="E110" s="261">
        <f>VLOOKUP($A110,'IODA iTunes data'!$A$138:$Z$249,20,FALSE)</f>
        <v>0</v>
      </c>
      <c r="F110" s="261">
        <f>VLOOKUP($A110,'IODA iTunes data'!$A$138:$Z$249,26,FALSE)</f>
        <v>0</v>
      </c>
      <c r="G110" s="262">
        <f t="shared" si="24"/>
        <v>87.88</v>
      </c>
      <c r="H110" s="244">
        <f t="shared" si="20"/>
        <v>146.46666666666667</v>
      </c>
      <c r="I110" s="343">
        <f>VLOOKUP($A110,[2]IODA!$D:$N,11,FALSE)</f>
        <v>50.136780509243572</v>
      </c>
      <c r="J110" s="264">
        <f t="shared" si="25"/>
        <v>96.32988615742309</v>
      </c>
      <c r="K110" s="265">
        <f t="shared" si="26"/>
        <v>1.9213416812765436</v>
      </c>
      <c r="L110" s="286">
        <v>134.22000098228452</v>
      </c>
      <c r="M110" s="263">
        <f t="shared" si="21"/>
        <v>280.68666764895119</v>
      </c>
      <c r="N110" s="263">
        <v>154.05249805002072</v>
      </c>
      <c r="O110" s="264">
        <f t="shared" si="27"/>
        <v>126.63416959893047</v>
      </c>
      <c r="P110" s="265">
        <f t="shared" si="28"/>
        <v>0.82201957905163248</v>
      </c>
      <c r="R110" s="235"/>
      <c r="S110" s="169"/>
      <c r="T110" s="109"/>
    </row>
    <row r="111" spans="1:20" s="3" customFormat="1" x14ac:dyDescent="0.2">
      <c r="A111" s="260" t="s">
        <v>173</v>
      </c>
      <c r="B111" s="261">
        <f>VLOOKUP($A111,'IODA iTunes data'!$A$138:$Z$249,2,FALSE)</f>
        <v>0</v>
      </c>
      <c r="C111" s="261">
        <f>VLOOKUP($A111,'IODA iTunes data'!$A$138:$Z$249,8,FALSE)</f>
        <v>0</v>
      </c>
      <c r="D111" s="261">
        <f>VLOOKUP($A111,'IODA iTunes data'!$A$138:$Z$249,14,FALSE)</f>
        <v>0</v>
      </c>
      <c r="E111" s="261">
        <f>VLOOKUP($A111,'IODA iTunes data'!$A$138:$Z$249,20,FALSE)</f>
        <v>0</v>
      </c>
      <c r="F111" s="261">
        <f>VLOOKUP($A111,'IODA iTunes data'!$A$138:$Z$249,26,FALSE)</f>
        <v>0</v>
      </c>
      <c r="G111" s="262">
        <f t="shared" si="24"/>
        <v>0</v>
      </c>
      <c r="H111" s="244">
        <f t="shared" si="20"/>
        <v>0</v>
      </c>
      <c r="I111" s="343">
        <f>VLOOKUP($A111,[2]IODA!$D:$N,11,FALSE)</f>
        <v>7.0544671320806648E-2</v>
      </c>
      <c r="J111" s="264">
        <f t="shared" si="25"/>
        <v>-7.0544671320806648E-2</v>
      </c>
      <c r="K111" s="265">
        <f t="shared" si="26"/>
        <v>-1</v>
      </c>
      <c r="L111" s="286">
        <v>0</v>
      </c>
      <c r="M111" s="263">
        <f t="shared" si="21"/>
        <v>0</v>
      </c>
      <c r="N111" s="263">
        <v>0.21675868954298522</v>
      </c>
      <c r="O111" s="264">
        <f t="shared" si="27"/>
        <v>-0.21675868954298522</v>
      </c>
      <c r="P111" s="265">
        <f t="shared" si="28"/>
        <v>-1</v>
      </c>
      <c r="R111" s="235"/>
      <c r="S111" s="169"/>
      <c r="T111" s="109"/>
    </row>
    <row r="112" spans="1:20" s="3" customFormat="1" x14ac:dyDescent="0.2">
      <c r="A112" s="260" t="s">
        <v>175</v>
      </c>
      <c r="B112" s="261">
        <f>VLOOKUP($A112,'IODA iTunes data'!$A$138:$Z$249,2,FALSE)</f>
        <v>0</v>
      </c>
      <c r="C112" s="261">
        <f>VLOOKUP($A112,'IODA iTunes data'!$A$138:$Z$249,8,FALSE)</f>
        <v>0</v>
      </c>
      <c r="D112" s="261">
        <f>VLOOKUP($A112,'IODA iTunes data'!$A$138:$Z$249,14,FALSE)</f>
        <v>0</v>
      </c>
      <c r="E112" s="261">
        <f>VLOOKUP($A112,'IODA iTunes data'!$A$138:$Z$249,20,FALSE)</f>
        <v>0</v>
      </c>
      <c r="F112" s="261">
        <f>VLOOKUP($A112,'IODA iTunes data'!$A$138:$Z$249,26,FALSE)</f>
        <v>0</v>
      </c>
      <c r="G112" s="262">
        <f t="shared" si="24"/>
        <v>0</v>
      </c>
      <c r="H112" s="244">
        <f t="shared" si="20"/>
        <v>0</v>
      </c>
      <c r="I112" s="343">
        <f>VLOOKUP($A112,[2]IODA!$D:$N,11,FALSE)</f>
        <v>9.2925536985012833</v>
      </c>
      <c r="J112" s="264">
        <f t="shared" si="25"/>
        <v>-9.2925536985012833</v>
      </c>
      <c r="K112" s="265">
        <f t="shared" si="26"/>
        <v>-1</v>
      </c>
      <c r="L112" s="286">
        <v>51.85000026226043</v>
      </c>
      <c r="M112" s="263">
        <f t="shared" si="21"/>
        <v>51.85000026226043</v>
      </c>
      <c r="N112" s="263">
        <v>28.552713117551548</v>
      </c>
      <c r="O112" s="264">
        <f t="shared" si="27"/>
        <v>23.297287144708882</v>
      </c>
      <c r="P112" s="265">
        <f t="shared" si="28"/>
        <v>0.8159395238131637</v>
      </c>
      <c r="R112" s="235"/>
      <c r="S112" s="169"/>
      <c r="T112" s="109"/>
    </row>
    <row r="113" spans="1:20" s="3" customFormat="1" x14ac:dyDescent="0.2">
      <c r="A113" s="260" t="s">
        <v>176</v>
      </c>
      <c r="B113" s="261">
        <f>VLOOKUP($A113,'IODA iTunes data'!$A$138:$Z$249,2,FALSE)</f>
        <v>161.58000000000001</v>
      </c>
      <c r="C113" s="261">
        <f>VLOOKUP($A113,'IODA iTunes data'!$A$138:$Z$249,8,FALSE)</f>
        <v>152.29</v>
      </c>
      <c r="D113" s="261">
        <f>VLOOKUP($A113,'IODA iTunes data'!$A$138:$Z$249,14,FALSE)</f>
        <v>133.68</v>
      </c>
      <c r="E113" s="261">
        <f>VLOOKUP($A113,'IODA iTunes data'!$A$138:$Z$249,20,FALSE)</f>
        <v>0</v>
      </c>
      <c r="F113" s="261">
        <f>VLOOKUP($A113,'IODA iTunes data'!$A$138:$Z$249,26,FALSE)</f>
        <v>0</v>
      </c>
      <c r="G113" s="262">
        <f t="shared" si="24"/>
        <v>447.55</v>
      </c>
      <c r="H113" s="244">
        <f t="shared" si="20"/>
        <v>745.91666666666674</v>
      </c>
      <c r="I113" s="343">
        <f>VLOOKUP($A113,[2]IODA!$D:$N,11,FALSE)</f>
        <v>617.78812965163058</v>
      </c>
      <c r="J113" s="264">
        <f t="shared" si="25"/>
        <v>128.12853701503616</v>
      </c>
      <c r="K113" s="265">
        <f t="shared" si="26"/>
        <v>0.20739883281229046</v>
      </c>
      <c r="L113" s="286">
        <v>1957.0200098752971</v>
      </c>
      <c r="M113" s="263">
        <f t="shared" si="21"/>
        <v>2702.9366765419636</v>
      </c>
      <c r="N113" s="263">
        <v>1898.2432392310711</v>
      </c>
      <c r="O113" s="264">
        <f t="shared" si="27"/>
        <v>804.69343731089248</v>
      </c>
      <c r="P113" s="265">
        <f t="shared" si="28"/>
        <v>0.42391481801713293</v>
      </c>
      <c r="R113" s="235"/>
      <c r="S113" s="169"/>
      <c r="T113" s="109"/>
    </row>
    <row r="114" spans="1:20" s="3" customFormat="1" x14ac:dyDescent="0.2">
      <c r="A114" s="260" t="s">
        <v>178</v>
      </c>
      <c r="B114" s="261">
        <f>VLOOKUP($A114,'IODA iTunes data'!$A$138:$Z$249,2,FALSE)</f>
        <v>6.1</v>
      </c>
      <c r="C114" s="261">
        <f>VLOOKUP($A114,'IODA iTunes data'!$A$138:$Z$249,8,FALSE)</f>
        <v>1.49</v>
      </c>
      <c r="D114" s="261">
        <f>VLOOKUP($A114,'IODA iTunes data'!$A$138:$Z$249,14,FALSE)</f>
        <v>8.5399999999999991</v>
      </c>
      <c r="E114" s="261">
        <f>VLOOKUP($A114,'IODA iTunes data'!$A$138:$Z$249,20,FALSE)</f>
        <v>0</v>
      </c>
      <c r="F114" s="261">
        <f>VLOOKUP($A114,'IODA iTunes data'!$A$138:$Z$249,26,FALSE)</f>
        <v>0</v>
      </c>
      <c r="G114" s="262">
        <f t="shared" si="24"/>
        <v>16.13</v>
      </c>
      <c r="H114" s="244">
        <f t="shared" si="20"/>
        <v>26.883333333333329</v>
      </c>
      <c r="I114" s="343">
        <f>VLOOKUP($A114,[2]IODA!$D:$N,11,FALSE)</f>
        <v>11.621665654709568</v>
      </c>
      <c r="J114" s="264">
        <f t="shared" si="25"/>
        <v>15.261667678623761</v>
      </c>
      <c r="K114" s="265">
        <f t="shared" si="26"/>
        <v>1.3132082897634485</v>
      </c>
      <c r="L114" s="286">
        <v>78.145000219345093</v>
      </c>
      <c r="M114" s="263">
        <f t="shared" si="21"/>
        <v>105.02833355267842</v>
      </c>
      <c r="N114" s="263">
        <v>35.709245935328006</v>
      </c>
      <c r="O114" s="264">
        <f t="shared" si="27"/>
        <v>69.319087617350419</v>
      </c>
      <c r="P114" s="265">
        <f t="shared" si="28"/>
        <v>1.9412083845985502</v>
      </c>
      <c r="R114" s="235"/>
      <c r="S114" s="169"/>
      <c r="T114" s="109"/>
    </row>
    <row r="115" spans="1:20" s="3" customFormat="1" x14ac:dyDescent="0.2">
      <c r="A115" s="260" t="s">
        <v>183</v>
      </c>
      <c r="B115" s="261">
        <f>VLOOKUP($A115,'IODA iTunes data'!$A$138:$Z$249,2,FALSE)</f>
        <v>2.44</v>
      </c>
      <c r="C115" s="261">
        <f>VLOOKUP($A115,'IODA iTunes data'!$A$138:$Z$249,8,FALSE)</f>
        <v>1.83</v>
      </c>
      <c r="D115" s="261">
        <f>VLOOKUP($A115,'IODA iTunes data'!$A$138:$Z$249,14,FALSE)</f>
        <v>11.86</v>
      </c>
      <c r="E115" s="261">
        <f>VLOOKUP($A115,'IODA iTunes data'!$A$138:$Z$249,20,FALSE)</f>
        <v>0</v>
      </c>
      <c r="F115" s="261">
        <f>VLOOKUP($A115,'IODA iTunes data'!$A$138:$Z$249,26,FALSE)</f>
        <v>0</v>
      </c>
      <c r="G115" s="262">
        <f t="shared" si="24"/>
        <v>16.13</v>
      </c>
      <c r="H115" s="244">
        <f t="shared" si="20"/>
        <v>26.883333333333329</v>
      </c>
      <c r="I115" s="343">
        <f>VLOOKUP($A115,[2]IODA!$D:$N,11,FALSE)</f>
        <v>11.65921369734213</v>
      </c>
      <c r="J115" s="264">
        <f t="shared" si="25"/>
        <v>15.224119635991199</v>
      </c>
      <c r="K115" s="265">
        <f t="shared" si="26"/>
        <v>1.3057586927548757</v>
      </c>
      <c r="L115" s="286">
        <v>36.835000067949309</v>
      </c>
      <c r="M115" s="263">
        <f t="shared" si="21"/>
        <v>63.718333401282635</v>
      </c>
      <c r="N115" s="263">
        <v>35.824617718391906</v>
      </c>
      <c r="O115" s="264">
        <f t="shared" si="27"/>
        <v>27.893715682890729</v>
      </c>
      <c r="P115" s="265">
        <f t="shared" si="28"/>
        <v>0.77861865553335541</v>
      </c>
      <c r="R115" s="235"/>
      <c r="S115" s="169"/>
      <c r="T115" s="109"/>
    </row>
    <row r="116" spans="1:20" s="3" customFormat="1" x14ac:dyDescent="0.2">
      <c r="A116" s="260" t="s">
        <v>185</v>
      </c>
      <c r="B116" s="261">
        <f>VLOOKUP($A116,'IODA iTunes data'!$A$138:$Z$249,2,FALSE)</f>
        <v>2076.402</v>
      </c>
      <c r="C116" s="261">
        <f>VLOOKUP($A116,'IODA iTunes data'!$A$138:$Z$249,8,FALSE)</f>
        <v>2121.7060000000001</v>
      </c>
      <c r="D116" s="261">
        <f>VLOOKUP($A116,'IODA iTunes data'!$A$138:$Z$249,14,FALSE)</f>
        <v>1845.684</v>
      </c>
      <c r="E116" s="261">
        <f>VLOOKUP($A116,'IODA iTunes data'!$A$138:$Z$249,20,FALSE)</f>
        <v>0</v>
      </c>
      <c r="F116" s="261">
        <f>VLOOKUP($A116,'IODA iTunes data'!$A$138:$Z$249,26,FALSE)</f>
        <v>0</v>
      </c>
      <c r="G116" s="262">
        <f t="shared" si="24"/>
        <v>6043.7920000000004</v>
      </c>
      <c r="H116" s="244">
        <f t="shared" si="20"/>
        <v>10072.986666666668</v>
      </c>
      <c r="I116" s="343">
        <f>VLOOKUP($A116,[2]IODA!$D:$N,11,FALSE)</f>
        <v>6098.8558363264383</v>
      </c>
      <c r="J116" s="264">
        <f t="shared" si="25"/>
        <v>3974.1308303402293</v>
      </c>
      <c r="K116" s="265">
        <f t="shared" si="26"/>
        <v>0.65161908020013015</v>
      </c>
      <c r="L116" s="286">
        <v>16955.21293351052</v>
      </c>
      <c r="M116" s="263">
        <f t="shared" si="21"/>
        <v>27028.199600177188</v>
      </c>
      <c r="N116" s="263">
        <v>18739.615254310454</v>
      </c>
      <c r="O116" s="264">
        <f t="shared" si="27"/>
        <v>8288.5843458667332</v>
      </c>
      <c r="P116" s="265">
        <f t="shared" si="28"/>
        <v>0.4423028025594179</v>
      </c>
      <c r="R116" s="235"/>
      <c r="S116" s="169"/>
      <c r="T116" s="109"/>
    </row>
    <row r="117" spans="1:20" s="3" customFormat="1" x14ac:dyDescent="0.2">
      <c r="A117" s="260" t="s">
        <v>187</v>
      </c>
      <c r="B117" s="261">
        <f>VLOOKUP($A117,'IODA iTunes data'!$A$138:$Z$249,2,FALSE)</f>
        <v>0</v>
      </c>
      <c r="C117" s="261">
        <f>VLOOKUP($A117,'IODA iTunes data'!$A$138:$Z$249,8,FALSE)</f>
        <v>0</v>
      </c>
      <c r="D117" s="261">
        <f>VLOOKUP($A117,'IODA iTunes data'!$A$138:$Z$249,14,FALSE)</f>
        <v>0</v>
      </c>
      <c r="E117" s="261">
        <f>VLOOKUP($A117,'IODA iTunes data'!$A$138:$Z$249,20,FALSE)</f>
        <v>0</v>
      </c>
      <c r="F117" s="261">
        <f>VLOOKUP($A117,'IODA iTunes data'!$A$138:$Z$249,26,FALSE)</f>
        <v>0</v>
      </c>
      <c r="G117" s="262">
        <f t="shared" si="24"/>
        <v>0</v>
      </c>
      <c r="H117" s="244">
        <f t="shared" si="20"/>
        <v>0</v>
      </c>
      <c r="I117" s="343">
        <f>VLOOKUP($A117,[2]IODA!$D:$N,11,FALSE)</f>
        <v>1.8739850615253315</v>
      </c>
      <c r="J117" s="264">
        <f t="shared" si="25"/>
        <v>-1.8739850615253315</v>
      </c>
      <c r="K117" s="265">
        <f t="shared" si="26"/>
        <v>-1</v>
      </c>
      <c r="L117" s="286">
        <v>3.0500000715255746</v>
      </c>
      <c r="M117" s="263">
        <f t="shared" si="21"/>
        <v>3.0500000715255746</v>
      </c>
      <c r="N117" s="263">
        <v>5.7580897118667957</v>
      </c>
      <c r="O117" s="264">
        <f t="shared" si="27"/>
        <v>-2.7080896403412211</v>
      </c>
      <c r="P117" s="265">
        <f t="shared" si="28"/>
        <v>-0.47031042860623434</v>
      </c>
      <c r="R117" s="235"/>
      <c r="S117" s="169"/>
      <c r="T117" s="109"/>
    </row>
    <row r="118" spans="1:20" s="3" customFormat="1" x14ac:dyDescent="0.2">
      <c r="A118" s="260" t="s">
        <v>189</v>
      </c>
      <c r="B118" s="261">
        <f>VLOOKUP($A118,'IODA iTunes data'!$A$138:$Z$249,2,FALSE)</f>
        <v>0</v>
      </c>
      <c r="C118" s="261">
        <f>VLOOKUP($A118,'IODA iTunes data'!$A$138:$Z$249,8,FALSE)</f>
        <v>0.6</v>
      </c>
      <c r="D118" s="261">
        <f>VLOOKUP($A118,'IODA iTunes data'!$A$138:$Z$249,14,FALSE)</f>
        <v>17.399999999999999</v>
      </c>
      <c r="E118" s="261">
        <f>VLOOKUP($A118,'IODA iTunes data'!$A$138:$Z$249,20,FALSE)</f>
        <v>0</v>
      </c>
      <c r="F118" s="261">
        <f>VLOOKUP($A118,'IODA iTunes data'!$A$138:$Z$249,26,FALSE)</f>
        <v>0</v>
      </c>
      <c r="G118" s="262">
        <f t="shared" si="24"/>
        <v>18</v>
      </c>
      <c r="H118" s="244">
        <f t="shared" si="20"/>
        <v>45</v>
      </c>
      <c r="I118" s="343">
        <f>VLOOKUP($A118,[2]IODA!$D:$N,11,FALSE)</f>
        <v>5.0041204397267425</v>
      </c>
      <c r="J118" s="264">
        <f t="shared" si="25"/>
        <v>39.995879560273259</v>
      </c>
      <c r="K118" s="265">
        <f t="shared" si="26"/>
        <v>7.9925893155475878</v>
      </c>
      <c r="L118" s="286">
        <v>24.450000226497647</v>
      </c>
      <c r="M118" s="263">
        <f t="shared" si="21"/>
        <v>69.45000022649765</v>
      </c>
      <c r="N118" s="263">
        <v>15.375882664443218</v>
      </c>
      <c r="O118" s="264">
        <f t="shared" si="27"/>
        <v>54.074117562054433</v>
      </c>
      <c r="P118" s="265">
        <f t="shared" si="28"/>
        <v>3.5168138793814432</v>
      </c>
      <c r="R118" s="235"/>
      <c r="S118" s="169"/>
      <c r="T118" s="109"/>
    </row>
    <row r="119" spans="1:20" s="3" customFormat="1" x14ac:dyDescent="0.2">
      <c r="A119" s="260" t="s">
        <v>191</v>
      </c>
      <c r="B119" s="261">
        <f>VLOOKUP($A119,'IODA iTunes data'!$A$138:$Z$249,2,FALSE)</f>
        <v>52.66</v>
      </c>
      <c r="C119" s="261">
        <f>VLOOKUP($A119,'IODA iTunes data'!$A$138:$Z$249,8,FALSE)</f>
        <v>21.28</v>
      </c>
      <c r="D119" s="261">
        <f>VLOOKUP($A119,'IODA iTunes data'!$A$138:$Z$249,14,FALSE)</f>
        <v>82.62</v>
      </c>
      <c r="E119" s="261">
        <f>VLOOKUP($A119,'IODA iTunes data'!$A$138:$Z$249,20,FALSE)</f>
        <v>0</v>
      </c>
      <c r="F119" s="261">
        <f>VLOOKUP($A119,'IODA iTunes data'!$A$138:$Z$249,26,FALSE)</f>
        <v>0</v>
      </c>
      <c r="G119" s="262">
        <f t="shared" si="24"/>
        <v>156.56</v>
      </c>
      <c r="H119" s="244">
        <f t="shared" si="20"/>
        <v>260.93333333333334</v>
      </c>
      <c r="I119" s="343">
        <f>VLOOKUP($A119,[2]IODA!$D:$N,11,FALSE)</f>
        <v>176.88279817601699</v>
      </c>
      <c r="J119" s="264">
        <f t="shared" si="25"/>
        <v>84.050535157316347</v>
      </c>
      <c r="K119" s="265">
        <f t="shared" si="26"/>
        <v>0.47517642203781296</v>
      </c>
      <c r="L119" s="286">
        <v>390.01000273227703</v>
      </c>
      <c r="M119" s="263">
        <f t="shared" si="21"/>
        <v>650.94333606561031</v>
      </c>
      <c r="N119" s="263">
        <v>543.49793992195418</v>
      </c>
      <c r="O119" s="264">
        <f t="shared" si="27"/>
        <v>107.44539614365613</v>
      </c>
      <c r="P119" s="265">
        <f t="shared" si="28"/>
        <v>0.19769237057105532</v>
      </c>
      <c r="R119" s="235"/>
      <c r="S119" s="169"/>
      <c r="T119" s="109"/>
    </row>
    <row r="120" spans="1:20" s="3" customFormat="1" x14ac:dyDescent="0.2">
      <c r="A120" s="260" t="s">
        <v>193</v>
      </c>
      <c r="B120" s="261">
        <f>VLOOKUP($A120,'IODA iTunes data'!$A$138:$Z$249,2,FALSE)</f>
        <v>0</v>
      </c>
      <c r="C120" s="261">
        <f>VLOOKUP($A120,'IODA iTunes data'!$A$138:$Z$249,8,FALSE)</f>
        <v>0</v>
      </c>
      <c r="D120" s="261">
        <f>VLOOKUP($A120,'IODA iTunes data'!$A$138:$Z$249,14,FALSE)</f>
        <v>0</v>
      </c>
      <c r="E120" s="261">
        <f>VLOOKUP($A120,'IODA iTunes data'!$A$138:$Z$249,20,FALSE)</f>
        <v>0</v>
      </c>
      <c r="F120" s="261">
        <f>VLOOKUP($A120,'IODA iTunes data'!$A$138:$Z$249,26,FALSE)</f>
        <v>0</v>
      </c>
      <c r="G120" s="262">
        <f t="shared" si="24"/>
        <v>0</v>
      </c>
      <c r="H120" s="244">
        <f t="shared" si="20"/>
        <v>0</v>
      </c>
      <c r="I120" s="343">
        <f>VLOOKUP($A120,[2]IODA!$D:$N,11,FALSE)</f>
        <v>1.3961018160045042</v>
      </c>
      <c r="J120" s="264">
        <f t="shared" si="25"/>
        <v>-1.3961018160045042</v>
      </c>
      <c r="K120" s="265">
        <f t="shared" si="26"/>
        <v>-1</v>
      </c>
      <c r="L120" s="286">
        <v>26.400000572204583</v>
      </c>
      <c r="M120" s="263">
        <f t="shared" si="21"/>
        <v>26.400000572204583</v>
      </c>
      <c r="N120" s="263">
        <v>4.289724431907068</v>
      </c>
      <c r="O120" s="264">
        <f t="shared" si="27"/>
        <v>22.110276140297515</v>
      </c>
      <c r="P120" s="265">
        <f t="shared" si="28"/>
        <v>5.1542416048547963</v>
      </c>
      <c r="R120" s="235"/>
      <c r="S120" s="169"/>
      <c r="T120" s="109"/>
    </row>
    <row r="121" spans="1:20" s="3" customFormat="1" x14ac:dyDescent="0.2">
      <c r="A121" s="260" t="s">
        <v>194</v>
      </c>
      <c r="B121" s="261">
        <f>VLOOKUP($A121,'IODA iTunes data'!$A$138:$Z$249,2,FALSE)</f>
        <v>0</v>
      </c>
      <c r="C121" s="261">
        <f>VLOOKUP($A121,'IODA iTunes data'!$A$138:$Z$249,8,FALSE)</f>
        <v>0.61</v>
      </c>
      <c r="D121" s="261">
        <f>VLOOKUP($A121,'IODA iTunes data'!$A$138:$Z$249,14,FALSE)</f>
        <v>1.22</v>
      </c>
      <c r="E121" s="261">
        <f>VLOOKUP($A121,'IODA iTunes data'!$A$138:$Z$249,20,FALSE)</f>
        <v>0</v>
      </c>
      <c r="F121" s="261">
        <f>VLOOKUP($A121,'IODA iTunes data'!$A$138:$Z$249,26,FALSE)</f>
        <v>0</v>
      </c>
      <c r="G121" s="262">
        <f t="shared" si="24"/>
        <v>1.83</v>
      </c>
      <c r="H121" s="244">
        <f t="shared" si="20"/>
        <v>4.5750000000000002</v>
      </c>
      <c r="I121" s="343">
        <f>VLOOKUP($A121,[2]IODA!$D:$N,11,FALSE)</f>
        <v>12.562640589594993</v>
      </c>
      <c r="J121" s="264">
        <f t="shared" si="25"/>
        <v>-7.9876405895949931</v>
      </c>
      <c r="K121" s="265">
        <f t="shared" si="26"/>
        <v>-0.63582497108217484</v>
      </c>
      <c r="L121" s="286">
        <v>59.100000143051169</v>
      </c>
      <c r="M121" s="263">
        <f t="shared" si="21"/>
        <v>63.675000143051172</v>
      </c>
      <c r="N121" s="263">
        <v>38.600527303002373</v>
      </c>
      <c r="O121" s="264">
        <f t="shared" si="27"/>
        <v>25.074472840048799</v>
      </c>
      <c r="P121" s="265">
        <f t="shared" si="28"/>
        <v>0.64958886813182193</v>
      </c>
      <c r="R121" s="235"/>
      <c r="S121" s="169"/>
      <c r="T121" s="109"/>
    </row>
    <row r="122" spans="1:20" s="3" customFormat="1" x14ac:dyDescent="0.2">
      <c r="A122" s="260" t="s">
        <v>195</v>
      </c>
      <c r="B122" s="261">
        <f>VLOOKUP($A122,'IODA iTunes data'!$A$138:$Z$249,2,FALSE)</f>
        <v>80.760000000000005</v>
      </c>
      <c r="C122" s="261">
        <f>VLOOKUP($A122,'IODA iTunes data'!$A$138:$Z$249,8,FALSE)</f>
        <v>150.66</v>
      </c>
      <c r="D122" s="261">
        <f>VLOOKUP($A122,'IODA iTunes data'!$A$138:$Z$249,14,FALSE)</f>
        <v>36.36</v>
      </c>
      <c r="E122" s="261">
        <f>VLOOKUP($A122,'IODA iTunes data'!$A$138:$Z$249,20,FALSE)</f>
        <v>0</v>
      </c>
      <c r="F122" s="261">
        <f>VLOOKUP($A122,'IODA iTunes data'!$A$138:$Z$249,26,FALSE)</f>
        <v>0</v>
      </c>
      <c r="G122" s="262">
        <f t="shared" si="24"/>
        <v>267.78000000000003</v>
      </c>
      <c r="H122" s="244">
        <f t="shared" si="20"/>
        <v>446.3</v>
      </c>
      <c r="I122" s="343">
        <f>VLOOKUP($A122,[2]IODA!$D:$N,11,FALSE)</f>
        <v>259.04344831881224</v>
      </c>
      <c r="J122" s="264">
        <f t="shared" si="25"/>
        <v>187.25655168118777</v>
      </c>
      <c r="K122" s="265">
        <f t="shared" si="26"/>
        <v>0.72287700343892014</v>
      </c>
      <c r="L122" s="286">
        <v>714.39000880718265</v>
      </c>
      <c r="M122" s="263">
        <f t="shared" si="21"/>
        <v>1160.6900088071827</v>
      </c>
      <c r="N122" s="263">
        <v>795.94840178553261</v>
      </c>
      <c r="O122" s="264">
        <f t="shared" si="27"/>
        <v>364.74160702165011</v>
      </c>
      <c r="P122" s="265">
        <f t="shared" si="28"/>
        <v>0.45824780375641649</v>
      </c>
      <c r="R122" s="235"/>
      <c r="S122" s="169"/>
      <c r="T122" s="109"/>
    </row>
    <row r="123" spans="1:20" s="3" customFormat="1" x14ac:dyDescent="0.2">
      <c r="A123" s="260" t="s">
        <v>196</v>
      </c>
      <c r="B123" s="261">
        <f>VLOOKUP($A123,'IODA iTunes data'!$A$138:$Z$249,2,FALSE)</f>
        <v>0</v>
      </c>
      <c r="C123" s="261">
        <f>VLOOKUP($A123,'IODA iTunes data'!$A$138:$Z$249,8,FALSE)</f>
        <v>6</v>
      </c>
      <c r="D123" s="261">
        <f>VLOOKUP($A123,'IODA iTunes data'!$A$138:$Z$249,14,FALSE)</f>
        <v>0.6</v>
      </c>
      <c r="E123" s="261">
        <f>VLOOKUP($A123,'IODA iTunes data'!$A$138:$Z$249,20,FALSE)</f>
        <v>0</v>
      </c>
      <c r="F123" s="261">
        <f>VLOOKUP($A123,'IODA iTunes data'!$A$138:$Z$249,26,FALSE)</f>
        <v>0</v>
      </c>
      <c r="G123" s="262">
        <f t="shared" si="24"/>
        <v>6.6</v>
      </c>
      <c r="H123" s="244">
        <f t="shared" si="20"/>
        <v>16.5</v>
      </c>
      <c r="I123" s="343">
        <f>VLOOKUP($A123,[2]IODA!$D:$N,11,FALSE)</f>
        <v>2.9662897389772782</v>
      </c>
      <c r="J123" s="264">
        <f t="shared" si="25"/>
        <v>13.533710261022723</v>
      </c>
      <c r="K123" s="265">
        <f t="shared" si="26"/>
        <v>4.5625044927974212</v>
      </c>
      <c r="L123" s="286">
        <v>9.2900001605351754</v>
      </c>
      <c r="M123" s="263">
        <f t="shared" si="21"/>
        <v>25.790000160535175</v>
      </c>
      <c r="N123" s="263">
        <v>9.1143535661477983</v>
      </c>
      <c r="O123" s="264">
        <f t="shared" si="27"/>
        <v>16.675646594387377</v>
      </c>
      <c r="P123" s="265">
        <f t="shared" si="28"/>
        <v>1.8296027769126118</v>
      </c>
      <c r="R123" s="235"/>
      <c r="S123" s="169"/>
      <c r="T123" s="109"/>
    </row>
    <row r="124" spans="1:20" s="3" customFormat="1" x14ac:dyDescent="0.2">
      <c r="A124" s="260" t="s">
        <v>199</v>
      </c>
      <c r="B124" s="261">
        <f>VLOOKUP($A124,'IODA iTunes data'!$A$138:$Z$249,2,FALSE)</f>
        <v>10.37</v>
      </c>
      <c r="C124" s="261">
        <f>VLOOKUP($A124,'IODA iTunes data'!$A$138:$Z$249,8,FALSE)</f>
        <v>1.83</v>
      </c>
      <c r="D124" s="261">
        <f>VLOOKUP($A124,'IODA iTunes data'!$A$138:$Z$249,14,FALSE)</f>
        <v>1.22</v>
      </c>
      <c r="E124" s="261">
        <f>VLOOKUP($A124,'IODA iTunes data'!$A$138:$Z$249,20,FALSE)</f>
        <v>0</v>
      </c>
      <c r="F124" s="261">
        <f>VLOOKUP($A124,'IODA iTunes data'!$A$138:$Z$249,26,FALSE)</f>
        <v>0</v>
      </c>
      <c r="G124" s="262">
        <f t="shared" si="24"/>
        <v>13.42</v>
      </c>
      <c r="H124" s="244">
        <f t="shared" si="20"/>
        <v>22.366666666666667</v>
      </c>
      <c r="I124" s="343">
        <f>VLOOKUP($A124,[2]IODA!$D:$N,11,FALSE)</f>
        <v>15.31957185881587</v>
      </c>
      <c r="J124" s="264">
        <f t="shared" si="25"/>
        <v>7.0470948078507973</v>
      </c>
      <c r="K124" s="265">
        <f t="shared" si="26"/>
        <v>0.46000598925324693</v>
      </c>
      <c r="L124" s="286">
        <v>28.606666902701058</v>
      </c>
      <c r="M124" s="263">
        <f t="shared" si="21"/>
        <v>50.973333569367725</v>
      </c>
      <c r="N124" s="263">
        <v>47.071596738691156</v>
      </c>
      <c r="O124" s="264">
        <f t="shared" si="27"/>
        <v>3.901736830676569</v>
      </c>
      <c r="P124" s="265">
        <f t="shared" si="28"/>
        <v>8.2889408921824018E-2</v>
      </c>
      <c r="R124" s="235"/>
      <c r="S124" s="169"/>
      <c r="T124" s="109"/>
    </row>
    <row r="125" spans="1:20" s="3" customFormat="1" x14ac:dyDescent="0.2">
      <c r="A125" s="260" t="s">
        <v>200</v>
      </c>
      <c r="B125" s="261">
        <f>VLOOKUP($A125,'IODA iTunes data'!$A$138:$Z$249,2,FALSE)</f>
        <v>2.44</v>
      </c>
      <c r="C125" s="261">
        <f>VLOOKUP($A125,'IODA iTunes data'!$A$138:$Z$249,8,FALSE)</f>
        <v>1.83</v>
      </c>
      <c r="D125" s="261">
        <f>VLOOKUP($A125,'IODA iTunes data'!$A$138:$Z$249,14,FALSE)</f>
        <v>12.81</v>
      </c>
      <c r="E125" s="261">
        <f>VLOOKUP($A125,'IODA iTunes data'!$A$138:$Z$249,20,FALSE)</f>
        <v>0</v>
      </c>
      <c r="F125" s="261">
        <f>VLOOKUP($A125,'IODA iTunes data'!$A$138:$Z$249,26,FALSE)</f>
        <v>0</v>
      </c>
      <c r="G125" s="262">
        <f>SUM(B125:F125)</f>
        <v>17.079999999999998</v>
      </c>
      <c r="H125" s="244">
        <f t="shared" si="20"/>
        <v>28.466666666666661</v>
      </c>
      <c r="I125" s="343">
        <f>VLOOKUP($A125,[2]IODA!$D:$N,11,FALSE)</f>
        <v>15.245613677901254</v>
      </c>
      <c r="J125" s="264">
        <f t="shared" si="25"/>
        <v>13.221052988765408</v>
      </c>
      <c r="K125" s="265">
        <f t="shared" si="26"/>
        <v>0.86720372613990093</v>
      </c>
      <c r="L125" s="286">
        <v>67.980000376701341</v>
      </c>
      <c r="M125" s="263">
        <f t="shared" si="21"/>
        <v>96.446667043367995</v>
      </c>
      <c r="N125" s="263">
        <v>46.844349547997858</v>
      </c>
      <c r="O125" s="264">
        <f>M125-N125</f>
        <v>49.602317495370137</v>
      </c>
      <c r="P125" s="265">
        <f t="shared" si="28"/>
        <v>1.0588751466075199</v>
      </c>
      <c r="R125" s="235"/>
      <c r="S125" s="169"/>
      <c r="T125" s="109"/>
    </row>
    <row r="126" spans="1:20" ht="13.5" thickBot="1" x14ac:dyDescent="0.25">
      <c r="A126" s="28"/>
      <c r="B126" s="34"/>
      <c r="C126" s="34" t="s">
        <v>91</v>
      </c>
      <c r="D126" s="29"/>
      <c r="E126" s="29"/>
      <c r="F126" s="29"/>
      <c r="G126" s="29"/>
      <c r="H126" s="56"/>
      <c r="I126" s="79"/>
      <c r="J126" s="53"/>
      <c r="K126" s="115"/>
      <c r="L126" s="287"/>
      <c r="M126" s="284"/>
      <c r="N126" s="29"/>
      <c r="O126" s="29"/>
      <c r="P126" s="83"/>
    </row>
    <row r="127" spans="1:20" ht="13.5" thickBot="1" x14ac:dyDescent="0.25">
      <c r="A127" s="30" t="s">
        <v>15</v>
      </c>
      <c r="B127" s="37">
        <f t="shared" ref="B127:G127" si="29">SUM(B4,B8:B9,B14,B18,B22,B27,B30:B31,B34:B36,B49,B67,B81)</f>
        <v>675674.88137099997</v>
      </c>
      <c r="C127" s="37">
        <f t="shared" si="29"/>
        <v>823801.90226000012</v>
      </c>
      <c r="D127" s="37">
        <f t="shared" si="29"/>
        <v>699783.94416200009</v>
      </c>
      <c r="E127" s="37">
        <f t="shared" si="29"/>
        <v>0</v>
      </c>
      <c r="F127" s="37">
        <f t="shared" si="29"/>
        <v>0</v>
      </c>
      <c r="G127" s="37">
        <f t="shared" si="29"/>
        <v>2199260.7277929997</v>
      </c>
      <c r="H127" s="37">
        <f>SUM(H4,H8:H9,H14,H18,H22,H27,H30:H31,H34:H36,H49,H67,H81)</f>
        <v>3665434.5463216673</v>
      </c>
      <c r="I127" s="37">
        <f>SUM(I4,I8:I9,I14,I18,I22,I27,I30:I31,I34:I36,I49,I67,I81)</f>
        <v>3033290.6999999993</v>
      </c>
      <c r="J127" s="54">
        <f>H127-I127</f>
        <v>632143.84632166801</v>
      </c>
      <c r="K127" s="116">
        <f>J127/I127</f>
        <v>0.20840199929458397</v>
      </c>
      <c r="L127" s="84">
        <f>SUM(L4,L8:L9,L14,L18,L22,L27,L30:L31,L34:L36,L49,L67,L81)</f>
        <v>6139474.6192332581</v>
      </c>
      <c r="M127" s="37">
        <f>SUM(M4,M8:M9,M14,M18,M22,M27,M30:M31,M34:M36,M49,M67,M81)</f>
        <v>9804909.1655549221</v>
      </c>
      <c r="N127" s="37">
        <f>SUM(N4,N8:N9,N14,N18,N22,N27,N30:N31,N34:N36,N49,N67,N81)</f>
        <v>9239335.0402169991</v>
      </c>
      <c r="O127" s="54">
        <f>M127-N127</f>
        <v>565574.12533792295</v>
      </c>
      <c r="P127" s="38">
        <f>O127/N127</f>
        <v>6.1213726190909909E-2</v>
      </c>
      <c r="S127" s="109">
        <f>I127-100000</f>
        <v>2933290.6999999993</v>
      </c>
    </row>
    <row r="129" spans="1:11" ht="15" x14ac:dyDescent="0.25">
      <c r="A129" s="408" t="s">
        <v>9</v>
      </c>
      <c r="B129" s="274">
        <f>B$4</f>
        <v>367582.006895</v>
      </c>
      <c r="C129" s="274">
        <f t="shared" ref="C129:K129" si="30">C$4</f>
        <v>508952.72846300004</v>
      </c>
      <c r="D129" s="274">
        <f t="shared" si="30"/>
        <v>406410.93327499996</v>
      </c>
      <c r="E129" s="274">
        <f t="shared" si="30"/>
        <v>0</v>
      </c>
      <c r="F129" s="274">
        <f t="shared" si="30"/>
        <v>0</v>
      </c>
      <c r="G129" s="274">
        <f t="shared" si="30"/>
        <v>1282945.668633</v>
      </c>
      <c r="H129" s="274">
        <f t="shared" si="30"/>
        <v>2138242.7810550001</v>
      </c>
      <c r="I129" s="274">
        <f t="shared" si="30"/>
        <v>1683967.9890447056</v>
      </c>
      <c r="J129" s="274">
        <f t="shared" si="30"/>
        <v>454274.79201029451</v>
      </c>
      <c r="K129" s="274">
        <f t="shared" si="30"/>
        <v>0.26976450559965753</v>
      </c>
    </row>
    <row r="130" spans="1:11" ht="15" x14ac:dyDescent="0.25">
      <c r="A130" s="409" t="s">
        <v>24</v>
      </c>
      <c r="B130" s="274">
        <f>B$8+B$9+B$14+B$18+B$22+B$27+B$36</f>
        <v>176341.65993600001</v>
      </c>
      <c r="C130" s="274">
        <f t="shared" ref="C130:K130" si="31">C$8+C$9+C$14+C$18+C$22+C$27+C$36</f>
        <v>184198.82613599999</v>
      </c>
      <c r="D130" s="274">
        <f t="shared" si="31"/>
        <v>169288.10516799998</v>
      </c>
      <c r="E130" s="274">
        <f t="shared" si="31"/>
        <v>0</v>
      </c>
      <c r="F130" s="274">
        <f t="shared" si="31"/>
        <v>0</v>
      </c>
      <c r="G130" s="274">
        <f t="shared" si="31"/>
        <v>529828.59123999998</v>
      </c>
      <c r="H130" s="274">
        <f t="shared" si="31"/>
        <v>883047.65206666675</v>
      </c>
      <c r="I130" s="274">
        <f t="shared" si="31"/>
        <v>745469.43528684054</v>
      </c>
      <c r="J130" s="274">
        <f t="shared" si="31"/>
        <v>137578.21677982603</v>
      </c>
      <c r="K130" s="274">
        <f t="shared" si="31"/>
        <v>1.3318126911196393</v>
      </c>
    </row>
    <row r="131" spans="1:11" ht="15" x14ac:dyDescent="0.25">
      <c r="A131" s="409" t="s">
        <v>26</v>
      </c>
      <c r="B131" s="274">
        <f>B$30+B$31+B$34+B$35+B$49+B$67+B$81</f>
        <v>131751.21453999999</v>
      </c>
      <c r="C131" s="274">
        <f t="shared" ref="C131:K131" si="32">C$30+C$31+C$34+C$35+C$49+C$67+C$81</f>
        <v>130650.34766100001</v>
      </c>
      <c r="D131" s="274">
        <f t="shared" si="32"/>
        <v>124084.905719</v>
      </c>
      <c r="E131" s="274">
        <f t="shared" si="32"/>
        <v>0</v>
      </c>
      <c r="F131" s="274">
        <f t="shared" si="32"/>
        <v>0</v>
      </c>
      <c r="G131" s="274">
        <f t="shared" si="32"/>
        <v>386486.46792000002</v>
      </c>
      <c r="H131" s="274">
        <f t="shared" si="32"/>
        <v>644144.11320000014</v>
      </c>
      <c r="I131" s="274">
        <f t="shared" si="32"/>
        <v>603853.27566845331</v>
      </c>
      <c r="J131" s="274">
        <f t="shared" si="32"/>
        <v>40290.83753154656</v>
      </c>
      <c r="K131" s="274">
        <f t="shared" si="32"/>
        <v>2.6464163700005821</v>
      </c>
    </row>
  </sheetData>
  <mergeCells count="2">
    <mergeCell ref="A1:K1"/>
    <mergeCell ref="M1:P1"/>
  </mergeCells>
  <pageMargins left="0" right="0" top="0.25" bottom="0.25" header="0.3" footer="0.3"/>
  <pageSetup scale="8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U131"/>
  <sheetViews>
    <sheetView workbookViewId="0">
      <selection sqref="A1:K1"/>
    </sheetView>
  </sheetViews>
  <sheetFormatPr defaultColWidth="8.85546875" defaultRowHeight="12.75" x14ac:dyDescent="0.2"/>
  <cols>
    <col min="1" max="1" width="15.85546875" customWidth="1"/>
    <col min="2" max="2" width="9.7109375" bestFit="1" customWidth="1"/>
    <col min="3" max="3" width="9.28515625" customWidth="1"/>
    <col min="4" max="4" width="9.85546875" customWidth="1"/>
    <col min="5" max="5" width="8.7109375" bestFit="1" customWidth="1"/>
    <col min="6" max="6" width="9" customWidth="1"/>
    <col min="7" max="7" width="12" customWidth="1"/>
    <col min="8" max="8" width="11" customWidth="1"/>
    <col min="9" max="9" width="10" bestFit="1" customWidth="1"/>
    <col min="10" max="10" width="10.28515625" bestFit="1" customWidth="1"/>
    <col min="11" max="11" width="9.42578125" bestFit="1" customWidth="1"/>
    <col min="12" max="12" width="12.28515625" style="78" hidden="1" customWidth="1"/>
    <col min="13" max="14" width="9.7109375" hidden="1" customWidth="1"/>
    <col min="15" max="16" width="10.28515625" hidden="1" customWidth="1"/>
    <col min="18" max="18" width="0" hidden="1" customWidth="1"/>
    <col min="19" max="19" width="12.28515625" hidden="1" customWidth="1"/>
    <col min="20" max="21" width="9.7109375" bestFit="1" customWidth="1"/>
  </cols>
  <sheetData>
    <row r="1" spans="1:21" ht="15.75" thickBot="1" x14ac:dyDescent="0.3">
      <c r="A1" s="568" t="s">
        <v>829</v>
      </c>
      <c r="B1" s="569"/>
      <c r="C1" s="569"/>
      <c r="D1" s="569"/>
      <c r="E1" s="569"/>
      <c r="F1" s="569"/>
      <c r="G1" s="569"/>
      <c r="H1" s="569"/>
      <c r="I1" s="569"/>
      <c r="J1" s="569"/>
      <c r="K1" s="570"/>
      <c r="L1" s="276"/>
      <c r="M1" s="568" t="s">
        <v>739</v>
      </c>
      <c r="N1" s="569"/>
      <c r="O1" s="569"/>
      <c r="P1" s="570"/>
    </row>
    <row r="2" spans="1:21" ht="48.75" thickBot="1" x14ac:dyDescent="0.25">
      <c r="A2" s="32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110" t="s">
        <v>82</v>
      </c>
      <c r="J2" s="69" t="s">
        <v>80</v>
      </c>
      <c r="K2" s="70" t="s">
        <v>81</v>
      </c>
      <c r="L2" s="277" t="s">
        <v>740</v>
      </c>
      <c r="M2" s="150" t="s">
        <v>746</v>
      </c>
      <c r="N2" s="151" t="s">
        <v>747</v>
      </c>
      <c r="O2" s="151" t="s">
        <v>748</v>
      </c>
      <c r="P2" s="152" t="s">
        <v>750</v>
      </c>
    </row>
    <row r="3" spans="1:21" x14ac:dyDescent="0.2">
      <c r="A3" s="102" t="s">
        <v>8</v>
      </c>
      <c r="B3" s="103"/>
      <c r="C3" s="103"/>
      <c r="D3" s="103"/>
      <c r="E3" s="62"/>
      <c r="F3" s="104"/>
      <c r="G3" s="62"/>
      <c r="H3" s="62"/>
      <c r="I3" s="99"/>
      <c r="J3" s="66"/>
      <c r="K3" s="113"/>
      <c r="L3" s="278"/>
      <c r="M3" s="80"/>
      <c r="N3" s="81"/>
      <c r="O3" s="81"/>
      <c r="P3" s="82"/>
    </row>
    <row r="4" spans="1:21" x14ac:dyDescent="0.2">
      <c r="A4" s="240" t="s">
        <v>9</v>
      </c>
      <c r="B4" s="253">
        <f>'IRIS iTunes data'!B116</f>
        <v>26144.65123040292</v>
      </c>
      <c r="C4" s="253">
        <f>'IRIS iTunes data'!H116</f>
        <v>27773.358327402984</v>
      </c>
      <c r="D4" s="253">
        <f>'IRIS iTunes data'!N116</f>
        <v>27073.055935802637</v>
      </c>
      <c r="E4" s="253">
        <f>'IRIS iTunes data'!T116</f>
        <v>0</v>
      </c>
      <c r="F4" s="253">
        <f>'IRIS iTunes data'!Z116</f>
        <v>0</v>
      </c>
      <c r="G4" s="254">
        <f>SUM(B4:F4)</f>
        <v>80991.065493608534</v>
      </c>
      <c r="H4" s="242">
        <f>IFERROR((((B4+C4+D4+E4+F4))/COUNTIF(B4:F4, "&gt;0")*5),0)</f>
        <v>134985.10915601422</v>
      </c>
      <c r="I4" s="344">
        <f>SUM(I5:I7)</f>
        <v>130392.67208273841</v>
      </c>
      <c r="J4" s="246">
        <f>H4-I4</f>
        <v>4592.4370732758107</v>
      </c>
      <c r="K4" s="247">
        <f>J4/I4</f>
        <v>3.5220054930400993E-2</v>
      </c>
      <c r="L4" s="285">
        <v>269547.05999622523</v>
      </c>
      <c r="M4" s="255">
        <f>L4+H4</f>
        <v>404532.16915223945</v>
      </c>
      <c r="N4" s="255">
        <v>417613.54776231229</v>
      </c>
      <c r="O4" s="246">
        <f>M4-N4</f>
        <v>-13081.378610072832</v>
      </c>
      <c r="P4" s="247">
        <f>O4/N4</f>
        <v>-3.1324124133822857E-2</v>
      </c>
      <c r="R4">
        <f>I4/$I$127</f>
        <v>0.5874917247894369</v>
      </c>
      <c r="S4" s="163">
        <f>R4*$S$127</f>
        <v>115705.37896300248</v>
      </c>
      <c r="T4" s="109"/>
      <c r="U4" s="109"/>
    </row>
    <row r="5" spans="1:21" s="3" customFormat="1" x14ac:dyDescent="0.2">
      <c r="A5" s="267" t="s">
        <v>201</v>
      </c>
      <c r="B5" s="261">
        <f>VLOOKUP($A5,'IRIS iTunes data'!$A$138:$B$249,2,FALSE)</f>
        <v>23466.790000002926</v>
      </c>
      <c r="C5" s="261">
        <f>VLOOKUP($A5,'IRIS iTunes data'!$G$138:$H$249,2,FALSE)</f>
        <v>24724.040000003009</v>
      </c>
      <c r="D5" s="261">
        <f>VLOOKUP($A5,'IRIS iTunes data'!$M$138:$N$249,2,FALSE)</f>
        <v>24182.450000002646</v>
      </c>
      <c r="E5" s="261">
        <f>VLOOKUP($A5,'IRIS iTunes data'!$S$138:$T$249,2,FALSE)</f>
        <v>0</v>
      </c>
      <c r="F5" s="261">
        <f>VLOOKUP($A5,'IRIS iTunes data'!$Y$138:$Z$249,2,FALSE)</f>
        <v>0</v>
      </c>
      <c r="G5" s="262">
        <f t="shared" ref="G5:G7" si="0">SUM(B5:F5)</f>
        <v>72373.280000008584</v>
      </c>
      <c r="H5" s="242">
        <f t="shared" ref="H5:H68" si="1">IFERROR((((B5+C5+D5+E5+F5))/COUNTIF(B5:F5, "&gt;0")*5),0)</f>
        <v>120622.13333334765</v>
      </c>
      <c r="I5" s="343">
        <f>VLOOKUP($A5,[2]IRIS!$J:$S,10,FALSE)</f>
        <v>110930.85319071898</v>
      </c>
      <c r="J5" s="264">
        <f t="shared" ref="J5:J7" si="2">H5-I5</f>
        <v>9691.2801426286751</v>
      </c>
      <c r="K5" s="265">
        <f t="shared" ref="K5:K7" si="3">J5/I5</f>
        <v>8.7363252547664486E-2</v>
      </c>
      <c r="L5" s="286">
        <v>238125.98000002562</v>
      </c>
      <c r="M5" s="263">
        <f t="shared" ref="M5:M68" si="4">L5+H5</f>
        <v>358748.11333337327</v>
      </c>
      <c r="N5" s="263">
        <v>355282.44354008528</v>
      </c>
      <c r="O5" s="264">
        <f t="shared" ref="O5:O68" si="5">M5-N5</f>
        <v>3465.6697932879906</v>
      </c>
      <c r="P5" s="265">
        <f t="shared" ref="P5:P68" si="6">O5/N5</f>
        <v>9.7546891390285408E-3</v>
      </c>
      <c r="R5" s="235"/>
      <c r="S5" s="169"/>
      <c r="T5" s="109"/>
      <c r="U5" s="109"/>
    </row>
    <row r="6" spans="1:21" s="3" customFormat="1" x14ac:dyDescent="0.2">
      <c r="A6" s="267" t="s">
        <v>36</v>
      </c>
      <c r="B6" s="261">
        <f>VLOOKUP($A6,'IRIS iTunes data'!$A$138:$B$249,2,FALSE)</f>
        <v>2372.7398143999931</v>
      </c>
      <c r="C6" s="261">
        <f>VLOOKUP($A6,'IRIS iTunes data'!$G$138:$H$249,2,FALSE)</f>
        <v>2682.6686783999762</v>
      </c>
      <c r="D6" s="261">
        <f>VLOOKUP($A6,'IRIS iTunes data'!$M$138:$N$249,2,FALSE)</f>
        <v>2495.8876287999901</v>
      </c>
      <c r="E6" s="261">
        <f>VLOOKUP($A6,'IRIS iTunes data'!$S$138:$T$249,2,FALSE)</f>
        <v>0</v>
      </c>
      <c r="F6" s="261">
        <f>VLOOKUP($A6,'IRIS iTunes data'!$Y$138:$Z$249,2,FALSE)</f>
        <v>0</v>
      </c>
      <c r="G6" s="262">
        <f t="shared" si="0"/>
        <v>7551.2961215999594</v>
      </c>
      <c r="H6" s="242">
        <f t="shared" si="1"/>
        <v>12585.493535999933</v>
      </c>
      <c r="I6" s="343">
        <f>VLOOKUP($A6,[2]IRIS!$J:$S,10,FALSE)</f>
        <v>15626.535530323266</v>
      </c>
      <c r="J6" s="264">
        <f t="shared" si="2"/>
        <v>-3041.0419943233337</v>
      </c>
      <c r="K6" s="265">
        <f t="shared" si="3"/>
        <v>-0.19460756278461061</v>
      </c>
      <c r="L6" s="286">
        <v>27628.949014199607</v>
      </c>
      <c r="M6" s="263">
        <f t="shared" si="4"/>
        <v>40214.442550199543</v>
      </c>
      <c r="N6" s="263">
        <v>50047.696989530654</v>
      </c>
      <c r="O6" s="264">
        <f t="shared" si="5"/>
        <v>-9833.2544393311109</v>
      </c>
      <c r="P6" s="265">
        <f t="shared" si="6"/>
        <v>-0.19647766092789651</v>
      </c>
      <c r="R6" s="235"/>
      <c r="S6" s="169"/>
      <c r="T6" s="109"/>
      <c r="U6" s="109"/>
    </row>
    <row r="7" spans="1:21" s="3" customFormat="1" x14ac:dyDescent="0.2">
      <c r="A7" s="267" t="s">
        <v>73</v>
      </c>
      <c r="B7" s="261">
        <f>VLOOKUP($A7,'IRIS iTunes data'!$A$138:$B$249,2,FALSE)</f>
        <v>305.12141600000081</v>
      </c>
      <c r="C7" s="261">
        <f>VLOOKUP($A7,'IRIS iTunes data'!$G$138:$H$249,2,FALSE)</f>
        <v>366.64964899999984</v>
      </c>
      <c r="D7" s="261">
        <f>VLOOKUP($A7,'IRIS iTunes data'!$M$138:$N$249,2,FALSE)</f>
        <v>394.71830699999964</v>
      </c>
      <c r="E7" s="261">
        <f>VLOOKUP($A7,'IRIS iTunes data'!$S$138:$T$249,2,FALSE)</f>
        <v>0</v>
      </c>
      <c r="F7" s="261">
        <f>VLOOKUP($A7,'IRIS iTunes data'!$Y$138:$Z$249,2,FALSE)</f>
        <v>0</v>
      </c>
      <c r="G7" s="262">
        <f t="shared" si="0"/>
        <v>1066.4893720000002</v>
      </c>
      <c r="H7" s="242">
        <f t="shared" si="1"/>
        <v>1777.4822866666671</v>
      </c>
      <c r="I7" s="343">
        <f>VLOOKUP($A7,[2]IRIS!$J:$S,10,FALSE)</f>
        <v>3835.283361696178</v>
      </c>
      <c r="J7" s="264">
        <f t="shared" si="2"/>
        <v>-2057.8010750295107</v>
      </c>
      <c r="K7" s="265">
        <f t="shared" si="3"/>
        <v>-0.53654472980568391</v>
      </c>
      <c r="L7" s="286">
        <v>3792.130981999996</v>
      </c>
      <c r="M7" s="263">
        <f t="shared" si="4"/>
        <v>5569.6132686666633</v>
      </c>
      <c r="N7" s="263">
        <v>12283.407232696318</v>
      </c>
      <c r="O7" s="264">
        <f t="shared" si="5"/>
        <v>-6713.7939640296545</v>
      </c>
      <c r="P7" s="265">
        <f t="shared" si="6"/>
        <v>-0.54657423928425086</v>
      </c>
      <c r="R7" s="235"/>
      <c r="S7" s="169"/>
      <c r="T7" s="109"/>
      <c r="U7" s="109"/>
    </row>
    <row r="8" spans="1:21" x14ac:dyDescent="0.2">
      <c r="A8" s="238" t="s">
        <v>72</v>
      </c>
      <c r="B8" s="253">
        <f>'IRIS iTunes data'!B118</f>
        <v>3944.5425896000643</v>
      </c>
      <c r="C8" s="253">
        <f>'IRIS iTunes data'!H118</f>
        <v>3593.4787592000512</v>
      </c>
      <c r="D8" s="253">
        <f>'IRIS iTunes data'!N118</f>
        <v>3542.2210584000572</v>
      </c>
      <c r="E8" s="253">
        <f>'IRIS iTunes data'!T118</f>
        <v>0</v>
      </c>
      <c r="F8" s="253">
        <f>'IRIS iTunes data'!Z118</f>
        <v>0</v>
      </c>
      <c r="G8" s="254">
        <f t="shared" ref="G8:G30" si="7">SUM(B8:F8)</f>
        <v>11080.242407200172</v>
      </c>
      <c r="H8" s="242">
        <f t="shared" si="1"/>
        <v>18467.070678666954</v>
      </c>
      <c r="I8" s="341">
        <f>VLOOKUP($A8,[2]IRIS!$J:$S,10,FALSE)</f>
        <v>22273.86275505523</v>
      </c>
      <c r="J8" s="246">
        <f t="shared" ref="J8:J71" si="8">H8-I8</f>
        <v>-3806.7920763882757</v>
      </c>
      <c r="K8" s="247">
        <f t="shared" ref="K8:K81" si="9">J8/I8</f>
        <v>-0.17090848220856053</v>
      </c>
      <c r="L8" s="285">
        <v>32588.744243600519</v>
      </c>
      <c r="M8" s="255">
        <f t="shared" si="4"/>
        <v>51055.814922267469</v>
      </c>
      <c r="N8" s="255">
        <v>71337.343571018355</v>
      </c>
      <c r="O8" s="246">
        <f t="shared" si="5"/>
        <v>-20281.528648750886</v>
      </c>
      <c r="P8" s="247">
        <f t="shared" si="6"/>
        <v>-0.2843045119637802</v>
      </c>
      <c r="R8">
        <f>I8/$I$127</f>
        <v>0.10035617675959034</v>
      </c>
      <c r="S8" s="163">
        <f>R8*$S$127</f>
        <v>19764.958336065472</v>
      </c>
      <c r="T8" s="109"/>
      <c r="U8" s="109"/>
    </row>
    <row r="9" spans="1:21" x14ac:dyDescent="0.2">
      <c r="A9" s="240" t="s">
        <v>92</v>
      </c>
      <c r="B9" s="253">
        <f>'IRIS iTunes data'!B119</f>
        <v>1219.5625131999973</v>
      </c>
      <c r="C9" s="253">
        <f>'IRIS iTunes data'!H119</f>
        <v>1044.5312671999984</v>
      </c>
      <c r="D9" s="253">
        <f>'IRIS iTunes data'!N119</f>
        <v>1084.1653235999981</v>
      </c>
      <c r="E9" s="253">
        <f>'IRIS iTunes data'!T119</f>
        <v>0</v>
      </c>
      <c r="F9" s="253">
        <f>'IRIS iTunes data'!Z119</f>
        <v>0</v>
      </c>
      <c r="G9" s="254">
        <f t="shared" si="7"/>
        <v>3348.2591039999943</v>
      </c>
      <c r="H9" s="242">
        <f t="shared" si="1"/>
        <v>5580.4318399999911</v>
      </c>
      <c r="I9" s="344">
        <f>SUM(I10:I13)</f>
        <v>9895.7070647348373</v>
      </c>
      <c r="J9" s="246">
        <f t="shared" si="8"/>
        <v>-4315.2752247348462</v>
      </c>
      <c r="K9" s="247">
        <f t="shared" si="9"/>
        <v>-0.43607548167155424</v>
      </c>
      <c r="L9" s="285">
        <v>12032.503179099984</v>
      </c>
      <c r="M9" s="255">
        <f t="shared" si="4"/>
        <v>17612.935019099976</v>
      </c>
      <c r="N9" s="255">
        <v>31693.355684115704</v>
      </c>
      <c r="O9" s="246">
        <f t="shared" si="5"/>
        <v>-14080.420665015728</v>
      </c>
      <c r="P9" s="247">
        <f t="shared" si="6"/>
        <v>-0.44427042706849285</v>
      </c>
      <c r="R9">
        <f>I9/$I$127</f>
        <v>4.4585680457435044E-2</v>
      </c>
      <c r="S9" s="163">
        <f>R9*$S$127</f>
        <v>8781.0650532989621</v>
      </c>
      <c r="T9" s="109"/>
      <c r="U9" s="109"/>
    </row>
    <row r="10" spans="1:21" s="3" customFormat="1" x14ac:dyDescent="0.2">
      <c r="A10" s="267" t="s">
        <v>39</v>
      </c>
      <c r="B10" s="261">
        <f>VLOOKUP($A10,'IRIS iTunes data'!$A$138:$B$249,2,FALSE)</f>
        <v>637.18951239999728</v>
      </c>
      <c r="C10" s="261">
        <f>VLOOKUP($A10,'IRIS iTunes data'!$G$138:$H$249,2,FALSE)</f>
        <v>512.45522359999813</v>
      </c>
      <c r="D10" s="261">
        <f>VLOOKUP($A10,'IRIS iTunes data'!$M$138:$N$249,2,FALSE)</f>
        <v>562.305637999998</v>
      </c>
      <c r="E10" s="261">
        <f>VLOOKUP($A10,'IRIS iTunes data'!$S$138:$T$249,2,FALSE)</f>
        <v>0</v>
      </c>
      <c r="F10" s="261">
        <f>VLOOKUP($A10,'IRIS iTunes data'!$Y$138:$Z$249,2,FALSE)</f>
        <v>0</v>
      </c>
      <c r="G10" s="262">
        <f>SUM(B10:F10)</f>
        <v>1711.9503739999934</v>
      </c>
      <c r="H10" s="242">
        <f t="shared" si="1"/>
        <v>2853.2506233333224</v>
      </c>
      <c r="I10" s="343">
        <f>VLOOKUP($A10,[2]IRIS!$J:$S,10,FALSE)</f>
        <v>5007.1391441797814</v>
      </c>
      <c r="J10" s="264">
        <f t="shared" si="8"/>
        <v>-2153.888520846459</v>
      </c>
      <c r="K10" s="265">
        <f t="shared" si="9"/>
        <v>-0.43016350431365674</v>
      </c>
      <c r="L10" s="286">
        <v>6922.2922820999829</v>
      </c>
      <c r="M10" s="263">
        <f t="shared" si="4"/>
        <v>9775.5429054333054</v>
      </c>
      <c r="N10" s="263">
        <v>16036.554115660943</v>
      </c>
      <c r="O10" s="264">
        <f t="shared" si="5"/>
        <v>-6261.011210227638</v>
      </c>
      <c r="P10" s="265">
        <f t="shared" si="6"/>
        <v>-0.3904212317104504</v>
      </c>
      <c r="R10" s="235"/>
      <c r="S10" s="169"/>
      <c r="T10" s="109"/>
      <c r="U10" s="109"/>
    </row>
    <row r="11" spans="1:21" s="3" customFormat="1" x14ac:dyDescent="0.2">
      <c r="A11" s="267" t="s">
        <v>35</v>
      </c>
      <c r="B11" s="261">
        <f>VLOOKUP($A11,'IRIS iTunes data'!$A$138:$B$249,2,FALSE)</f>
        <v>375.73193720000029</v>
      </c>
      <c r="C11" s="261">
        <f>VLOOKUP($A11,'IRIS iTunes data'!$G$138:$H$249,2,FALSE)</f>
        <v>262.71601399999997</v>
      </c>
      <c r="D11" s="261">
        <f>VLOOKUP($A11,'IRIS iTunes data'!$M$138:$N$249,2,FALSE)</f>
        <v>292.37728120000043</v>
      </c>
      <c r="E11" s="261">
        <f>VLOOKUP($A11,'IRIS iTunes data'!$S$138:$T$249,2,FALSE)</f>
        <v>0</v>
      </c>
      <c r="F11" s="261">
        <f>VLOOKUP($A11,'IRIS iTunes data'!$Y$138:$Z$249,2,FALSE)</f>
        <v>0</v>
      </c>
      <c r="G11" s="262">
        <f t="shared" ref="G11:G13" si="10">SUM(B11:F11)</f>
        <v>930.82523240000069</v>
      </c>
      <c r="H11" s="242">
        <f t="shared" si="1"/>
        <v>1551.3753873333346</v>
      </c>
      <c r="I11" s="343">
        <f>VLOOKUP($A11,[2]IRIS!$J:$S,10,FALSE)</f>
        <v>1779.0892497190025</v>
      </c>
      <c r="J11" s="264">
        <f t="shared" si="8"/>
        <v>-227.71386238566788</v>
      </c>
      <c r="K11" s="265">
        <f t="shared" si="9"/>
        <v>-0.12799462557689786</v>
      </c>
      <c r="L11" s="286">
        <v>3011.7649336000013</v>
      </c>
      <c r="M11" s="263">
        <f t="shared" si="4"/>
        <v>4563.1403209333357</v>
      </c>
      <c r="N11" s="263">
        <v>5697.9564993460899</v>
      </c>
      <c r="O11" s="264">
        <f t="shared" si="5"/>
        <v>-1134.8161784127542</v>
      </c>
      <c r="P11" s="265">
        <f t="shared" si="6"/>
        <v>-0.19916195894843849</v>
      </c>
      <c r="R11" s="235"/>
      <c r="S11" s="169"/>
      <c r="T11" s="109"/>
      <c r="U11" s="109"/>
    </row>
    <row r="12" spans="1:21" s="3" customFormat="1" x14ac:dyDescent="0.2">
      <c r="A12" s="267" t="s">
        <v>43</v>
      </c>
      <c r="B12" s="261">
        <f>VLOOKUP($A12,'IRIS iTunes data'!$A$138:$B$249,2,FALSE)</f>
        <v>20.392121200000005</v>
      </c>
      <c r="C12" s="261">
        <f>VLOOKUP($A12,'IRIS iTunes data'!$G$138:$H$249,2,FALSE)</f>
        <v>28.0645384</v>
      </c>
      <c r="D12" s="261">
        <f>VLOOKUP($A12,'IRIS iTunes data'!$M$138:$N$249,2,FALSE)</f>
        <v>52.326697200000019</v>
      </c>
      <c r="E12" s="261">
        <f>VLOOKUP($A12,'IRIS iTunes data'!$S$138:$T$249,2,FALSE)</f>
        <v>0</v>
      </c>
      <c r="F12" s="261">
        <f>VLOOKUP($A12,'IRIS iTunes data'!$Y$138:$Z$249,2,FALSE)</f>
        <v>0</v>
      </c>
      <c r="G12" s="262">
        <f t="shared" si="10"/>
        <v>100.78335680000004</v>
      </c>
      <c r="H12" s="242">
        <f t="shared" si="1"/>
        <v>167.97226133333339</v>
      </c>
      <c r="I12" s="343">
        <f>VLOOKUP($A12,[2]IRIS!$J:$S,10,FALSE)</f>
        <v>227.51789697157074</v>
      </c>
      <c r="J12" s="264">
        <f t="shared" si="8"/>
        <v>-59.545635638237343</v>
      </c>
      <c r="K12" s="265">
        <f t="shared" si="9"/>
        <v>-0.26171846888017697</v>
      </c>
      <c r="L12" s="286">
        <v>258.34383990000003</v>
      </c>
      <c r="M12" s="263">
        <f t="shared" si="4"/>
        <v>426.31610123333343</v>
      </c>
      <c r="N12" s="263">
        <v>728.68018283594995</v>
      </c>
      <c r="O12" s="264">
        <f t="shared" si="5"/>
        <v>-302.36408160261652</v>
      </c>
      <c r="P12" s="265">
        <f t="shared" si="6"/>
        <v>-0.41494758431037049</v>
      </c>
      <c r="R12" s="235"/>
      <c r="S12" s="169"/>
      <c r="T12" s="109"/>
      <c r="U12" s="109"/>
    </row>
    <row r="13" spans="1:21" s="3" customFormat="1" x14ac:dyDescent="0.2">
      <c r="A13" s="267" t="s">
        <v>44</v>
      </c>
      <c r="B13" s="261">
        <f>VLOOKUP($A13,'IRIS iTunes data'!$A$138:$B$249,2,FALSE)</f>
        <v>186.24894239999978</v>
      </c>
      <c r="C13" s="261">
        <f>VLOOKUP($A13,'IRIS iTunes data'!$G$138:$H$249,2,FALSE)</f>
        <v>241.29549120000027</v>
      </c>
      <c r="D13" s="261">
        <f>VLOOKUP($A13,'IRIS iTunes data'!$M$138:$N$249,2,FALSE)</f>
        <v>177.15570719999971</v>
      </c>
      <c r="E13" s="261">
        <f>VLOOKUP($A13,'IRIS iTunes data'!$S$138:$T$249,2,FALSE)</f>
        <v>0</v>
      </c>
      <c r="F13" s="261">
        <f>VLOOKUP($A13,'IRIS iTunes data'!$Y$138:$Z$249,2,FALSE)</f>
        <v>0</v>
      </c>
      <c r="G13" s="262">
        <f t="shared" si="10"/>
        <v>604.70014079999976</v>
      </c>
      <c r="H13" s="242">
        <f t="shared" si="1"/>
        <v>1007.8335679999997</v>
      </c>
      <c r="I13" s="343">
        <f>VLOOKUP($A13,[2]IRIS!$J:$S,10,FALSE)</f>
        <v>2881.9607738644836</v>
      </c>
      <c r="J13" s="264">
        <f t="shared" si="8"/>
        <v>-1874.127205864484</v>
      </c>
      <c r="K13" s="265">
        <f t="shared" si="9"/>
        <v>-0.65029587593984717</v>
      </c>
      <c r="L13" s="286">
        <v>1840.1021234999994</v>
      </c>
      <c r="M13" s="263">
        <f t="shared" si="4"/>
        <v>2847.9356914999989</v>
      </c>
      <c r="N13" s="263">
        <v>9230.1648862727252</v>
      </c>
      <c r="O13" s="264">
        <f t="shared" si="5"/>
        <v>-6382.2291947727263</v>
      </c>
      <c r="P13" s="265">
        <f t="shared" si="6"/>
        <v>-0.69145343267534665</v>
      </c>
      <c r="R13" s="235"/>
      <c r="S13" s="169"/>
      <c r="T13" s="109"/>
      <c r="U13" s="109"/>
    </row>
    <row r="14" spans="1:21" x14ac:dyDescent="0.2">
      <c r="A14" s="240" t="s">
        <v>85</v>
      </c>
      <c r="B14" s="253">
        <f>'IRIS iTunes data'!B120</f>
        <v>1953.5841552000043</v>
      </c>
      <c r="C14" s="253">
        <f>'IRIS iTunes data'!H120</f>
        <v>2001.2153872000063</v>
      </c>
      <c r="D14" s="253">
        <f>'IRIS iTunes data'!N120</f>
        <v>1739.8390016000044</v>
      </c>
      <c r="E14" s="253">
        <f>'IRIS iTunes data'!T120</f>
        <v>0</v>
      </c>
      <c r="F14" s="253">
        <f>'IRIS iTunes data'!Z120</f>
        <v>0</v>
      </c>
      <c r="G14" s="254">
        <f>SUM(B14:F14)</f>
        <v>5694.6385440000149</v>
      </c>
      <c r="H14" s="242">
        <f t="shared" si="1"/>
        <v>9491.0642400000252</v>
      </c>
      <c r="I14" s="344">
        <f>SUM(I15:I17)</f>
        <v>13182.884425750701</v>
      </c>
      <c r="J14" s="246">
        <f t="shared" si="8"/>
        <v>-3691.8201857506756</v>
      </c>
      <c r="K14" s="247">
        <f t="shared" si="9"/>
        <v>-0.28004646528943872</v>
      </c>
      <c r="L14" s="285">
        <v>17857.28864580005</v>
      </c>
      <c r="M14" s="255">
        <f t="shared" si="4"/>
        <v>27348.352885800075</v>
      </c>
      <c r="N14" s="255">
        <v>42221.323076230517</v>
      </c>
      <c r="O14" s="246">
        <f t="shared" si="5"/>
        <v>-14872.970190430442</v>
      </c>
      <c r="P14" s="247">
        <f t="shared" si="6"/>
        <v>-0.35226205876062489</v>
      </c>
      <c r="R14">
        <f>I14/$I$127</f>
        <v>5.9396248157793208E-2</v>
      </c>
      <c r="S14" s="163">
        <f>R14*$S$127</f>
        <v>11697.978221805872</v>
      </c>
      <c r="T14" s="109"/>
      <c r="U14" s="109"/>
    </row>
    <row r="15" spans="1:21" s="3" customFormat="1" x14ac:dyDescent="0.2">
      <c r="A15" s="267" t="s">
        <v>40</v>
      </c>
      <c r="B15" s="261">
        <f>VLOOKUP($A15,'IRIS iTunes data'!$A$138:$B$249,2,FALSE)</f>
        <v>1334.0804440000056</v>
      </c>
      <c r="C15" s="261">
        <f>VLOOKUP($A15,'IRIS iTunes data'!$G$138:$H$249,2,FALSE)</f>
        <v>1383.8496688000073</v>
      </c>
      <c r="D15" s="261">
        <f>VLOOKUP($A15,'IRIS iTunes data'!$M$138:$N$249,2,FALSE)</f>
        <v>1193.7171572000047</v>
      </c>
      <c r="E15" s="261">
        <f>VLOOKUP($A15,'IRIS iTunes data'!$S$138:$T$249,2,FALSE)</f>
        <v>0</v>
      </c>
      <c r="F15" s="261">
        <f>VLOOKUP($A15,'IRIS iTunes data'!$Y$138:$Z$249,2,FALSE)</f>
        <v>0</v>
      </c>
      <c r="G15" s="262">
        <f t="shared" ref="G15:G17" si="11">SUM(B15:F15)</f>
        <v>3911.6472700000177</v>
      </c>
      <c r="H15" s="242">
        <f t="shared" si="1"/>
        <v>6519.4121166666955</v>
      </c>
      <c r="I15" s="343">
        <f>VLOOKUP($A15,[2]IRIS!$J:$S,10,FALSE)</f>
        <v>8470.3326786351718</v>
      </c>
      <c r="J15" s="264">
        <f t="shared" si="8"/>
        <v>-1950.9205619684762</v>
      </c>
      <c r="K15" s="265">
        <f t="shared" si="9"/>
        <v>-0.23032395963493948</v>
      </c>
      <c r="L15" s="286">
        <v>12470.065777300057</v>
      </c>
      <c r="M15" s="263">
        <f t="shared" si="4"/>
        <v>18989.477893966752</v>
      </c>
      <c r="N15" s="263">
        <v>27128.255170714918</v>
      </c>
      <c r="O15" s="264">
        <f t="shared" si="5"/>
        <v>-8138.7772767481656</v>
      </c>
      <c r="P15" s="265">
        <f t="shared" si="6"/>
        <v>-0.30001108532531112</v>
      </c>
      <c r="R15" s="235"/>
      <c r="S15" s="169"/>
      <c r="T15" s="109"/>
      <c r="U15" s="109"/>
    </row>
    <row r="16" spans="1:21" s="3" customFormat="1" x14ac:dyDescent="0.2">
      <c r="A16" s="267" t="s">
        <v>34</v>
      </c>
      <c r="B16" s="261">
        <f>VLOOKUP($A16,'IRIS iTunes data'!$A$138:$B$249,2,FALSE)</f>
        <v>142.79897479999983</v>
      </c>
      <c r="C16" s="261">
        <f>VLOOKUP($A16,'IRIS iTunes data'!$G$138:$H$249,2,FALSE)</f>
        <v>179.68611639999975</v>
      </c>
      <c r="D16" s="261">
        <f>VLOOKUP($A16,'IRIS iTunes data'!$M$138:$N$249,2,FALSE)</f>
        <v>146.15481159999982</v>
      </c>
      <c r="E16" s="261">
        <f>VLOOKUP($A16,'IRIS iTunes data'!$S$138:$T$249,2,FALSE)</f>
        <v>0</v>
      </c>
      <c r="F16" s="261">
        <f>VLOOKUP($A16,'IRIS iTunes data'!$Y$138:$Z$249,2,FALSE)</f>
        <v>0</v>
      </c>
      <c r="G16" s="262">
        <f t="shared" si="11"/>
        <v>468.63990279999939</v>
      </c>
      <c r="H16" s="242">
        <f t="shared" si="1"/>
        <v>781.06650466666565</v>
      </c>
      <c r="I16" s="343">
        <f>VLOOKUP($A16,[2]IRIS!$J:$S,10,FALSE)</f>
        <v>1063.5559666959971</v>
      </c>
      <c r="J16" s="264">
        <f t="shared" si="8"/>
        <v>-282.48946202933143</v>
      </c>
      <c r="K16" s="265">
        <f t="shared" si="9"/>
        <v>-0.2656084596158137</v>
      </c>
      <c r="L16" s="286">
        <v>1490.6544259999991</v>
      </c>
      <c r="M16" s="263">
        <f t="shared" si="4"/>
        <v>2271.7209306666646</v>
      </c>
      <c r="N16" s="263">
        <v>3406.2909625309289</v>
      </c>
      <c r="O16" s="264">
        <f t="shared" si="5"/>
        <v>-1134.5700318642644</v>
      </c>
      <c r="P16" s="265">
        <f t="shared" si="6"/>
        <v>-0.33308077446832685</v>
      </c>
      <c r="R16" s="235"/>
      <c r="S16" s="169"/>
      <c r="T16" s="109"/>
      <c r="U16" s="109"/>
    </row>
    <row r="17" spans="1:21" s="3" customFormat="1" x14ac:dyDescent="0.2">
      <c r="A17" s="267" t="s">
        <v>50</v>
      </c>
      <c r="B17" s="261">
        <f>VLOOKUP($A17,'IRIS iTunes data'!$A$138:$B$249,2,FALSE)</f>
        <v>476.70473639999892</v>
      </c>
      <c r="C17" s="261">
        <f>VLOOKUP($A17,'IRIS iTunes data'!$G$138:$H$249,2,FALSE)</f>
        <v>437.67960199999936</v>
      </c>
      <c r="D17" s="261">
        <f>VLOOKUP($A17,'IRIS iTunes data'!$M$138:$N$249,2,FALSE)</f>
        <v>399.9670327999998</v>
      </c>
      <c r="E17" s="261">
        <f>VLOOKUP($A17,'IRIS iTunes data'!$S$138:$T$249,2,FALSE)</f>
        <v>0</v>
      </c>
      <c r="F17" s="261">
        <f>VLOOKUP($A17,'IRIS iTunes data'!$Y$138:$Z$249,2,FALSE)</f>
        <v>0</v>
      </c>
      <c r="G17" s="262">
        <f t="shared" si="11"/>
        <v>1314.3513711999981</v>
      </c>
      <c r="H17" s="242">
        <f t="shared" si="1"/>
        <v>2190.5856186666633</v>
      </c>
      <c r="I17" s="343">
        <f>VLOOKUP($A17,[2]IRIS!$J:$S,10,FALSE)</f>
        <v>3648.9957804195319</v>
      </c>
      <c r="J17" s="264">
        <f t="shared" si="8"/>
        <v>-1458.4101617528686</v>
      </c>
      <c r="K17" s="265">
        <f t="shared" si="9"/>
        <v>-0.39967438975366326</v>
      </c>
      <c r="L17" s="286">
        <v>3896.5684424999927</v>
      </c>
      <c r="M17" s="263">
        <f t="shared" si="4"/>
        <v>6087.154061166656</v>
      </c>
      <c r="N17" s="263">
        <v>11686.776942984667</v>
      </c>
      <c r="O17" s="264">
        <f t="shared" si="5"/>
        <v>-5599.6228818180107</v>
      </c>
      <c r="P17" s="265">
        <f t="shared" si="6"/>
        <v>-0.4791417607383488</v>
      </c>
      <c r="R17" s="235"/>
      <c r="S17" s="169"/>
      <c r="T17" s="109"/>
      <c r="U17" s="109"/>
    </row>
    <row r="18" spans="1:21" x14ac:dyDescent="0.2">
      <c r="A18" s="240" t="s">
        <v>76</v>
      </c>
      <c r="B18" s="253">
        <f>'IRIS iTunes data'!B121</f>
        <v>473.93075840000034</v>
      </c>
      <c r="C18" s="253">
        <f>'IRIS iTunes data'!H121</f>
        <v>471.53566520000027</v>
      </c>
      <c r="D18" s="253">
        <f>'IRIS iTunes data'!N121</f>
        <v>450.52109039999971</v>
      </c>
      <c r="E18" s="253">
        <f>'IRIS iTunes data'!T121</f>
        <v>0</v>
      </c>
      <c r="F18" s="253">
        <f>'IRIS iTunes data'!Z121</f>
        <v>0</v>
      </c>
      <c r="G18" s="254">
        <f>SUM(B18:F18)</f>
        <v>1395.9875140000004</v>
      </c>
      <c r="H18" s="242">
        <f t="shared" si="1"/>
        <v>2326.6458566666674</v>
      </c>
      <c r="I18" s="344">
        <f>SUM(I19:I21)</f>
        <v>6805.1466061489427</v>
      </c>
      <c r="J18" s="246">
        <f t="shared" si="8"/>
        <v>-4478.5007494822748</v>
      </c>
      <c r="K18" s="247">
        <f t="shared" si="9"/>
        <v>-0.65810496212317093</v>
      </c>
      <c r="L18" s="285">
        <v>4934.6376760999983</v>
      </c>
      <c r="M18" s="255">
        <f t="shared" si="4"/>
        <v>7261.2835327666653</v>
      </c>
      <c r="N18" s="255">
        <v>21795.100689655523</v>
      </c>
      <c r="O18" s="246">
        <f t="shared" si="5"/>
        <v>-14533.817156888857</v>
      </c>
      <c r="P18" s="247">
        <f t="shared" si="6"/>
        <v>-0.66683872508040098</v>
      </c>
      <c r="R18">
        <f>I18/$I$127</f>
        <v>3.0660981581500105E-2</v>
      </c>
      <c r="S18" s="163">
        <f>R18*$S$127</f>
        <v>6038.6220666114405</v>
      </c>
      <c r="T18" s="109"/>
      <c r="U18" s="109"/>
    </row>
    <row r="19" spans="1:21" s="3" customFormat="1" x14ac:dyDescent="0.2">
      <c r="A19" s="267" t="s">
        <v>11</v>
      </c>
      <c r="B19" s="261">
        <f>VLOOKUP($A19,'IRIS iTunes data'!$A$138:$B$249,2,FALSE)</f>
        <v>340.92866200000043</v>
      </c>
      <c r="C19" s="261">
        <f>VLOOKUP($A19,'IRIS iTunes data'!$G$138:$H$249,2,FALSE)</f>
        <v>305.11051680000025</v>
      </c>
      <c r="D19" s="261">
        <f>VLOOKUP($A19,'IRIS iTunes data'!$M$138:$N$249,2,FALSE)</f>
        <v>272.07988119999999</v>
      </c>
      <c r="E19" s="261">
        <f>VLOOKUP($A19,'IRIS iTunes data'!$S$138:$T$249,2,FALSE)</f>
        <v>0</v>
      </c>
      <c r="F19" s="261">
        <f>VLOOKUP($A19,'IRIS iTunes data'!$Y$138:$Z$249,2,FALSE)</f>
        <v>0</v>
      </c>
      <c r="G19" s="262">
        <f t="shared" ref="G19:G21" si="12">SUM(B19:F19)</f>
        <v>918.11906000000067</v>
      </c>
      <c r="H19" s="242">
        <f t="shared" si="1"/>
        <v>1530.1984333333346</v>
      </c>
      <c r="I19" s="343">
        <f>VLOOKUP($A19,[2]IRIS!$J:$S,10,FALSE)</f>
        <v>3353.0883050660873</v>
      </c>
      <c r="J19" s="264">
        <f t="shared" si="8"/>
        <v>-1822.8898717327527</v>
      </c>
      <c r="K19" s="265">
        <f t="shared" si="9"/>
        <v>-0.54364505371916372</v>
      </c>
      <c r="L19" s="286">
        <v>3302.7294283999995</v>
      </c>
      <c r="M19" s="263">
        <f t="shared" si="4"/>
        <v>4832.9278617333339</v>
      </c>
      <c r="N19" s="263">
        <v>10739.062868122173</v>
      </c>
      <c r="O19" s="264">
        <f t="shared" si="5"/>
        <v>-5906.1350063888394</v>
      </c>
      <c r="P19" s="265">
        <f t="shared" si="6"/>
        <v>-0.54996744864215352</v>
      </c>
      <c r="R19" s="235"/>
      <c r="S19" s="169"/>
      <c r="T19" s="109"/>
      <c r="U19" s="109"/>
    </row>
    <row r="20" spans="1:21" s="3" customFormat="1" x14ac:dyDescent="0.2">
      <c r="A20" s="267" t="s">
        <v>47</v>
      </c>
      <c r="B20" s="261">
        <f>VLOOKUP($A20,'IRIS iTunes data'!$A$138:$B$249,2,FALSE)</f>
        <v>7.6859487999999994</v>
      </c>
      <c r="C20" s="261">
        <f>VLOOKUP($A20,'IRIS iTunes data'!$G$138:$H$249,2,FALSE)</f>
        <v>56.413240400000021</v>
      </c>
      <c r="D20" s="261">
        <f>VLOOKUP($A20,'IRIS iTunes data'!$M$138:$N$249,2,FALSE)</f>
        <v>36.860078400000013</v>
      </c>
      <c r="E20" s="261">
        <f>VLOOKUP($A20,'IRIS iTunes data'!$S$138:$T$249,2,FALSE)</f>
        <v>0</v>
      </c>
      <c r="F20" s="261">
        <f>VLOOKUP($A20,'IRIS iTunes data'!$Y$138:$Z$249,2,FALSE)</f>
        <v>0</v>
      </c>
      <c r="G20" s="262">
        <f t="shared" si="12"/>
        <v>100.95926760000003</v>
      </c>
      <c r="H20" s="242">
        <f t="shared" si="1"/>
        <v>168.26544600000005</v>
      </c>
      <c r="I20" s="343">
        <f>VLOOKUP($A20,[2]IRIS!$J:$S,10,FALSE)</f>
        <v>561.57921183158999</v>
      </c>
      <c r="J20" s="264">
        <f t="shared" si="8"/>
        <v>-393.31376583158993</v>
      </c>
      <c r="K20" s="265">
        <f t="shared" si="9"/>
        <v>-0.70037094953852996</v>
      </c>
      <c r="L20" s="286">
        <v>216.82096680000006</v>
      </c>
      <c r="M20" s="263">
        <f t="shared" si="4"/>
        <v>385.08641280000012</v>
      </c>
      <c r="N20" s="263">
        <v>1798.5910040538229</v>
      </c>
      <c r="O20" s="264">
        <f t="shared" si="5"/>
        <v>-1413.5045912538228</v>
      </c>
      <c r="P20" s="265">
        <f t="shared" si="6"/>
        <v>-0.78589550824392074</v>
      </c>
      <c r="R20" s="235"/>
      <c r="S20" s="169"/>
      <c r="T20" s="109"/>
      <c r="U20" s="109"/>
    </row>
    <row r="21" spans="1:21" s="3" customFormat="1" x14ac:dyDescent="0.2">
      <c r="A21" s="267" t="s">
        <v>48</v>
      </c>
      <c r="B21" s="261">
        <f>VLOOKUP($A21,'IRIS iTunes data'!$A$138:$B$249,2,FALSE)</f>
        <v>125.31614759999991</v>
      </c>
      <c r="C21" s="261">
        <f>VLOOKUP($A21,'IRIS iTunes data'!$G$138:$H$249,2,FALSE)</f>
        <v>110.01190800000001</v>
      </c>
      <c r="D21" s="261">
        <f>VLOOKUP($A21,'IRIS iTunes data'!$M$138:$N$249,2,FALSE)</f>
        <v>141.58113079999973</v>
      </c>
      <c r="E21" s="261">
        <f>VLOOKUP($A21,'IRIS iTunes data'!$S$138:$T$249,2,FALSE)</f>
        <v>0</v>
      </c>
      <c r="F21" s="261">
        <f>VLOOKUP($A21,'IRIS iTunes data'!$Y$138:$Z$249,2,FALSE)</f>
        <v>0</v>
      </c>
      <c r="G21" s="262">
        <f t="shared" si="12"/>
        <v>376.90918639999961</v>
      </c>
      <c r="H21" s="242">
        <f t="shared" si="1"/>
        <v>628.18197733333272</v>
      </c>
      <c r="I21" s="343">
        <f>VLOOKUP($A21,[2]IRIS!$J:$S,10,FALSE)</f>
        <v>2890.479089251266</v>
      </c>
      <c r="J21" s="264">
        <f t="shared" si="8"/>
        <v>-2262.2971119179333</v>
      </c>
      <c r="K21" s="265">
        <f t="shared" si="9"/>
        <v>-0.78267202151043636</v>
      </c>
      <c r="L21" s="286">
        <v>1415.0872808999993</v>
      </c>
      <c r="M21" s="263">
        <f t="shared" si="4"/>
        <v>2043.269258233332</v>
      </c>
      <c r="N21" s="263">
        <v>9257.4468174795275</v>
      </c>
      <c r="O21" s="264">
        <f t="shared" si="5"/>
        <v>-7214.1775592461954</v>
      </c>
      <c r="P21" s="265">
        <f t="shared" si="6"/>
        <v>-0.77928371628608051</v>
      </c>
      <c r="R21" s="235"/>
      <c r="S21" s="169"/>
      <c r="T21" s="109"/>
      <c r="U21" s="109"/>
    </row>
    <row r="22" spans="1:21" x14ac:dyDescent="0.2">
      <c r="A22" s="240" t="s">
        <v>86</v>
      </c>
      <c r="B22" s="253">
        <f>'IRIS iTunes data'!B122</f>
        <v>432.29402519999951</v>
      </c>
      <c r="C22" s="253">
        <f>'IRIS iTunes data'!H122</f>
        <v>289.14322880000003</v>
      </c>
      <c r="D22" s="253">
        <f>'IRIS iTunes data'!N122</f>
        <v>436.86770599999977</v>
      </c>
      <c r="E22" s="253">
        <f>'IRIS iTunes data'!T122</f>
        <v>0</v>
      </c>
      <c r="F22" s="253">
        <f>'IRIS iTunes data'!Z122</f>
        <v>0</v>
      </c>
      <c r="G22" s="254">
        <f>SUM(B22:F22)</f>
        <v>1158.3049599999993</v>
      </c>
      <c r="H22" s="242">
        <f t="shared" si="1"/>
        <v>1930.5082666666656</v>
      </c>
      <c r="I22" s="344">
        <f>SUM(I23:I26)</f>
        <v>3564.6886506534715</v>
      </c>
      <c r="J22" s="246">
        <f t="shared" si="8"/>
        <v>-1634.180383986806</v>
      </c>
      <c r="K22" s="247">
        <f t="shared" si="9"/>
        <v>-0.45843565711895518</v>
      </c>
      <c r="L22" s="285">
        <v>4070.0772071999982</v>
      </c>
      <c r="M22" s="255">
        <f t="shared" si="4"/>
        <v>6000.585473866664</v>
      </c>
      <c r="N22" s="255">
        <v>11416.763306475083</v>
      </c>
      <c r="O22" s="246">
        <f t="shared" si="5"/>
        <v>-5416.1778326084186</v>
      </c>
      <c r="P22" s="247">
        <f t="shared" si="6"/>
        <v>-0.47440572141288084</v>
      </c>
      <c r="R22">
        <f>I22/$I$127</f>
        <v>1.6060910864537575E-2</v>
      </c>
      <c r="S22" s="163">
        <f>R22*$S$127</f>
        <v>3163.1658790400325</v>
      </c>
      <c r="T22" s="109"/>
      <c r="U22" s="109"/>
    </row>
    <row r="23" spans="1:21" s="3" customFormat="1" x14ac:dyDescent="0.2">
      <c r="A23" s="267" t="s">
        <v>37</v>
      </c>
      <c r="B23" s="261">
        <f>VLOOKUP($A23,'IRIS iTunes data'!$A$138:$B$249,2,FALSE)</f>
        <v>130.39049759999995</v>
      </c>
      <c r="C23" s="261">
        <f>VLOOKUP($A23,'IRIS iTunes data'!$G$138:$H$249,2,FALSE)</f>
        <v>118.55034759999995</v>
      </c>
      <c r="D23" s="261">
        <f>VLOOKUP($A23,'IRIS iTunes data'!$M$138:$N$249,2,FALSE)</f>
        <v>115.81696439999996</v>
      </c>
      <c r="E23" s="261">
        <f>VLOOKUP($A23,'IRIS iTunes data'!$S$138:$T$249,2,FALSE)</f>
        <v>0</v>
      </c>
      <c r="F23" s="261">
        <f>VLOOKUP($A23,'IRIS iTunes data'!$Y$138:$Z$249,2,FALSE)</f>
        <v>0</v>
      </c>
      <c r="G23" s="262">
        <f t="shared" ref="G23:G26" si="13">SUM(B23:F23)</f>
        <v>364.75780959999986</v>
      </c>
      <c r="H23" s="242">
        <f t="shared" si="1"/>
        <v>607.92968266666639</v>
      </c>
      <c r="I23" s="343">
        <f>VLOOKUP($A23,[2]IRIS!$J:$S,10,FALSE)</f>
        <v>1026.5244788566811</v>
      </c>
      <c r="J23" s="264">
        <f t="shared" si="8"/>
        <v>-418.59479619001468</v>
      </c>
      <c r="K23" s="265">
        <f t="shared" si="9"/>
        <v>-0.40777867923445504</v>
      </c>
      <c r="L23" s="286">
        <v>1607.2063550999992</v>
      </c>
      <c r="M23" s="263">
        <f t="shared" si="4"/>
        <v>2215.1360377666656</v>
      </c>
      <c r="N23" s="263">
        <v>3287.6888143543756</v>
      </c>
      <c r="O23" s="264">
        <f t="shared" si="5"/>
        <v>-1072.55277658771</v>
      </c>
      <c r="P23" s="265">
        <f t="shared" si="6"/>
        <v>-0.3262330582824135</v>
      </c>
      <c r="R23" s="235"/>
      <c r="S23" s="169"/>
      <c r="T23" s="109"/>
      <c r="U23" s="109"/>
    </row>
    <row r="24" spans="1:21" s="3" customFormat="1" x14ac:dyDescent="0.2">
      <c r="A24" s="267" t="s">
        <v>38</v>
      </c>
      <c r="B24" s="261">
        <f>VLOOKUP($A24,'IRIS iTunes data'!$A$138:$B$249,2,FALSE)</f>
        <v>35.588108000000005</v>
      </c>
      <c r="C24" s="261">
        <f>VLOOKUP($A24,'IRIS iTunes data'!$G$138:$H$249,2,FALSE)</f>
        <v>29.553014400000013</v>
      </c>
      <c r="D24" s="261">
        <f>VLOOKUP($A24,'IRIS iTunes data'!$M$138:$N$249,2,FALSE)</f>
        <v>86.696961200000018</v>
      </c>
      <c r="E24" s="261">
        <f>VLOOKUP($A24,'IRIS iTunes data'!$S$138:$T$249,2,FALSE)</f>
        <v>0</v>
      </c>
      <c r="F24" s="261">
        <f>VLOOKUP($A24,'IRIS iTunes data'!$Y$138:$Z$249,2,FALSE)</f>
        <v>0</v>
      </c>
      <c r="G24" s="262">
        <f t="shared" si="13"/>
        <v>151.83808360000003</v>
      </c>
      <c r="H24" s="242">
        <f t="shared" si="1"/>
        <v>253.06347266666674</v>
      </c>
      <c r="I24" s="343">
        <f>VLOOKUP($A24,[2]IRIS!$J:$S,10,FALSE)</f>
        <v>321.65491826228441</v>
      </c>
      <c r="J24" s="264">
        <f t="shared" si="8"/>
        <v>-68.591445595617671</v>
      </c>
      <c r="K24" s="265">
        <f t="shared" si="9"/>
        <v>-0.21324544317922325</v>
      </c>
      <c r="L24" s="286">
        <v>356.32028050000014</v>
      </c>
      <c r="M24" s="263">
        <f t="shared" si="4"/>
        <v>609.38375316666691</v>
      </c>
      <c r="N24" s="263">
        <v>1030.1763851075464</v>
      </c>
      <c r="O24" s="264">
        <f t="shared" si="5"/>
        <v>-420.79263194087946</v>
      </c>
      <c r="P24" s="265">
        <f t="shared" si="6"/>
        <v>-0.4084665869106972</v>
      </c>
      <c r="R24" s="235"/>
      <c r="S24" s="169"/>
      <c r="T24" s="109"/>
      <c r="U24" s="109"/>
    </row>
    <row r="25" spans="1:21" s="3" customFormat="1" x14ac:dyDescent="0.2">
      <c r="A25" s="267" t="s">
        <v>46</v>
      </c>
      <c r="B25" s="261">
        <f>VLOOKUP($A25,'IRIS iTunes data'!$A$138:$B$249,2,FALSE)</f>
        <v>125.43793199999979</v>
      </c>
      <c r="C25" s="261">
        <f>VLOOKUP($A25,'IRIS iTunes data'!$G$138:$H$249,2,FALSE)</f>
        <v>74.532052800000073</v>
      </c>
      <c r="D25" s="261">
        <f>VLOOKUP($A25,'IRIS iTunes data'!$M$138:$N$249,2,FALSE)</f>
        <v>136.93979199999978</v>
      </c>
      <c r="E25" s="261">
        <f>VLOOKUP($A25,'IRIS iTunes data'!$S$138:$T$249,2,FALSE)</f>
        <v>0</v>
      </c>
      <c r="F25" s="261">
        <f>VLOOKUP($A25,'IRIS iTunes data'!$Y$138:$Z$249,2,FALSE)</f>
        <v>0</v>
      </c>
      <c r="G25" s="262">
        <f t="shared" si="13"/>
        <v>336.90977679999963</v>
      </c>
      <c r="H25" s="242">
        <f t="shared" si="1"/>
        <v>561.516294666666</v>
      </c>
      <c r="I25" s="343">
        <f>VLOOKUP($A25,[2]IRIS!$J:$S,10,FALSE)</f>
        <v>1334.0401908445992</v>
      </c>
      <c r="J25" s="264">
        <f t="shared" si="8"/>
        <v>-772.52389617793324</v>
      </c>
      <c r="K25" s="265">
        <f t="shared" si="9"/>
        <v>-0.57908592370731926</v>
      </c>
      <c r="L25" s="286">
        <v>1250.6666255999985</v>
      </c>
      <c r="M25" s="263">
        <f t="shared" si="4"/>
        <v>1812.1829202666645</v>
      </c>
      <c r="N25" s="263">
        <v>4272.5810281931981</v>
      </c>
      <c r="O25" s="264">
        <f t="shared" si="5"/>
        <v>-2460.3981079265336</v>
      </c>
      <c r="P25" s="265">
        <f t="shared" si="6"/>
        <v>-0.57585756517928322</v>
      </c>
      <c r="R25" s="235"/>
      <c r="S25" s="169"/>
      <c r="T25" s="109"/>
      <c r="U25" s="109"/>
    </row>
    <row r="26" spans="1:21" s="3" customFormat="1" x14ac:dyDescent="0.2">
      <c r="A26" s="267" t="s">
        <v>49</v>
      </c>
      <c r="B26" s="261">
        <f>VLOOKUP($A26,'IRIS iTunes data'!$A$138:$B$249,2,FALSE)</f>
        <v>140.87748759999971</v>
      </c>
      <c r="C26" s="261">
        <f>VLOOKUP($A26,'IRIS iTunes data'!$G$138:$H$249,2,FALSE)</f>
        <v>66.50781400000001</v>
      </c>
      <c r="D26" s="261">
        <f>VLOOKUP($A26,'IRIS iTunes data'!$M$138:$N$249,2,FALSE)</f>
        <v>97.413988400000022</v>
      </c>
      <c r="E26" s="261">
        <f>VLOOKUP($A26,'IRIS iTunes data'!$S$138:$T$249,2,FALSE)</f>
        <v>0</v>
      </c>
      <c r="F26" s="261">
        <f>VLOOKUP($A26,'IRIS iTunes data'!$Y$138:$Z$249,2,FALSE)</f>
        <v>0</v>
      </c>
      <c r="G26" s="262">
        <f t="shared" si="13"/>
        <v>304.7992899999997</v>
      </c>
      <c r="H26" s="242">
        <f t="shared" si="1"/>
        <v>507.99881666666613</v>
      </c>
      <c r="I26" s="343">
        <f>VLOOKUP($A26,[2]IRIS!$J:$S,10,FALSE)</f>
        <v>882.46906268990688</v>
      </c>
      <c r="J26" s="264">
        <f t="shared" si="8"/>
        <v>-374.47024602324075</v>
      </c>
      <c r="K26" s="265">
        <f t="shared" si="9"/>
        <v>-0.42434376666055074</v>
      </c>
      <c r="L26" s="286">
        <v>855.8839459999997</v>
      </c>
      <c r="M26" s="263">
        <f t="shared" si="4"/>
        <v>1363.8827626666657</v>
      </c>
      <c r="N26" s="263">
        <v>2826.3170788199609</v>
      </c>
      <c r="O26" s="264">
        <f t="shared" si="5"/>
        <v>-1462.4343161532952</v>
      </c>
      <c r="P26" s="265">
        <f t="shared" si="6"/>
        <v>-0.51743462441372223</v>
      </c>
      <c r="R26" s="235"/>
      <c r="S26" s="169"/>
      <c r="T26" s="109"/>
      <c r="U26" s="109"/>
    </row>
    <row r="27" spans="1:21" x14ac:dyDescent="0.2">
      <c r="A27" s="240" t="s">
        <v>12</v>
      </c>
      <c r="B27" s="253">
        <f>'IRIS iTunes data'!B123</f>
        <v>247.75006439999993</v>
      </c>
      <c r="C27" s="253">
        <f>'IRIS iTunes data'!H123</f>
        <v>265.24642319999992</v>
      </c>
      <c r="D27" s="253">
        <f>'IRIS iTunes data'!N123</f>
        <v>194.88210319999956</v>
      </c>
      <c r="E27" s="253">
        <f>'IRIS iTunes data'!T123</f>
        <v>0</v>
      </c>
      <c r="F27" s="253">
        <f>'IRIS iTunes data'!Z123</f>
        <v>0</v>
      </c>
      <c r="G27" s="254">
        <f t="shared" si="7"/>
        <v>707.87859079999953</v>
      </c>
      <c r="H27" s="242">
        <f t="shared" si="1"/>
        <v>1179.7976513333326</v>
      </c>
      <c r="I27" s="344">
        <f>SUM(I28:I29)</f>
        <v>1538.0044025563927</v>
      </c>
      <c r="J27" s="246">
        <f t="shared" si="8"/>
        <v>-358.20675122306011</v>
      </c>
      <c r="K27" s="247">
        <f t="shared" si="9"/>
        <v>-0.23290359288157242</v>
      </c>
      <c r="L27" s="285">
        <v>1654.0726753999993</v>
      </c>
      <c r="M27" s="255">
        <f t="shared" si="4"/>
        <v>2833.8703267333321</v>
      </c>
      <c r="N27" s="255">
        <v>4925.8249314660543</v>
      </c>
      <c r="O27" s="246">
        <f t="shared" si="5"/>
        <v>-2091.9546047327221</v>
      </c>
      <c r="P27" s="247">
        <f t="shared" si="6"/>
        <v>-0.42469122103170276</v>
      </c>
      <c r="R27">
        <f>I27/$I$127</f>
        <v>6.929567779838588E-3</v>
      </c>
      <c r="S27" s="163">
        <f>R27*$S$127</f>
        <v>1364.765208060428</v>
      </c>
      <c r="T27" s="109"/>
      <c r="U27" s="109"/>
    </row>
    <row r="28" spans="1:21" s="3" customFormat="1" x14ac:dyDescent="0.2">
      <c r="A28" s="267" t="s">
        <v>42</v>
      </c>
      <c r="B28" s="261">
        <f>VLOOKUP($A28,'IRIS iTunes data'!$A$138:$B$249,2,FALSE)</f>
        <v>204.17831239999992</v>
      </c>
      <c r="C28" s="261">
        <f>VLOOKUP($A28,'IRIS iTunes data'!$G$138:$H$249,2,FALSE)</f>
        <v>256.59973079999992</v>
      </c>
      <c r="D28" s="261">
        <f>VLOOKUP($A28,'IRIS iTunes data'!$M$138:$N$249,2,FALSE)</f>
        <v>165.87035279999955</v>
      </c>
      <c r="E28" s="261">
        <f>VLOOKUP($A28,'IRIS iTunes data'!$S$138:$T$249,2,FALSE)</f>
        <v>0</v>
      </c>
      <c r="F28" s="261">
        <f>VLOOKUP($A28,'IRIS iTunes data'!$Y$138:$Z$249,2,FALSE)</f>
        <v>0</v>
      </c>
      <c r="G28" s="262">
        <f t="shared" si="7"/>
        <v>626.64839599999937</v>
      </c>
      <c r="H28" s="242">
        <f t="shared" si="1"/>
        <v>1044.4139933333322</v>
      </c>
      <c r="I28" s="343">
        <f>VLOOKUP($A28,[2]IRIS!$J:$S,10,FALSE)</f>
        <v>1358.5100078275295</v>
      </c>
      <c r="J28" s="264">
        <f t="shared" si="8"/>
        <v>-314.09601449419733</v>
      </c>
      <c r="K28" s="265">
        <f t="shared" si="9"/>
        <v>-0.2312062573587412</v>
      </c>
      <c r="L28" s="286">
        <v>1487.5178718999996</v>
      </c>
      <c r="M28" s="263">
        <f t="shared" si="4"/>
        <v>2531.9318652333318</v>
      </c>
      <c r="N28" s="263">
        <v>4350.9514375123035</v>
      </c>
      <c r="O28" s="264">
        <f t="shared" si="5"/>
        <v>-1819.0195722789717</v>
      </c>
      <c r="P28" s="265">
        <f t="shared" si="6"/>
        <v>-0.41807397724462142</v>
      </c>
      <c r="R28" s="235"/>
      <c r="S28" s="169"/>
      <c r="T28" s="109"/>
      <c r="U28" s="109"/>
    </row>
    <row r="29" spans="1:21" s="3" customFormat="1" x14ac:dyDescent="0.2">
      <c r="A29" s="267" t="s">
        <v>41</v>
      </c>
      <c r="B29" s="261">
        <f>VLOOKUP($A29,'IRIS iTunes data'!$A$138:$B$249,2,FALSE)</f>
        <v>43.571752000000004</v>
      </c>
      <c r="C29" s="261">
        <f>VLOOKUP($A29,'IRIS iTunes data'!$G$138:$H$249,2,FALSE)</f>
        <v>8.6466923999999992</v>
      </c>
      <c r="D29" s="261">
        <f>VLOOKUP($A29,'IRIS iTunes data'!$M$138:$N$249,2,FALSE)</f>
        <v>29.011750400000004</v>
      </c>
      <c r="E29" s="261">
        <f>VLOOKUP($A29,'IRIS iTunes data'!$S$138:$T$249,2,FALSE)</f>
        <v>0</v>
      </c>
      <c r="F29" s="261">
        <f>VLOOKUP($A29,'IRIS iTunes data'!$Y$138:$Z$249,2,FALSE)</f>
        <v>0</v>
      </c>
      <c r="G29" s="262">
        <f t="shared" si="7"/>
        <v>81.230194800000007</v>
      </c>
      <c r="H29" s="242">
        <f t="shared" si="1"/>
        <v>135.38365800000003</v>
      </c>
      <c r="I29" s="343">
        <f>VLOOKUP($A29,[2]IRIS!$J:$S,10,FALSE)</f>
        <v>179.49439472886326</v>
      </c>
      <c r="J29" s="264">
        <f t="shared" si="8"/>
        <v>-44.11073672886323</v>
      </c>
      <c r="K29" s="265">
        <f t="shared" si="9"/>
        <v>-0.24574993996606451</v>
      </c>
      <c r="L29" s="286">
        <v>166.55480350000002</v>
      </c>
      <c r="M29" s="263">
        <f t="shared" si="4"/>
        <v>301.93846150000002</v>
      </c>
      <c r="N29" s="263">
        <v>574.87349395375031</v>
      </c>
      <c r="O29" s="264">
        <f t="shared" si="5"/>
        <v>-272.9350324537503</v>
      </c>
      <c r="P29" s="265">
        <f t="shared" si="6"/>
        <v>-0.47477407694797708</v>
      </c>
      <c r="R29" s="235"/>
      <c r="S29" s="169"/>
      <c r="T29" s="109"/>
      <c r="U29" s="109"/>
    </row>
    <row r="30" spans="1:21" x14ac:dyDescent="0.2">
      <c r="A30" s="240" t="s">
        <v>13</v>
      </c>
      <c r="B30" s="253">
        <f>'IRIS iTunes data'!B128</f>
        <v>1147.94192</v>
      </c>
      <c r="C30" s="253">
        <f>'IRIS iTunes data'!H128</f>
        <v>1115.75344</v>
      </c>
      <c r="D30" s="253">
        <f>'IRIS iTunes data'!N128</f>
        <v>1265.91104</v>
      </c>
      <c r="E30" s="253">
        <f>'IRIS iTunes data'!T128</f>
        <v>0</v>
      </c>
      <c r="F30" s="253">
        <f>'IRIS iTunes data'!Z128</f>
        <v>0</v>
      </c>
      <c r="G30" s="254">
        <f t="shared" si="7"/>
        <v>3529.6063999999997</v>
      </c>
      <c r="H30" s="242">
        <f t="shared" si="1"/>
        <v>5882.6773333333322</v>
      </c>
      <c r="I30" s="341">
        <f>VLOOKUP($A30,[2]IRIS!$J:$S,10,FALSE)</f>
        <v>4821.387025871787</v>
      </c>
      <c r="J30" s="246">
        <f t="shared" si="8"/>
        <v>1061.2903074615451</v>
      </c>
      <c r="K30" s="247">
        <f t="shared" si="9"/>
        <v>0.2201213679313882</v>
      </c>
      <c r="L30" s="285">
        <v>10699.551360000001</v>
      </c>
      <c r="M30" s="255">
        <f t="shared" si="4"/>
        <v>16582.228693333334</v>
      </c>
      <c r="N30" s="255">
        <v>15441.63877347251</v>
      </c>
      <c r="O30" s="246">
        <f t="shared" si="5"/>
        <v>1140.589919860824</v>
      </c>
      <c r="P30" s="247">
        <f t="shared" si="6"/>
        <v>7.3864564285771622E-2</v>
      </c>
      <c r="R30">
        <f>I30/$I$127</f>
        <v>2.1723038070034336E-2</v>
      </c>
      <c r="S30" s="163">
        <f>R30*$S$127</f>
        <v>4278.3110741209293</v>
      </c>
      <c r="T30" s="109"/>
      <c r="U30" s="109"/>
    </row>
    <row r="31" spans="1:21" x14ac:dyDescent="0.2">
      <c r="A31" s="240" t="s">
        <v>14</v>
      </c>
      <c r="B31" s="253">
        <f>'IRIS iTunes data'!B127</f>
        <v>3874.4295659999302</v>
      </c>
      <c r="C31" s="253">
        <f>'IRIS iTunes data'!H127</f>
        <v>3767.1212879999239</v>
      </c>
      <c r="D31" s="253">
        <f>'IRIS iTunes data'!N127</f>
        <v>4483.9255229999017</v>
      </c>
      <c r="E31" s="253">
        <f>'IRIS iTunes data'!T127</f>
        <v>0</v>
      </c>
      <c r="F31" s="253">
        <f>'IRIS iTunes data'!Z127</f>
        <v>0</v>
      </c>
      <c r="G31" s="254">
        <f>SUM(B31:F31)</f>
        <v>12125.476376999755</v>
      </c>
      <c r="H31" s="242">
        <f t="shared" si="1"/>
        <v>20209.127294999591</v>
      </c>
      <c r="I31" s="344">
        <f>SUM(I32:I33)</f>
        <v>16712.609935960416</v>
      </c>
      <c r="J31" s="246">
        <f t="shared" si="8"/>
        <v>3496.5173590391751</v>
      </c>
      <c r="K31" s="247">
        <f t="shared" si="9"/>
        <v>0.20921432214580327</v>
      </c>
      <c r="L31" s="285">
        <v>37871.260779599092</v>
      </c>
      <c r="M31" s="255">
        <f t="shared" si="4"/>
        <v>58080.388074598683</v>
      </c>
      <c r="N31" s="255">
        <v>53526.108609043877</v>
      </c>
      <c r="O31" s="246">
        <f t="shared" si="5"/>
        <v>4554.2794655548059</v>
      </c>
      <c r="P31" s="247">
        <f t="shared" si="6"/>
        <v>8.5085196437861471E-2</v>
      </c>
      <c r="R31">
        <f>I31/$I$127</f>
        <v>7.5299630571112872E-2</v>
      </c>
      <c r="S31" s="163">
        <f>R31*$S$127</f>
        <v>14830.119171682592</v>
      </c>
      <c r="T31" s="109"/>
      <c r="U31" s="109"/>
    </row>
    <row r="32" spans="1:21" s="3" customFormat="1" x14ac:dyDescent="0.2">
      <c r="A32" s="260" t="s">
        <v>33</v>
      </c>
      <c r="B32" s="261">
        <f>VLOOKUP($A32,'IRIS iTunes data'!$A$138:$B$249,2,FALSE)</f>
        <v>3595.2826769999297</v>
      </c>
      <c r="C32" s="261">
        <f>VLOOKUP($A32,'IRIS iTunes data'!$G$138:$H$249,2,FALSE)</f>
        <v>3494.5859339999233</v>
      </c>
      <c r="D32" s="261">
        <f>VLOOKUP($A32,'IRIS iTunes data'!$M$138:$N$249,2,FALSE)</f>
        <v>4246.969859999901</v>
      </c>
      <c r="E32" s="261">
        <f>VLOOKUP($A32,'IRIS iTunes data'!$S$138:$T$249,2,FALSE)</f>
        <v>0</v>
      </c>
      <c r="F32" s="261">
        <f>VLOOKUP($A32,'IRIS iTunes data'!$Y$138:$Z$249,2,FALSE)</f>
        <v>0</v>
      </c>
      <c r="G32" s="262">
        <f t="shared" ref="G32:G33" si="14">SUM(B32:F32)</f>
        <v>11336.838470999754</v>
      </c>
      <c r="H32" s="242">
        <f t="shared" si="1"/>
        <v>18894.730784999589</v>
      </c>
      <c r="I32" s="343">
        <f>VLOOKUP($A32,[2]IRIS!$J:$S,10,FALSE)</f>
        <v>15840.924302740279</v>
      </c>
      <c r="J32" s="264">
        <f t="shared" si="8"/>
        <v>3053.8064822593096</v>
      </c>
      <c r="K32" s="265">
        <f t="shared" si="9"/>
        <v>0.19277956411489447</v>
      </c>
      <c r="L32" s="286">
        <v>35302.893476999088</v>
      </c>
      <c r="M32" s="263">
        <f t="shared" si="4"/>
        <v>54197.624261998673</v>
      </c>
      <c r="N32" s="263">
        <v>50734.328028065276</v>
      </c>
      <c r="O32" s="264">
        <f t="shared" si="5"/>
        <v>3463.2962339333972</v>
      </c>
      <c r="P32" s="265">
        <f t="shared" si="6"/>
        <v>6.8263370552923586E-2</v>
      </c>
      <c r="R32" s="235"/>
      <c r="S32" s="169"/>
      <c r="T32" s="109"/>
      <c r="U32" s="109"/>
    </row>
    <row r="33" spans="1:21" s="3" customFormat="1" x14ac:dyDescent="0.2">
      <c r="A33" s="260" t="s">
        <v>45</v>
      </c>
      <c r="B33" s="261">
        <f>VLOOKUP($A33,'IRIS iTunes data'!$A$138:$B$249,2,FALSE)</f>
        <v>279.14688900000044</v>
      </c>
      <c r="C33" s="261">
        <f>VLOOKUP($A33,'IRIS iTunes data'!$G$138:$H$249,2,FALSE)</f>
        <v>272.53535400000038</v>
      </c>
      <c r="D33" s="261">
        <f>VLOOKUP($A33,'IRIS iTunes data'!$M$138:$N$249,2,FALSE)</f>
        <v>236.95566300000038</v>
      </c>
      <c r="E33" s="261">
        <f>VLOOKUP($A33,'IRIS iTunes data'!$S$138:$T$249,2,FALSE)</f>
        <v>0</v>
      </c>
      <c r="F33" s="261">
        <f>VLOOKUP($A33,'IRIS iTunes data'!$Y$138:$Z$249,2,FALSE)</f>
        <v>0</v>
      </c>
      <c r="G33" s="262">
        <f t="shared" si="14"/>
        <v>788.63790600000129</v>
      </c>
      <c r="H33" s="242">
        <f t="shared" si="1"/>
        <v>1314.3965100000023</v>
      </c>
      <c r="I33" s="343">
        <f>VLOOKUP($A33,[2]IRIS!$J:$S,10,FALSE)</f>
        <v>871.68563322013847</v>
      </c>
      <c r="J33" s="264">
        <f t="shared" si="8"/>
        <v>442.71087677986384</v>
      </c>
      <c r="K33" s="265">
        <f t="shared" si="9"/>
        <v>0.50787905628824348</v>
      </c>
      <c r="L33" s="286">
        <v>2568.3673026000056</v>
      </c>
      <c r="M33" s="263">
        <f t="shared" si="4"/>
        <v>3882.7638126000079</v>
      </c>
      <c r="N33" s="263">
        <v>2791.7805809786014</v>
      </c>
      <c r="O33" s="264">
        <f t="shared" si="5"/>
        <v>1090.9832316214065</v>
      </c>
      <c r="P33" s="265">
        <f t="shared" si="6"/>
        <v>0.3907840175745419</v>
      </c>
      <c r="R33" s="235"/>
      <c r="S33" s="169"/>
      <c r="T33" s="109"/>
      <c r="U33" s="109"/>
    </row>
    <row r="34" spans="1:21" x14ac:dyDescent="0.2">
      <c r="A34" s="241" t="s">
        <v>182</v>
      </c>
      <c r="B34" s="253">
        <f>'IRIS iTunes data'!B132</f>
        <v>147.39944999999997</v>
      </c>
      <c r="C34" s="253">
        <f>'IRIS iTunes data'!H132</f>
        <v>158.80220999999992</v>
      </c>
      <c r="D34" s="253">
        <f>'IRIS iTunes data'!N132</f>
        <v>131.76333</v>
      </c>
      <c r="E34" s="253">
        <f>'IRIS iTunes data'!T132</f>
        <v>0</v>
      </c>
      <c r="F34" s="253">
        <f>'IRIS iTunes data'!Z132</f>
        <v>0</v>
      </c>
      <c r="G34" s="254">
        <f t="shared" ref="G34:G35" si="15">SUM(B34:F34)</f>
        <v>437.96498999999989</v>
      </c>
      <c r="H34" s="242">
        <f t="shared" si="1"/>
        <v>729.94164999999975</v>
      </c>
      <c r="I34" s="341">
        <f>VLOOKUP($A34,[2]IRIS!$J:$S,10,FALSE)</f>
        <v>2040.018398002911</v>
      </c>
      <c r="J34" s="246">
        <f t="shared" ref="J34:J35" si="16">H34-I34</f>
        <v>-1310.0767480029112</v>
      </c>
      <c r="K34" s="247">
        <f t="shared" ref="K34:K35" si="17">J34/I34</f>
        <v>-0.64218869265366396</v>
      </c>
      <c r="L34" s="285">
        <v>1588.1012099999991</v>
      </c>
      <c r="M34" s="255">
        <f t="shared" si="4"/>
        <v>2318.0428599999987</v>
      </c>
      <c r="N34" s="255">
        <v>6533.64416176548</v>
      </c>
      <c r="O34" s="246">
        <f t="shared" si="5"/>
        <v>-4215.6013017654814</v>
      </c>
      <c r="P34" s="247">
        <f t="shared" si="6"/>
        <v>-0.64521440063034718</v>
      </c>
      <c r="S34" s="163"/>
      <c r="T34" s="109"/>
      <c r="U34" s="109"/>
    </row>
    <row r="35" spans="1:21" x14ac:dyDescent="0.2">
      <c r="A35" s="241" t="s">
        <v>192</v>
      </c>
      <c r="B35" s="253">
        <f>'IRIS iTunes data'!B133</f>
        <v>36.072163999999944</v>
      </c>
      <c r="C35" s="253">
        <f>'IRIS iTunes data'!H133</f>
        <v>47.91247699999996</v>
      </c>
      <c r="D35" s="253">
        <f>'IRIS iTunes data'!N133</f>
        <v>26.039868999999989</v>
      </c>
      <c r="E35" s="253">
        <f>'IRIS iTunes data'!T133</f>
        <v>0</v>
      </c>
      <c r="F35" s="253">
        <f>'IRIS iTunes data'!Z133</f>
        <v>0</v>
      </c>
      <c r="G35" s="254">
        <f t="shared" si="15"/>
        <v>110.02450999999988</v>
      </c>
      <c r="H35" s="242">
        <f t="shared" si="1"/>
        <v>183.37418333333315</v>
      </c>
      <c r="I35" s="341">
        <f>VLOOKUP($A35,[2]IRIS!$J:$S,10,FALSE)</f>
        <v>1030.8979647580145</v>
      </c>
      <c r="J35" s="246">
        <f t="shared" si="16"/>
        <v>-847.52378142468137</v>
      </c>
      <c r="K35" s="247">
        <f t="shared" si="17"/>
        <v>-0.82212188829339961</v>
      </c>
      <c r="L35" s="285">
        <v>694.26115380000033</v>
      </c>
      <c r="M35" s="255">
        <f t="shared" si="4"/>
        <v>877.63533713333345</v>
      </c>
      <c r="N35" s="255">
        <v>3301.6959432380108</v>
      </c>
      <c r="O35" s="246">
        <f t="shared" si="5"/>
        <v>-2424.0606061046774</v>
      </c>
      <c r="P35" s="247">
        <f t="shared" si="6"/>
        <v>-0.73418650529260232</v>
      </c>
      <c r="S35" s="163"/>
      <c r="T35" s="109"/>
      <c r="U35" s="109"/>
    </row>
    <row r="36" spans="1:21" x14ac:dyDescent="0.2">
      <c r="A36" s="241" t="s">
        <v>88</v>
      </c>
      <c r="B36" s="253">
        <f>'IRIS iTunes data'!B124</f>
        <v>72.637628800000016</v>
      </c>
      <c r="C36" s="253">
        <f>'IRIS iTunes data'!H124</f>
        <v>91.230047200000016</v>
      </c>
      <c r="D36" s="253">
        <f>'IRIS iTunes data'!N124</f>
        <v>208.94143560000003</v>
      </c>
      <c r="E36" s="253">
        <f>'IRIS iTunes data'!T124</f>
        <v>0</v>
      </c>
      <c r="F36" s="253">
        <f>'IRIS iTunes data'!Z124</f>
        <v>0</v>
      </c>
      <c r="G36" s="254">
        <f>SUM(B36:F36)</f>
        <v>372.80911160000005</v>
      </c>
      <c r="H36" s="242">
        <f t="shared" si="1"/>
        <v>621.34851933333346</v>
      </c>
      <c r="I36" s="344">
        <f>SUM(I37:I48)</f>
        <v>726.57233469271512</v>
      </c>
      <c r="J36" s="246">
        <f t="shared" si="8"/>
        <v>-105.22381535938166</v>
      </c>
      <c r="K36" s="247">
        <f t="shared" si="9"/>
        <v>-0.14482221567641071</v>
      </c>
      <c r="L36" s="285">
        <v>1132.0105787000002</v>
      </c>
      <c r="M36" s="255">
        <f t="shared" si="4"/>
        <v>1753.3590980333338</v>
      </c>
      <c r="N36" s="255">
        <v>2327.0207255545529</v>
      </c>
      <c r="O36" s="246">
        <f t="shared" si="5"/>
        <v>-573.66162752121909</v>
      </c>
      <c r="P36" s="247">
        <f t="shared" si="6"/>
        <v>-0.24652192445965845</v>
      </c>
      <c r="R36">
        <f>I36/$I$127</f>
        <v>3.2736136722626378E-3</v>
      </c>
      <c r="S36" s="163">
        <f>R36*$S$127</f>
        <v>644.7319928861491</v>
      </c>
      <c r="T36" s="109"/>
      <c r="U36" s="109"/>
    </row>
    <row r="37" spans="1:21" s="3" customFormat="1" x14ac:dyDescent="0.2">
      <c r="A37" s="260" t="s">
        <v>62</v>
      </c>
      <c r="B37" s="261">
        <f>VLOOKUP($A37,'IRIS iTunes data'!$A$138:$B$249,2,FALSE)</f>
        <v>9.2285512000000001</v>
      </c>
      <c r="C37" s="261">
        <f>VLOOKUP($A37,'IRIS iTunes data'!$G$138:$H$249,2,FALSE)</f>
        <v>3.3964315999999997</v>
      </c>
      <c r="D37" s="261">
        <f>VLOOKUP($A37,'IRIS iTunes data'!$M$138:$N$249,2,FALSE)</f>
        <v>2.8822307999999999</v>
      </c>
      <c r="E37" s="261">
        <f>VLOOKUP($A37,'IRIS iTunes data'!$S$138:$T$249,2,FALSE)</f>
        <v>0</v>
      </c>
      <c r="F37" s="261">
        <f>VLOOKUP($A37,'IRIS iTunes data'!$Y$138:$Z$249,2,FALSE)</f>
        <v>0</v>
      </c>
      <c r="G37" s="262">
        <f t="shared" ref="G37:G48" si="18">SUM(B37:F37)</f>
        <v>15.5072136</v>
      </c>
      <c r="H37" s="242">
        <f t="shared" si="1"/>
        <v>25.845356000000002</v>
      </c>
      <c r="I37" s="343">
        <f>VLOOKUP($A37,[2]IRIS!$J:$S,10,FALSE)</f>
        <v>7.3125267054931671</v>
      </c>
      <c r="J37" s="264">
        <f t="shared" si="8"/>
        <v>18.532829294506836</v>
      </c>
      <c r="K37" s="265">
        <f t="shared" si="9"/>
        <v>2.5343947503924986</v>
      </c>
      <c r="L37" s="286">
        <v>23.152768074999997</v>
      </c>
      <c r="M37" s="263">
        <f t="shared" si="4"/>
        <v>48.998124075</v>
      </c>
      <c r="N37" s="263">
        <v>23.420106144077728</v>
      </c>
      <c r="O37" s="264">
        <f t="shared" si="5"/>
        <v>25.578017930922272</v>
      </c>
      <c r="P37" s="265">
        <f t="shared" si="6"/>
        <v>1.0921392829549672</v>
      </c>
      <c r="R37" s="235"/>
      <c r="S37" s="169"/>
      <c r="T37" s="109"/>
      <c r="U37" s="109"/>
    </row>
    <row r="38" spans="1:21" s="3" customFormat="1" x14ac:dyDescent="0.2">
      <c r="A38" s="260" t="s">
        <v>61</v>
      </c>
      <c r="B38" s="261">
        <f>VLOOKUP($A38,'IRIS iTunes data'!$A$138:$B$249,2,FALSE)</f>
        <v>1.9214871999999998</v>
      </c>
      <c r="C38" s="261">
        <f>VLOOKUP($A38,'IRIS iTunes data'!$G$138:$H$249,2,FALSE)</f>
        <v>2.2056507999999999</v>
      </c>
      <c r="D38" s="261">
        <f>VLOOKUP($A38,'IRIS iTunes data'!$M$138:$N$249,2,FALSE)</f>
        <v>0</v>
      </c>
      <c r="E38" s="261">
        <f>VLOOKUP($A38,'IRIS iTunes data'!$S$138:$T$249,2,FALSE)</f>
        <v>0</v>
      </c>
      <c r="F38" s="261">
        <f>VLOOKUP($A38,'IRIS iTunes data'!$Y$138:$Z$249,2,FALSE)</f>
        <v>0</v>
      </c>
      <c r="G38" s="262">
        <f t="shared" si="18"/>
        <v>4.1271379999999995</v>
      </c>
      <c r="H38" s="242">
        <f t="shared" si="1"/>
        <v>10.317844999999998</v>
      </c>
      <c r="I38" s="343">
        <f>VLOOKUP($A38,[2]IRIS!$J:$S,10,FALSE)</f>
        <v>7.8515830611028967</v>
      </c>
      <c r="J38" s="264">
        <f t="shared" si="8"/>
        <v>2.4662619388971017</v>
      </c>
      <c r="K38" s="265">
        <f t="shared" si="9"/>
        <v>0.31411015074336751</v>
      </c>
      <c r="L38" s="286">
        <v>31.765789399999999</v>
      </c>
      <c r="M38" s="263">
        <f t="shared" si="4"/>
        <v>42.083634399999994</v>
      </c>
      <c r="N38" s="263">
        <v>25.14656234375709</v>
      </c>
      <c r="O38" s="264">
        <f t="shared" si="5"/>
        <v>16.937072056242904</v>
      </c>
      <c r="P38" s="265">
        <f t="shared" si="6"/>
        <v>0.67353429167417467</v>
      </c>
      <c r="R38" s="235"/>
      <c r="S38" s="169"/>
      <c r="T38" s="109"/>
      <c r="U38" s="109"/>
    </row>
    <row r="39" spans="1:21" s="3" customFormat="1" x14ac:dyDescent="0.2">
      <c r="A39" s="260" t="s">
        <v>60</v>
      </c>
      <c r="B39" s="261">
        <f>VLOOKUP($A39,'IRIS iTunes data'!$A$138:$B$249,2,FALSE)</f>
        <v>8.2678075999999994</v>
      </c>
      <c r="C39" s="261">
        <f>VLOOKUP($A39,'IRIS iTunes data'!$G$138:$H$249,2,FALSE)</f>
        <v>21.718218000000004</v>
      </c>
      <c r="D39" s="261">
        <f>VLOOKUP($A39,'IRIS iTunes data'!$M$138:$N$249,2,FALSE)</f>
        <v>65.777107600000008</v>
      </c>
      <c r="E39" s="261">
        <f>VLOOKUP($A39,'IRIS iTunes data'!$S$138:$T$249,2,FALSE)</f>
        <v>0</v>
      </c>
      <c r="F39" s="261">
        <f>VLOOKUP($A39,'IRIS iTunes data'!$Y$138:$Z$249,2,FALSE)</f>
        <v>0</v>
      </c>
      <c r="G39" s="262">
        <f t="shared" si="18"/>
        <v>95.763133200000013</v>
      </c>
      <c r="H39" s="242">
        <f t="shared" si="1"/>
        <v>159.60522200000003</v>
      </c>
      <c r="I39" s="343">
        <f>VLOOKUP($A39,[2]IRIS!$J:$S,10,FALSE)</f>
        <v>317.92888233956472</v>
      </c>
      <c r="J39" s="264">
        <f t="shared" si="8"/>
        <v>-158.3236603395647</v>
      </c>
      <c r="K39" s="265">
        <f t="shared" si="9"/>
        <v>-0.49798451519880071</v>
      </c>
      <c r="L39" s="286">
        <v>293.7156078000001</v>
      </c>
      <c r="M39" s="263">
        <f t="shared" si="4"/>
        <v>453.32082980000013</v>
      </c>
      <c r="N39" s="263">
        <v>1018.2428687839495</v>
      </c>
      <c r="O39" s="264">
        <f t="shared" si="5"/>
        <v>-564.92203898394928</v>
      </c>
      <c r="P39" s="265">
        <f t="shared" si="6"/>
        <v>-0.55480087934091327</v>
      </c>
      <c r="R39" s="235"/>
      <c r="S39" s="169"/>
      <c r="T39" s="109"/>
      <c r="U39" s="109"/>
    </row>
    <row r="40" spans="1:21" s="3" customFormat="1" x14ac:dyDescent="0.2">
      <c r="A40" s="260" t="s">
        <v>59</v>
      </c>
      <c r="B40" s="261">
        <f>VLOOKUP($A40,'IRIS iTunes data'!$A$138:$B$249,2,FALSE)</f>
        <v>0</v>
      </c>
      <c r="C40" s="261">
        <f>VLOOKUP($A40,'IRIS iTunes data'!$G$138:$H$249,2,FALSE)</f>
        <v>0.96074359999999992</v>
      </c>
      <c r="D40" s="261">
        <f>VLOOKUP($A40,'IRIS iTunes data'!$M$138:$N$249,2,FALSE)</f>
        <v>1.2449071999999999</v>
      </c>
      <c r="E40" s="261">
        <f>VLOOKUP($A40,'IRIS iTunes data'!$S$138:$T$249,2,FALSE)</f>
        <v>0</v>
      </c>
      <c r="F40" s="261">
        <f>VLOOKUP($A40,'IRIS iTunes data'!$Y$138:$Z$249,2,FALSE)</f>
        <v>0</v>
      </c>
      <c r="G40" s="262">
        <f t="shared" si="18"/>
        <v>2.2056507999999999</v>
      </c>
      <c r="H40" s="242">
        <f t="shared" si="1"/>
        <v>5.5141270000000002</v>
      </c>
      <c r="I40" s="343">
        <f>VLOOKUP($A40,[2]IRIS!$J:$S,10,FALSE)</f>
        <v>11.109662653171027</v>
      </c>
      <c r="J40" s="264">
        <f t="shared" si="8"/>
        <v>-5.5955356531710265</v>
      </c>
      <c r="K40" s="265">
        <f t="shared" si="9"/>
        <v>-0.50366386701885091</v>
      </c>
      <c r="L40" s="286">
        <v>61.063301125000002</v>
      </c>
      <c r="M40" s="263">
        <f t="shared" si="4"/>
        <v>66.577428124999997</v>
      </c>
      <c r="N40" s="263">
        <v>35.581337209573185</v>
      </c>
      <c r="O40" s="264">
        <f t="shared" si="5"/>
        <v>30.996090915426812</v>
      </c>
      <c r="P40" s="265">
        <f t="shared" si="6"/>
        <v>0.87113339031809323</v>
      </c>
      <c r="R40" s="235"/>
      <c r="S40" s="169"/>
      <c r="T40" s="109"/>
      <c r="U40" s="109"/>
    </row>
    <row r="41" spans="1:21" s="3" customFormat="1" x14ac:dyDescent="0.2">
      <c r="A41" s="260" t="s">
        <v>58</v>
      </c>
      <c r="B41" s="261">
        <f>VLOOKUP($A41,'IRIS iTunes data'!$A$138:$B$249,2,FALSE)</f>
        <v>14.681786000000001</v>
      </c>
      <c r="C41" s="261">
        <f>VLOOKUP($A41,'IRIS iTunes data'!$G$138:$H$249,2,FALSE)</f>
        <v>0.96074359999999992</v>
      </c>
      <c r="D41" s="261">
        <f>VLOOKUP($A41,'IRIS iTunes data'!$M$138:$N$249,2,FALSE)</f>
        <v>16.914500000000004</v>
      </c>
      <c r="E41" s="261">
        <f>VLOOKUP($A41,'IRIS iTunes data'!$S$138:$T$249,2,FALSE)</f>
        <v>0</v>
      </c>
      <c r="F41" s="261">
        <f>VLOOKUP($A41,'IRIS iTunes data'!$Y$138:$Z$249,2,FALSE)</f>
        <v>0</v>
      </c>
      <c r="G41" s="262">
        <f t="shared" si="18"/>
        <v>32.557029600000007</v>
      </c>
      <c r="H41" s="242">
        <f t="shared" si="1"/>
        <v>54.261716000000007</v>
      </c>
      <c r="I41" s="343">
        <f>VLOOKUP($A41,[2]IRIS!$J:$S,10,FALSE)</f>
        <v>81.169444693234112</v>
      </c>
      <c r="J41" s="264">
        <f t="shared" si="8"/>
        <v>-26.907728693234105</v>
      </c>
      <c r="K41" s="265">
        <f t="shared" si="9"/>
        <v>-0.33150071181252028</v>
      </c>
      <c r="L41" s="286">
        <v>76.724208599999997</v>
      </c>
      <c r="M41" s="263">
        <f t="shared" si="4"/>
        <v>130.9859246</v>
      </c>
      <c r="N41" s="263">
        <v>259.96445372888161</v>
      </c>
      <c r="O41" s="264">
        <f t="shared" si="5"/>
        <v>-128.9785291288816</v>
      </c>
      <c r="P41" s="265">
        <f t="shared" si="6"/>
        <v>-0.49613909624503527</v>
      </c>
      <c r="R41" s="235"/>
      <c r="S41" s="169"/>
      <c r="T41" s="109"/>
      <c r="U41" s="109"/>
    </row>
    <row r="42" spans="1:21" s="3" customFormat="1" x14ac:dyDescent="0.2">
      <c r="A42" s="260" t="s">
        <v>57</v>
      </c>
      <c r="B42" s="261">
        <f>VLOOKUP($A42,'IRIS iTunes data'!$A$138:$B$249,2,FALSE)</f>
        <v>9.2285512000000001</v>
      </c>
      <c r="C42" s="261">
        <f>VLOOKUP($A42,'IRIS iTunes data'!$G$138:$H$249,2,FALSE)</f>
        <v>29.228256000000002</v>
      </c>
      <c r="D42" s="261">
        <f>VLOOKUP($A42,'IRIS iTunes data'!$M$138:$N$249,2,FALSE)</f>
        <v>5.8321196000000004</v>
      </c>
      <c r="E42" s="261">
        <f>VLOOKUP($A42,'IRIS iTunes data'!$S$138:$T$249,2,FALSE)</f>
        <v>0</v>
      </c>
      <c r="F42" s="261">
        <f>VLOOKUP($A42,'IRIS iTunes data'!$Y$138:$Z$249,2,FALSE)</f>
        <v>0</v>
      </c>
      <c r="G42" s="262">
        <f t="shared" si="18"/>
        <v>44.288926799999999</v>
      </c>
      <c r="H42" s="242">
        <f t="shared" si="1"/>
        <v>73.814877999999993</v>
      </c>
      <c r="I42" s="343">
        <f>VLOOKUP($A42,[2]IRIS!$J:$S,10,FALSE)</f>
        <v>9.6692531659560252</v>
      </c>
      <c r="J42" s="264">
        <f t="shared" si="8"/>
        <v>64.145624834043971</v>
      </c>
      <c r="K42" s="265">
        <f t="shared" si="9"/>
        <v>6.6339792467003544</v>
      </c>
      <c r="L42" s="286">
        <v>50.260934799999994</v>
      </c>
      <c r="M42" s="263">
        <f t="shared" si="4"/>
        <v>124.07581279999999</v>
      </c>
      <c r="N42" s="263">
        <v>30.968083208576438</v>
      </c>
      <c r="O42" s="264">
        <f t="shared" si="5"/>
        <v>93.107729591423549</v>
      </c>
      <c r="P42" s="265">
        <f t="shared" si="6"/>
        <v>3.0065706348153278</v>
      </c>
      <c r="R42" s="235"/>
      <c r="S42" s="169"/>
      <c r="T42" s="109"/>
      <c r="U42" s="109"/>
    </row>
    <row r="43" spans="1:21" s="3" customFormat="1" x14ac:dyDescent="0.2">
      <c r="A43" s="260" t="s">
        <v>56</v>
      </c>
      <c r="B43" s="261">
        <f>VLOOKUP($A43,'IRIS iTunes data'!$A$138:$B$249,2,FALSE)</f>
        <v>2.8822307999999999</v>
      </c>
      <c r="C43" s="261">
        <f>VLOOKUP($A43,'IRIS iTunes data'!$G$138:$H$249,2,FALSE)</f>
        <v>0</v>
      </c>
      <c r="D43" s="261">
        <f>VLOOKUP($A43,'IRIS iTunes data'!$M$138:$N$249,2,FALSE)</f>
        <v>0.96074359999999992</v>
      </c>
      <c r="E43" s="261">
        <f>VLOOKUP($A43,'IRIS iTunes data'!$S$138:$T$249,2,FALSE)</f>
        <v>0</v>
      </c>
      <c r="F43" s="261">
        <f>VLOOKUP($A43,'IRIS iTunes data'!$Y$138:$Z$249,2,FALSE)</f>
        <v>0</v>
      </c>
      <c r="G43" s="262">
        <f t="shared" si="18"/>
        <v>3.8429743999999997</v>
      </c>
      <c r="H43" s="242">
        <f t="shared" si="1"/>
        <v>9.6074359999999999</v>
      </c>
      <c r="I43" s="343">
        <f>VLOOKUP($A43,[2]IRIS!$J:$S,10,FALSE)</f>
        <v>5.7516147775588369</v>
      </c>
      <c r="J43" s="264">
        <f t="shared" si="8"/>
        <v>3.855821222441163</v>
      </c>
      <c r="K43" s="265">
        <f t="shared" si="9"/>
        <v>0.67038933787524846</v>
      </c>
      <c r="L43" s="286">
        <v>24.329897800000005</v>
      </c>
      <c r="M43" s="263">
        <f t="shared" si="4"/>
        <v>33.937333800000005</v>
      </c>
      <c r="N43" s="263">
        <v>18.420914413766834</v>
      </c>
      <c r="O43" s="264">
        <f t="shared" si="5"/>
        <v>15.516419386233171</v>
      </c>
      <c r="P43" s="265">
        <f t="shared" si="6"/>
        <v>0.8423262297248939</v>
      </c>
      <c r="R43" s="235"/>
      <c r="S43" s="169"/>
      <c r="T43" s="109"/>
      <c r="U43" s="109"/>
    </row>
    <row r="44" spans="1:21" s="3" customFormat="1" x14ac:dyDescent="0.2">
      <c r="A44" s="260" t="s">
        <v>55</v>
      </c>
      <c r="B44" s="261">
        <f>VLOOKUP($A44,'IRIS iTunes data'!$A$138:$B$249,2,FALSE)</f>
        <v>2.4086248000000001</v>
      </c>
      <c r="C44" s="261">
        <f>VLOOKUP($A44,'IRIS iTunes data'!$G$138:$H$249,2,FALSE)</f>
        <v>0</v>
      </c>
      <c r="D44" s="261">
        <f>VLOOKUP($A44,'IRIS iTunes data'!$M$138:$N$249,2,FALSE)</f>
        <v>3.8429743999999997</v>
      </c>
      <c r="E44" s="261">
        <f>VLOOKUP($A44,'IRIS iTunes data'!$S$138:$T$249,2,FALSE)</f>
        <v>0</v>
      </c>
      <c r="F44" s="261">
        <f>VLOOKUP($A44,'IRIS iTunes data'!$Y$138:$Z$249,2,FALSE)</f>
        <v>0</v>
      </c>
      <c r="G44" s="262">
        <f t="shared" si="18"/>
        <v>6.2515991999999994</v>
      </c>
      <c r="H44" s="242">
        <f t="shared" si="1"/>
        <v>15.628997999999999</v>
      </c>
      <c r="I44" s="343">
        <f>VLOOKUP($A44,[2]IRIS!$J:$S,10,FALSE)</f>
        <v>8.0711438351051132</v>
      </c>
      <c r="J44" s="264">
        <f t="shared" si="8"/>
        <v>7.557854164894886</v>
      </c>
      <c r="K44" s="265">
        <f t="shared" si="9"/>
        <v>0.93640434606335543</v>
      </c>
      <c r="L44" s="286">
        <v>34.241320824999995</v>
      </c>
      <c r="M44" s="263">
        <f t="shared" si="4"/>
        <v>49.870318824999998</v>
      </c>
      <c r="N44" s="263">
        <v>25.849757947589211</v>
      </c>
      <c r="O44" s="264">
        <f t="shared" si="5"/>
        <v>24.020560877410787</v>
      </c>
      <c r="P44" s="265">
        <f t="shared" si="6"/>
        <v>0.92923736176225913</v>
      </c>
      <c r="R44" s="235"/>
      <c r="S44" s="169"/>
      <c r="T44" s="109"/>
      <c r="U44" s="109"/>
    </row>
    <row r="45" spans="1:21" s="3" customFormat="1" x14ac:dyDescent="0.2">
      <c r="A45" s="260" t="s">
        <v>54</v>
      </c>
      <c r="B45" s="261">
        <f>VLOOKUP($A45,'IRIS iTunes data'!$A$138:$B$249,2,FALSE)</f>
        <v>21.136359200000008</v>
      </c>
      <c r="C45" s="261">
        <f>VLOOKUP($A45,'IRIS iTunes data'!$G$138:$H$249,2,FALSE)</f>
        <v>23.544984000000003</v>
      </c>
      <c r="D45" s="261">
        <f>VLOOKUP($A45,'IRIS iTunes data'!$M$138:$N$249,2,FALSE)</f>
        <v>63.124914000000004</v>
      </c>
      <c r="E45" s="261">
        <f>VLOOKUP($A45,'IRIS iTunes data'!$S$138:$T$249,2,FALSE)</f>
        <v>0</v>
      </c>
      <c r="F45" s="261">
        <f>VLOOKUP($A45,'IRIS iTunes data'!$Y$138:$Z$249,2,FALSE)</f>
        <v>0</v>
      </c>
      <c r="G45" s="262">
        <f t="shared" si="18"/>
        <v>107.80625720000002</v>
      </c>
      <c r="H45" s="242">
        <f t="shared" si="1"/>
        <v>179.67709533333337</v>
      </c>
      <c r="I45" s="343">
        <f>VLOOKUP($A45,[2]IRIS!$J:$S,10,FALSE)</f>
        <v>181.06246075026868</v>
      </c>
      <c r="J45" s="264">
        <f t="shared" si="8"/>
        <v>-1.3853654169353149</v>
      </c>
      <c r="K45" s="265">
        <f t="shared" si="9"/>
        <v>-7.651312211237906E-3</v>
      </c>
      <c r="L45" s="286">
        <v>399.63735940000009</v>
      </c>
      <c r="M45" s="263">
        <f t="shared" si="4"/>
        <v>579.31445473333349</v>
      </c>
      <c r="N45" s="263">
        <v>579.89559837008687</v>
      </c>
      <c r="O45" s="264">
        <f t="shared" si="5"/>
        <v>-0.58114363675338154</v>
      </c>
      <c r="P45" s="265">
        <f t="shared" si="6"/>
        <v>-1.0021521777140619E-3</v>
      </c>
      <c r="R45" s="235"/>
      <c r="S45" s="169"/>
      <c r="T45" s="109"/>
      <c r="U45" s="109"/>
    </row>
    <row r="46" spans="1:21" s="3" customFormat="1" x14ac:dyDescent="0.2">
      <c r="A46" s="260" t="s">
        <v>53</v>
      </c>
      <c r="B46" s="261">
        <f>VLOOKUP($A46,'IRIS iTunes data'!$A$138:$B$249,2,FALSE)</f>
        <v>0</v>
      </c>
      <c r="C46" s="261">
        <f>VLOOKUP($A46,'IRIS iTunes data'!$G$138:$H$249,2,FALSE)</f>
        <v>4.1271379999999995</v>
      </c>
      <c r="D46" s="261">
        <f>VLOOKUP($A46,'IRIS iTunes data'!$M$138:$N$249,2,FALSE)</f>
        <v>7.902454399999999</v>
      </c>
      <c r="E46" s="261">
        <f>VLOOKUP($A46,'IRIS iTunes data'!$S$138:$T$249,2,FALSE)</f>
        <v>0</v>
      </c>
      <c r="F46" s="261">
        <f>VLOOKUP($A46,'IRIS iTunes data'!$Y$138:$Z$249,2,FALSE)</f>
        <v>0</v>
      </c>
      <c r="G46" s="262">
        <f t="shared" si="18"/>
        <v>12.029592399999999</v>
      </c>
      <c r="H46" s="242">
        <f t="shared" si="1"/>
        <v>30.073980999999996</v>
      </c>
      <c r="I46" s="343">
        <f>VLOOKUP($A46,[2]IRIS!$J:$S,10,FALSE)</f>
        <v>23.386756548274853</v>
      </c>
      <c r="J46" s="264">
        <f t="shared" si="8"/>
        <v>6.6872244517251431</v>
      </c>
      <c r="K46" s="265">
        <f t="shared" si="9"/>
        <v>0.28594065354558251</v>
      </c>
      <c r="L46" s="286">
        <v>102.20055540000003</v>
      </c>
      <c r="M46" s="263">
        <f t="shared" si="4"/>
        <v>132.27453640000002</v>
      </c>
      <c r="N46" s="263">
        <v>74.901650658568485</v>
      </c>
      <c r="O46" s="264">
        <f t="shared" si="5"/>
        <v>57.372885741431531</v>
      </c>
      <c r="P46" s="265">
        <f t="shared" si="6"/>
        <v>0.76597625335334685</v>
      </c>
      <c r="R46" s="235"/>
      <c r="S46" s="169"/>
      <c r="T46" s="109"/>
      <c r="U46" s="109"/>
    </row>
    <row r="47" spans="1:21" s="3" customFormat="1" x14ac:dyDescent="0.2">
      <c r="A47" s="260" t="s">
        <v>52</v>
      </c>
      <c r="B47" s="261">
        <f>VLOOKUP($A47,'IRIS iTunes data'!$A$138:$B$249,2,FALSE)</f>
        <v>1.9214871999999998</v>
      </c>
      <c r="C47" s="261">
        <f>VLOOKUP($A47,'IRIS iTunes data'!$G$138:$H$249,2,FALSE)</f>
        <v>4.1271379999999995</v>
      </c>
      <c r="D47" s="261">
        <f>VLOOKUP($A47,'IRIS iTunes data'!$M$138:$N$249,2,FALSE)</f>
        <v>13.139183600000001</v>
      </c>
      <c r="E47" s="261">
        <f>VLOOKUP($A47,'IRIS iTunes data'!$S$138:$T$249,2,FALSE)</f>
        <v>0</v>
      </c>
      <c r="F47" s="261">
        <f>VLOOKUP($A47,'IRIS iTunes data'!$Y$138:$Z$249,2,FALSE)</f>
        <v>0</v>
      </c>
      <c r="G47" s="262">
        <f t="shared" si="18"/>
        <v>19.187808799999999</v>
      </c>
      <c r="H47" s="242">
        <f t="shared" si="1"/>
        <v>31.979681333333332</v>
      </c>
      <c r="I47" s="343">
        <f>VLOOKUP($A47,[2]IRIS!$J:$S,10,FALSE)</f>
        <v>65.838742192389617</v>
      </c>
      <c r="J47" s="264">
        <f t="shared" si="8"/>
        <v>-33.859060859056285</v>
      </c>
      <c r="K47" s="265">
        <f t="shared" si="9"/>
        <v>-0.5142725959149641</v>
      </c>
      <c r="L47" s="286">
        <v>89.454986500000018</v>
      </c>
      <c r="M47" s="263">
        <f t="shared" si="4"/>
        <v>121.43466783333335</v>
      </c>
      <c r="N47" s="263">
        <v>210.86423238359203</v>
      </c>
      <c r="O47" s="264">
        <f t="shared" si="5"/>
        <v>-89.429564550258675</v>
      </c>
      <c r="P47" s="265">
        <f t="shared" si="6"/>
        <v>-0.42410969152688532</v>
      </c>
      <c r="R47" s="235"/>
      <c r="S47" s="169"/>
      <c r="T47" s="109"/>
      <c r="U47" s="109"/>
    </row>
    <row r="48" spans="1:21" s="3" customFormat="1" x14ac:dyDescent="0.2">
      <c r="A48" s="260" t="s">
        <v>90</v>
      </c>
      <c r="B48" s="261">
        <f>VLOOKUP($A48,'IRIS iTunes data'!$A$138:$B$249,2,FALSE)</f>
        <v>0.96074359999999992</v>
      </c>
      <c r="C48" s="261">
        <f>VLOOKUP($A48,'IRIS iTunes data'!$G$138:$H$249,2,FALSE)</f>
        <v>0.96074359999999992</v>
      </c>
      <c r="D48" s="261">
        <f>VLOOKUP($A48,'IRIS iTunes data'!$M$138:$N$249,2,FALSE)</f>
        <v>27.320300400000001</v>
      </c>
      <c r="E48" s="261">
        <f>VLOOKUP($A48,'IRIS iTunes data'!$S$138:$T$249,2,FALSE)</f>
        <v>0</v>
      </c>
      <c r="F48" s="261">
        <f>VLOOKUP($A48,'IRIS iTunes data'!$Y$138:$Z$249,2,FALSE)</f>
        <v>0</v>
      </c>
      <c r="G48" s="262">
        <f t="shared" si="18"/>
        <v>29.241787600000002</v>
      </c>
      <c r="H48" s="242">
        <f t="shared" si="1"/>
        <v>48.73631266666667</v>
      </c>
      <c r="I48" s="343">
        <f>VLOOKUP($A48,[2]IRIS!$J:$S,10,FALSE)</f>
        <v>7.4202639705960154</v>
      </c>
      <c r="J48" s="264">
        <f t="shared" si="8"/>
        <v>41.316048696070652</v>
      </c>
      <c r="K48" s="265">
        <f t="shared" si="9"/>
        <v>5.5680025481293001</v>
      </c>
      <c r="L48" s="286">
        <v>23.127374</v>
      </c>
      <c r="M48" s="263">
        <f t="shared" si="4"/>
        <v>71.863686666666666</v>
      </c>
      <c r="N48" s="263">
        <v>23.765160362134246</v>
      </c>
      <c r="O48" s="264">
        <f t="shared" si="5"/>
        <v>48.09852630453242</v>
      </c>
      <c r="P48" s="265">
        <f t="shared" si="6"/>
        <v>2.0239091835108871</v>
      </c>
      <c r="R48" s="235"/>
      <c r="S48" s="169"/>
      <c r="T48" s="109"/>
      <c r="U48" s="109"/>
    </row>
    <row r="49" spans="1:21" x14ac:dyDescent="0.2">
      <c r="A49" s="241" t="s">
        <v>95</v>
      </c>
      <c r="B49" s="253">
        <f>'IRIS iTunes data'!B129</f>
        <v>302.32000000000028</v>
      </c>
      <c r="C49" s="253">
        <f>'IRIS iTunes data'!H129</f>
        <v>265.78999999999996</v>
      </c>
      <c r="D49" s="253">
        <f>'IRIS iTunes data'!N129</f>
        <v>293.0400000000003</v>
      </c>
      <c r="E49" s="253">
        <f>'IRIS iTunes data'!T129</f>
        <v>0</v>
      </c>
      <c r="F49" s="253">
        <f>'IRIS iTunes data'!Z129</f>
        <v>0</v>
      </c>
      <c r="G49" s="254">
        <f>SUM(B49:F49)</f>
        <v>861.15000000000055</v>
      </c>
      <c r="H49" s="242">
        <f t="shared" si="1"/>
        <v>1435.2500000000009</v>
      </c>
      <c r="I49" s="344">
        <f>SUM(I50:I66)</f>
        <v>3996.4242225322046</v>
      </c>
      <c r="J49" s="246">
        <f t="shared" si="8"/>
        <v>-2561.1742225322037</v>
      </c>
      <c r="K49" s="247">
        <f t="shared" si="9"/>
        <v>-0.64086645459009817</v>
      </c>
      <c r="L49" s="285">
        <v>3362.6700000000051</v>
      </c>
      <c r="M49" s="255">
        <f t="shared" si="4"/>
        <v>4797.9200000000055</v>
      </c>
      <c r="N49" s="255">
        <v>12799.499168756234</v>
      </c>
      <c r="O49" s="246">
        <f t="shared" si="5"/>
        <v>-8001.5791687562287</v>
      </c>
      <c r="P49" s="247">
        <f t="shared" si="6"/>
        <v>-0.62514783299398158</v>
      </c>
      <c r="R49">
        <f>I49/$I$127</f>
        <v>1.8006120451277596E-2</v>
      </c>
      <c r="S49" s="163">
        <f>R49*$S$127</f>
        <v>3546.2712112502645</v>
      </c>
      <c r="T49" s="109"/>
      <c r="U49" s="109"/>
    </row>
    <row r="50" spans="1:21" s="3" customFormat="1" x14ac:dyDescent="0.2">
      <c r="A50" s="260" t="s">
        <v>128</v>
      </c>
      <c r="B50" s="261">
        <f>VLOOKUP($A50,'IRIS iTunes data'!$A$138:$B$249,2,FALSE)</f>
        <v>29.889999999999993</v>
      </c>
      <c r="C50" s="261">
        <f>VLOOKUP($A50,'IRIS iTunes data'!$G$138:$H$249,2,FALSE)</f>
        <v>28.329999999999995</v>
      </c>
      <c r="D50" s="261">
        <f>VLOOKUP($A50,'IRIS iTunes data'!$M$138:$N$249,2,FALSE)</f>
        <v>10.369999999999997</v>
      </c>
      <c r="E50" s="261">
        <f>VLOOKUP($A50,'IRIS iTunes data'!$S$138:$T$249,2,FALSE)</f>
        <v>0</v>
      </c>
      <c r="F50" s="261">
        <f>VLOOKUP($A50,'IRIS iTunes data'!$Y$138:$Z$249,2,FALSE)</f>
        <v>0</v>
      </c>
      <c r="G50" s="262">
        <f t="shared" ref="G50:G66" si="19">SUM(B50:F50)</f>
        <v>68.589999999999975</v>
      </c>
      <c r="H50" s="242">
        <f t="shared" si="1"/>
        <v>114.31666666666663</v>
      </c>
      <c r="I50" s="343">
        <f>VLOOKUP($A50,[2]IRIS!$J:$S,10,FALSE)</f>
        <v>52.171191259689635</v>
      </c>
      <c r="J50" s="264">
        <f t="shared" si="8"/>
        <v>62.145475406976999</v>
      </c>
      <c r="K50" s="265">
        <f t="shared" si="9"/>
        <v>1.1911837530724365</v>
      </c>
      <c r="L50" s="286">
        <v>180.99999999999997</v>
      </c>
      <c r="M50" s="263">
        <f t="shared" si="4"/>
        <v>295.31666666666661</v>
      </c>
      <c r="N50" s="263">
        <v>167.09064953527687</v>
      </c>
      <c r="O50" s="264">
        <f t="shared" si="5"/>
        <v>128.22601713138974</v>
      </c>
      <c r="P50" s="265">
        <f t="shared" si="6"/>
        <v>0.76740390613131304</v>
      </c>
      <c r="R50" s="235"/>
      <c r="S50" s="169"/>
      <c r="T50" s="109"/>
      <c r="U50" s="109"/>
    </row>
    <row r="51" spans="1:21" s="3" customFormat="1" x14ac:dyDescent="0.2">
      <c r="A51" s="260" t="s">
        <v>134</v>
      </c>
      <c r="B51" s="261">
        <f>VLOOKUP($A51,'IRIS iTunes data'!$A$138:$B$249,2,FALSE)</f>
        <v>0</v>
      </c>
      <c r="C51" s="261">
        <f>VLOOKUP($A51,'IRIS iTunes data'!$G$138:$H$249,2,FALSE)</f>
        <v>0</v>
      </c>
      <c r="D51" s="261">
        <f>VLOOKUP($A51,'IRIS iTunes data'!$M$138:$N$249,2,FALSE)</f>
        <v>0</v>
      </c>
      <c r="E51" s="261">
        <f>VLOOKUP($A51,'IRIS iTunes data'!$S$138:$T$249,2,FALSE)</f>
        <v>0</v>
      </c>
      <c r="F51" s="261">
        <f>VLOOKUP($A51,'IRIS iTunes data'!$Y$138:$Z$249,2,FALSE)</f>
        <v>0</v>
      </c>
      <c r="G51" s="262">
        <f t="shared" si="19"/>
        <v>0</v>
      </c>
      <c r="H51" s="242">
        <f t="shared" si="1"/>
        <v>0</v>
      </c>
      <c r="I51" s="343">
        <f>VLOOKUP($A51,[2]IRIS!$J:$S,10,FALSE)</f>
        <v>0.46065084244422555</v>
      </c>
      <c r="J51" s="264">
        <f t="shared" si="8"/>
        <v>-0.46065084244422555</v>
      </c>
      <c r="K51" s="265">
        <f t="shared" si="9"/>
        <v>-1</v>
      </c>
      <c r="L51" s="286">
        <v>44.53</v>
      </c>
      <c r="M51" s="263">
        <f t="shared" si="4"/>
        <v>44.53</v>
      </c>
      <c r="N51" s="263">
        <v>1.4753438941013752</v>
      </c>
      <c r="O51" s="264">
        <f t="shared" si="5"/>
        <v>43.054656105898623</v>
      </c>
      <c r="P51" s="265">
        <f t="shared" si="6"/>
        <v>29.182793434152519</v>
      </c>
      <c r="R51" s="235"/>
      <c r="S51" s="169"/>
      <c r="T51" s="109"/>
      <c r="U51" s="109"/>
    </row>
    <row r="52" spans="1:21" s="3" customFormat="1" x14ac:dyDescent="0.2">
      <c r="A52" s="260" t="s">
        <v>136</v>
      </c>
      <c r="B52" s="261">
        <f>VLOOKUP($A52,'IRIS iTunes data'!$A$138:$B$249,2,FALSE)</f>
        <v>0</v>
      </c>
      <c r="C52" s="261">
        <f>VLOOKUP($A52,'IRIS iTunes data'!$G$138:$H$249,2,FALSE)</f>
        <v>0</v>
      </c>
      <c r="D52" s="261">
        <f>VLOOKUP($A52,'IRIS iTunes data'!$M$138:$N$249,2,FALSE)</f>
        <v>0</v>
      </c>
      <c r="E52" s="261">
        <f>VLOOKUP($A52,'IRIS iTunes data'!$S$138:$T$249,2,FALSE)</f>
        <v>0</v>
      </c>
      <c r="F52" s="261">
        <f>VLOOKUP($A52,'IRIS iTunes data'!$Y$138:$Z$249,2,FALSE)</f>
        <v>0</v>
      </c>
      <c r="G52" s="262">
        <f t="shared" si="19"/>
        <v>0</v>
      </c>
      <c r="H52" s="242">
        <f t="shared" si="1"/>
        <v>0</v>
      </c>
      <c r="I52" s="343">
        <f>VLOOKUP($A52,[2]IRIS!$J:$S,10,FALSE)</f>
        <v>1.0923751174182794</v>
      </c>
      <c r="J52" s="264">
        <f t="shared" si="8"/>
        <v>-1.0923751174182794</v>
      </c>
      <c r="K52" s="265">
        <f t="shared" si="9"/>
        <v>-1</v>
      </c>
      <c r="L52" s="286">
        <v>35.989999999999995</v>
      </c>
      <c r="M52" s="263">
        <f t="shared" si="4"/>
        <v>35.989999999999995</v>
      </c>
      <c r="N52" s="263">
        <v>3.4985911476900493</v>
      </c>
      <c r="O52" s="264">
        <f t="shared" si="5"/>
        <v>32.491408852309945</v>
      </c>
      <c r="P52" s="265">
        <f t="shared" si="6"/>
        <v>9.2869979602396384</v>
      </c>
      <c r="R52" s="235"/>
      <c r="S52" s="169"/>
      <c r="T52" s="109"/>
      <c r="U52" s="109"/>
    </row>
    <row r="53" spans="1:21" s="3" customFormat="1" x14ac:dyDescent="0.2">
      <c r="A53" s="260" t="s">
        <v>138</v>
      </c>
      <c r="B53" s="261">
        <f>VLOOKUP($A53,'IRIS iTunes data'!$A$138:$B$249,2,FALSE)</f>
        <v>180.03000000000034</v>
      </c>
      <c r="C53" s="261">
        <f>VLOOKUP($A53,'IRIS iTunes data'!$G$138:$H$249,2,FALSE)</f>
        <v>131.91000000000003</v>
      </c>
      <c r="D53" s="261">
        <f>VLOOKUP($A53,'IRIS iTunes data'!$M$138:$N$249,2,FALSE)</f>
        <v>189.3900000000003</v>
      </c>
      <c r="E53" s="261">
        <f>VLOOKUP($A53,'IRIS iTunes data'!$S$138:$T$249,2,FALSE)</f>
        <v>0</v>
      </c>
      <c r="F53" s="261">
        <f>VLOOKUP($A53,'IRIS iTunes data'!$Y$138:$Z$249,2,FALSE)</f>
        <v>0</v>
      </c>
      <c r="G53" s="262">
        <f t="shared" si="19"/>
        <v>501.33000000000072</v>
      </c>
      <c r="H53" s="242">
        <f t="shared" si="1"/>
        <v>835.55000000000121</v>
      </c>
      <c r="I53" s="343">
        <f>VLOOKUP($A53,[2]IRIS!$J:$S,10,FALSE)</f>
        <v>3300.8241218295007</v>
      </c>
      <c r="J53" s="264">
        <f t="shared" si="8"/>
        <v>-2465.2741218294996</v>
      </c>
      <c r="K53" s="265">
        <f t="shared" si="9"/>
        <v>-0.74686624637943666</v>
      </c>
      <c r="L53" s="286">
        <v>1961.7600000000054</v>
      </c>
      <c r="M53" s="263">
        <f t="shared" si="4"/>
        <v>2797.3100000000068</v>
      </c>
      <c r="N53" s="263">
        <v>10571.674389661659</v>
      </c>
      <c r="O53" s="264">
        <f t="shared" si="5"/>
        <v>-7774.3643896616522</v>
      </c>
      <c r="P53" s="265">
        <f t="shared" si="6"/>
        <v>-0.73539574745741543</v>
      </c>
      <c r="R53" s="235"/>
      <c r="S53" s="169"/>
      <c r="T53" s="109"/>
      <c r="U53" s="109"/>
    </row>
    <row r="54" spans="1:21" s="3" customFormat="1" x14ac:dyDescent="0.2">
      <c r="A54" s="260" t="s">
        <v>144</v>
      </c>
      <c r="B54" s="261">
        <f>VLOOKUP($A54,'IRIS iTunes data'!$A$138:$B$249,2,FALSE)</f>
        <v>43.919999999999995</v>
      </c>
      <c r="C54" s="261">
        <f>VLOOKUP($A54,'IRIS iTunes data'!$G$138:$H$249,2,FALSE)</f>
        <v>30.159999999999989</v>
      </c>
      <c r="D54" s="261">
        <f>VLOOKUP($A54,'IRIS iTunes data'!$M$138:$N$249,2,FALSE)</f>
        <v>67.549999999999983</v>
      </c>
      <c r="E54" s="261">
        <f>VLOOKUP($A54,'IRIS iTunes data'!$S$138:$T$249,2,FALSE)</f>
        <v>0</v>
      </c>
      <c r="F54" s="261">
        <f>VLOOKUP($A54,'IRIS iTunes data'!$Y$138:$Z$249,2,FALSE)</f>
        <v>0</v>
      </c>
      <c r="G54" s="262">
        <f t="shared" si="19"/>
        <v>141.62999999999997</v>
      </c>
      <c r="H54" s="242">
        <f t="shared" si="1"/>
        <v>236.04999999999993</v>
      </c>
      <c r="I54" s="343">
        <f>VLOOKUP($A54,[2]IRIS!$J:$S,10,FALSE)</f>
        <v>173.63735075675422</v>
      </c>
      <c r="J54" s="264">
        <f t="shared" si="8"/>
        <v>62.41264924324571</v>
      </c>
      <c r="K54" s="265">
        <f t="shared" si="9"/>
        <v>0.35944253336759663</v>
      </c>
      <c r="L54" s="286">
        <v>442.43999999999994</v>
      </c>
      <c r="M54" s="263">
        <f t="shared" si="4"/>
        <v>678.4899999999999</v>
      </c>
      <c r="N54" s="263">
        <v>556.11491746687329</v>
      </c>
      <c r="O54" s="264">
        <f t="shared" si="5"/>
        <v>122.3750825331266</v>
      </c>
      <c r="P54" s="265">
        <f t="shared" si="6"/>
        <v>0.22005358728830765</v>
      </c>
      <c r="R54" s="235"/>
      <c r="S54" s="169"/>
      <c r="T54" s="109"/>
      <c r="U54" s="109"/>
    </row>
    <row r="55" spans="1:21" s="3" customFormat="1" x14ac:dyDescent="0.2">
      <c r="A55" s="260" t="s">
        <v>145</v>
      </c>
      <c r="B55" s="261">
        <f>VLOOKUP($A55,'IRIS iTunes data'!$A$138:$B$249,2,FALSE)</f>
        <v>10.979999999999999</v>
      </c>
      <c r="C55" s="261">
        <f>VLOOKUP($A55,'IRIS iTunes data'!$G$138:$H$249,2,FALSE)</f>
        <v>26.229999999999997</v>
      </c>
      <c r="D55" s="261">
        <f>VLOOKUP($A55,'IRIS iTunes data'!$M$138:$N$249,2,FALSE)</f>
        <v>6.21</v>
      </c>
      <c r="E55" s="261">
        <f>VLOOKUP($A55,'IRIS iTunes data'!$S$138:$T$249,2,FALSE)</f>
        <v>0</v>
      </c>
      <c r="F55" s="261">
        <f>VLOOKUP($A55,'IRIS iTunes data'!$Y$138:$Z$249,2,FALSE)</f>
        <v>0</v>
      </c>
      <c r="G55" s="262">
        <f t="shared" si="19"/>
        <v>43.419999999999995</v>
      </c>
      <c r="H55" s="242">
        <f t="shared" si="1"/>
        <v>72.36666666666666</v>
      </c>
      <c r="I55" s="343">
        <f>VLOOKUP($A55,[2]IRIS!$J:$S,10,FALSE)</f>
        <v>268.60306883578454</v>
      </c>
      <c r="J55" s="264">
        <f t="shared" si="8"/>
        <v>-196.23640216911787</v>
      </c>
      <c r="K55" s="265">
        <f t="shared" si="9"/>
        <v>-0.73058138546097784</v>
      </c>
      <c r="L55" s="286">
        <v>298.33999999999986</v>
      </c>
      <c r="M55" s="263">
        <f t="shared" si="4"/>
        <v>370.70666666666654</v>
      </c>
      <c r="N55" s="263">
        <v>860.26521831824698</v>
      </c>
      <c r="O55" s="264">
        <f t="shared" si="5"/>
        <v>-489.55855165158044</v>
      </c>
      <c r="P55" s="265">
        <f t="shared" si="6"/>
        <v>-0.56907862973773382</v>
      </c>
      <c r="R55" s="235"/>
      <c r="S55" s="169"/>
      <c r="T55" s="109"/>
      <c r="U55" s="109"/>
    </row>
    <row r="56" spans="1:21" s="3" customFormat="1" x14ac:dyDescent="0.2">
      <c r="A56" s="260" t="s">
        <v>146</v>
      </c>
      <c r="B56" s="261">
        <f>VLOOKUP($A56,'IRIS iTunes data'!$A$138:$B$249,2,FALSE)</f>
        <v>16.469999999999995</v>
      </c>
      <c r="C56" s="261">
        <f>VLOOKUP($A56,'IRIS iTunes data'!$G$138:$H$249,2,FALSE)</f>
        <v>9.33</v>
      </c>
      <c r="D56" s="261">
        <f>VLOOKUP($A56,'IRIS iTunes data'!$M$138:$N$249,2,FALSE)</f>
        <v>6.7100000000000009</v>
      </c>
      <c r="E56" s="261">
        <f>VLOOKUP($A56,'IRIS iTunes data'!$S$138:$T$249,2,FALSE)</f>
        <v>0</v>
      </c>
      <c r="F56" s="261">
        <f>VLOOKUP($A56,'IRIS iTunes data'!$Y$138:$Z$249,2,FALSE)</f>
        <v>0</v>
      </c>
      <c r="G56" s="262">
        <f t="shared" si="19"/>
        <v>32.51</v>
      </c>
      <c r="H56" s="242">
        <f t="shared" si="1"/>
        <v>54.18333333333333</v>
      </c>
      <c r="I56" s="343">
        <f>VLOOKUP($A56,[2]IRIS!$J:$S,10,FALSE)</f>
        <v>27.865366703099511</v>
      </c>
      <c r="J56" s="264">
        <f t="shared" si="8"/>
        <v>26.317966630233819</v>
      </c>
      <c r="K56" s="265">
        <f t="shared" si="9"/>
        <v>0.94446869874877437</v>
      </c>
      <c r="L56" s="286">
        <v>114.60999999999999</v>
      </c>
      <c r="M56" s="263">
        <f t="shared" si="4"/>
        <v>168.79333333333332</v>
      </c>
      <c r="N56" s="263">
        <v>89.245464969037243</v>
      </c>
      <c r="O56" s="264">
        <f t="shared" si="5"/>
        <v>79.547868364296079</v>
      </c>
      <c r="P56" s="265">
        <f t="shared" si="6"/>
        <v>0.89133793399916017</v>
      </c>
      <c r="R56" s="235"/>
      <c r="S56" s="169"/>
      <c r="T56" s="109"/>
      <c r="U56" s="109"/>
    </row>
    <row r="57" spans="1:21" s="3" customFormat="1" x14ac:dyDescent="0.2">
      <c r="A57" s="260" t="s">
        <v>148</v>
      </c>
      <c r="B57" s="261">
        <f>VLOOKUP($A57,'IRIS iTunes data'!$A$138:$B$249,2,FALSE)</f>
        <v>6.1</v>
      </c>
      <c r="C57" s="261">
        <f>VLOOKUP($A57,'IRIS iTunes data'!$G$138:$H$249,2,FALSE)</f>
        <v>0</v>
      </c>
      <c r="D57" s="261">
        <f>VLOOKUP($A57,'IRIS iTunes data'!$M$138:$N$249,2,FALSE)</f>
        <v>1.22</v>
      </c>
      <c r="E57" s="261">
        <f>VLOOKUP($A57,'IRIS iTunes data'!$S$138:$T$249,2,FALSE)</f>
        <v>0</v>
      </c>
      <c r="F57" s="261">
        <f>VLOOKUP($A57,'IRIS iTunes data'!$Y$138:$Z$249,2,FALSE)</f>
        <v>0</v>
      </c>
      <c r="G57" s="262">
        <f t="shared" si="19"/>
        <v>7.3199999999999994</v>
      </c>
      <c r="H57" s="242">
        <f t="shared" si="1"/>
        <v>18.299999999999997</v>
      </c>
      <c r="I57" s="343">
        <f>VLOOKUP($A57,[2]IRIS!$J:$S,10,FALSE)</f>
        <v>17.577332705741178</v>
      </c>
      <c r="J57" s="264">
        <f t="shared" si="8"/>
        <v>0.72266729425881948</v>
      </c>
      <c r="K57" s="265">
        <f t="shared" si="9"/>
        <v>4.1113592508991936E-2</v>
      </c>
      <c r="L57" s="286">
        <v>41.19</v>
      </c>
      <c r="M57" s="263">
        <f t="shared" si="4"/>
        <v>59.489999999999995</v>
      </c>
      <c r="N57" s="263">
        <v>56.295588963659625</v>
      </c>
      <c r="O57" s="264">
        <f t="shared" si="5"/>
        <v>3.1944110363403695</v>
      </c>
      <c r="P57" s="265">
        <f t="shared" si="6"/>
        <v>5.6743540571223994E-2</v>
      </c>
      <c r="R57" s="235"/>
      <c r="S57" s="169"/>
      <c r="T57" s="109"/>
      <c r="U57" s="109"/>
    </row>
    <row r="58" spans="1:21" s="3" customFormat="1" x14ac:dyDescent="0.2">
      <c r="A58" s="260" t="s">
        <v>149</v>
      </c>
      <c r="B58" s="261">
        <f>VLOOKUP($A58,'IRIS iTunes data'!$A$138:$B$249,2,FALSE)</f>
        <v>4.2699999999999996</v>
      </c>
      <c r="C58" s="261">
        <f>VLOOKUP($A58,'IRIS iTunes data'!$G$138:$H$249,2,FALSE)</f>
        <v>1.83</v>
      </c>
      <c r="D58" s="261">
        <f>VLOOKUP($A58,'IRIS iTunes data'!$M$138:$N$249,2,FALSE)</f>
        <v>2.44</v>
      </c>
      <c r="E58" s="261">
        <f>VLOOKUP($A58,'IRIS iTunes data'!$S$138:$T$249,2,FALSE)</f>
        <v>0</v>
      </c>
      <c r="F58" s="261">
        <f>VLOOKUP($A58,'IRIS iTunes data'!$Y$138:$Z$249,2,FALSE)</f>
        <v>0</v>
      </c>
      <c r="G58" s="262">
        <f t="shared" si="19"/>
        <v>8.5399999999999991</v>
      </c>
      <c r="H58" s="242">
        <f t="shared" si="1"/>
        <v>14.233333333333331</v>
      </c>
      <c r="I58" s="343">
        <f>VLOOKUP($A58,[2]IRIS!$J:$S,10,FALSE)</f>
        <v>38.516964649429625</v>
      </c>
      <c r="J58" s="264">
        <f t="shared" si="8"/>
        <v>-24.283631316096294</v>
      </c>
      <c r="K58" s="265">
        <f t="shared" si="9"/>
        <v>-0.63046586191614395</v>
      </c>
      <c r="L58" s="286">
        <v>43.67</v>
      </c>
      <c r="M58" s="263">
        <f t="shared" si="4"/>
        <v>57.903333333333336</v>
      </c>
      <c r="N58" s="263">
        <v>123.35974099892115</v>
      </c>
      <c r="O58" s="264">
        <f t="shared" si="5"/>
        <v>-65.456407665587818</v>
      </c>
      <c r="P58" s="265">
        <f t="shared" si="6"/>
        <v>-0.53061401666010521</v>
      </c>
      <c r="R58" s="235"/>
      <c r="S58" s="169"/>
      <c r="T58" s="109"/>
      <c r="U58" s="109"/>
    </row>
    <row r="59" spans="1:21" s="3" customFormat="1" x14ac:dyDescent="0.2">
      <c r="A59" s="260" t="s">
        <v>150</v>
      </c>
      <c r="B59" s="261">
        <f>VLOOKUP($A59,'IRIS iTunes data'!$A$138:$B$249,2,FALSE)</f>
        <v>0</v>
      </c>
      <c r="C59" s="261">
        <f>VLOOKUP($A59,'IRIS iTunes data'!$G$138:$H$249,2,FALSE)</f>
        <v>2.44</v>
      </c>
      <c r="D59" s="261">
        <f>VLOOKUP($A59,'IRIS iTunes data'!$M$138:$N$249,2,FALSE)</f>
        <v>0.61</v>
      </c>
      <c r="E59" s="261">
        <f>VLOOKUP($A59,'IRIS iTunes data'!$S$138:$T$249,2,FALSE)</f>
        <v>0</v>
      </c>
      <c r="F59" s="261">
        <f>VLOOKUP($A59,'IRIS iTunes data'!$Y$138:$Z$249,2,FALSE)</f>
        <v>0</v>
      </c>
      <c r="G59" s="262">
        <f t="shared" si="19"/>
        <v>3.05</v>
      </c>
      <c r="H59" s="242">
        <f t="shared" si="1"/>
        <v>7.625</v>
      </c>
      <c r="I59" s="343">
        <f>VLOOKUP($A59,[2]IRIS!$J:$S,10,FALSE)</f>
        <v>5.1164287104313066</v>
      </c>
      <c r="J59" s="264">
        <f t="shared" si="8"/>
        <v>2.5085712895686934</v>
      </c>
      <c r="K59" s="265">
        <f t="shared" si="9"/>
        <v>0.49029732095245493</v>
      </c>
      <c r="L59" s="286">
        <v>16.317499999999999</v>
      </c>
      <c r="M59" s="263">
        <f t="shared" si="4"/>
        <v>23.942499999999999</v>
      </c>
      <c r="N59" s="263">
        <v>16.386579947379026</v>
      </c>
      <c r="O59" s="264">
        <f t="shared" si="5"/>
        <v>7.5559200526209729</v>
      </c>
      <c r="P59" s="265">
        <f t="shared" si="6"/>
        <v>0.4611041521101244</v>
      </c>
      <c r="R59" s="235"/>
      <c r="S59" s="169"/>
      <c r="T59" s="109"/>
      <c r="U59" s="109"/>
    </row>
    <row r="60" spans="1:21" s="3" customFormat="1" x14ac:dyDescent="0.2">
      <c r="A60" s="260" t="s">
        <v>155</v>
      </c>
      <c r="B60" s="261">
        <f>VLOOKUP($A60,'IRIS iTunes data'!$A$138:$B$249,2,FALSE)</f>
        <v>1.83</v>
      </c>
      <c r="C60" s="261">
        <f>VLOOKUP($A60,'IRIS iTunes data'!$G$138:$H$249,2,FALSE)</f>
        <v>7.3200000000000012</v>
      </c>
      <c r="D60" s="261">
        <f>VLOOKUP($A60,'IRIS iTunes data'!$M$138:$N$249,2,FALSE)</f>
        <v>1.83</v>
      </c>
      <c r="E60" s="261">
        <f>VLOOKUP($A60,'IRIS iTunes data'!$S$138:$T$249,2,FALSE)</f>
        <v>0</v>
      </c>
      <c r="F60" s="261">
        <f>VLOOKUP($A60,'IRIS iTunes data'!$Y$138:$Z$249,2,FALSE)</f>
        <v>0</v>
      </c>
      <c r="G60" s="262">
        <f t="shared" si="19"/>
        <v>10.980000000000002</v>
      </c>
      <c r="H60" s="242">
        <f t="shared" si="1"/>
        <v>18.300000000000004</v>
      </c>
      <c r="I60" s="343">
        <f>VLOOKUP($A60,[2]IRIS!$J:$S,10,FALSE)</f>
        <v>10.829964421540641</v>
      </c>
      <c r="J60" s="264">
        <f t="shared" si="8"/>
        <v>7.4700355784593633</v>
      </c>
      <c r="K60" s="265">
        <f t="shared" si="9"/>
        <v>0.68975624366794519</v>
      </c>
      <c r="L60" s="286">
        <v>42.089999999999996</v>
      </c>
      <c r="M60" s="263">
        <f t="shared" si="4"/>
        <v>60.39</v>
      </c>
      <c r="N60" s="263">
        <v>34.685537093291401</v>
      </c>
      <c r="O60" s="264">
        <f t="shared" si="5"/>
        <v>25.704462906708599</v>
      </c>
      <c r="P60" s="265">
        <f t="shared" si="6"/>
        <v>0.74107149725180843</v>
      </c>
      <c r="R60" s="235"/>
      <c r="S60" s="169"/>
      <c r="T60" s="109"/>
      <c r="U60" s="109"/>
    </row>
    <row r="61" spans="1:21" s="3" customFormat="1" x14ac:dyDescent="0.2">
      <c r="A61" s="260" t="s">
        <v>157</v>
      </c>
      <c r="B61" s="261">
        <f>VLOOKUP($A61,'IRIS iTunes data'!$A$138:$B$249,2,FALSE)</f>
        <v>0</v>
      </c>
      <c r="C61" s="261">
        <f>VLOOKUP($A61,'IRIS iTunes data'!$G$138:$H$249,2,FALSE)</f>
        <v>6.1</v>
      </c>
      <c r="D61" s="261">
        <f>VLOOKUP($A61,'IRIS iTunes data'!$M$138:$N$249,2,FALSE)</f>
        <v>0.61</v>
      </c>
      <c r="E61" s="261">
        <f>VLOOKUP($A61,'IRIS iTunes data'!$S$138:$T$249,2,FALSE)</f>
        <v>0</v>
      </c>
      <c r="F61" s="261">
        <f>VLOOKUP($A61,'IRIS iTunes data'!$Y$138:$Z$249,2,FALSE)</f>
        <v>0</v>
      </c>
      <c r="G61" s="262">
        <f t="shared" si="19"/>
        <v>6.71</v>
      </c>
      <c r="H61" s="242">
        <f t="shared" si="1"/>
        <v>16.774999999999999</v>
      </c>
      <c r="I61" s="343">
        <f>VLOOKUP($A61,[2]IRIS!$J:$S,10,FALSE)</f>
        <v>6.1835586352009866</v>
      </c>
      <c r="J61" s="264">
        <f t="shared" si="8"/>
        <v>10.591441364799012</v>
      </c>
      <c r="K61" s="265">
        <f t="shared" si="9"/>
        <v>1.712839157779694</v>
      </c>
      <c r="L61" s="286">
        <v>13.18</v>
      </c>
      <c r="M61" s="263">
        <f t="shared" si="4"/>
        <v>29.954999999999998</v>
      </c>
      <c r="N61" s="263">
        <v>19.80431736074852</v>
      </c>
      <c r="O61" s="264">
        <f t="shared" si="5"/>
        <v>10.150682639251478</v>
      </c>
      <c r="P61" s="265">
        <f t="shared" si="6"/>
        <v>0.51254897880851902</v>
      </c>
      <c r="R61" s="235"/>
      <c r="S61" s="169"/>
      <c r="T61" s="109"/>
      <c r="U61" s="109"/>
    </row>
    <row r="62" spans="1:21" s="3" customFormat="1" x14ac:dyDescent="0.2">
      <c r="A62" s="260" t="s">
        <v>174</v>
      </c>
      <c r="B62" s="261">
        <f>VLOOKUP($A62,'IRIS iTunes data'!$A$138:$B$249,2,FALSE)</f>
        <v>1.83</v>
      </c>
      <c r="C62" s="261">
        <f>VLOOKUP($A62,'IRIS iTunes data'!$G$138:$H$249,2,FALSE)</f>
        <v>0</v>
      </c>
      <c r="D62" s="261">
        <f>VLOOKUP($A62,'IRIS iTunes data'!$M$138:$N$249,2,FALSE)</f>
        <v>0</v>
      </c>
      <c r="E62" s="261">
        <f>VLOOKUP($A62,'IRIS iTunes data'!$S$138:$T$249,2,FALSE)</f>
        <v>0</v>
      </c>
      <c r="F62" s="261">
        <f>VLOOKUP($A62,'IRIS iTunes data'!$Y$138:$Z$249,2,FALSE)</f>
        <v>0</v>
      </c>
      <c r="G62" s="262">
        <f t="shared" si="19"/>
        <v>1.83</v>
      </c>
      <c r="H62" s="242">
        <f t="shared" si="1"/>
        <v>9.15</v>
      </c>
      <c r="I62" s="343">
        <f>VLOOKUP($A62,[2]IRIS!$J:$S,10,FALSE)</f>
        <v>2.810468468182306</v>
      </c>
      <c r="J62" s="264">
        <f t="shared" si="8"/>
        <v>6.3395315318176948</v>
      </c>
      <c r="K62" s="265">
        <f t="shared" si="9"/>
        <v>2.2556849876055858</v>
      </c>
      <c r="L62" s="286">
        <v>10.503333333333334</v>
      </c>
      <c r="M62" s="263">
        <f t="shared" si="4"/>
        <v>19.653333333333336</v>
      </c>
      <c r="N62" s="263">
        <v>9.0011937720470936</v>
      </c>
      <c r="O62" s="264">
        <f t="shared" si="5"/>
        <v>10.652139561286242</v>
      </c>
      <c r="P62" s="265">
        <f t="shared" si="6"/>
        <v>1.1834140927357997</v>
      </c>
      <c r="R62" s="235"/>
      <c r="S62" s="169"/>
      <c r="T62" s="109"/>
      <c r="U62" s="109"/>
    </row>
    <row r="63" spans="1:21" s="3" customFormat="1" x14ac:dyDescent="0.2">
      <c r="A63" s="260" t="s">
        <v>177</v>
      </c>
      <c r="B63" s="261">
        <f>VLOOKUP($A63,'IRIS iTunes data'!$A$138:$B$249,2,FALSE)</f>
        <v>1.22</v>
      </c>
      <c r="C63" s="261">
        <f>VLOOKUP($A63,'IRIS iTunes data'!$G$138:$H$249,2,FALSE)</f>
        <v>6.71</v>
      </c>
      <c r="D63" s="261">
        <f>VLOOKUP($A63,'IRIS iTunes data'!$M$138:$N$249,2,FALSE)</f>
        <v>4.2699999999999996</v>
      </c>
      <c r="E63" s="261">
        <f>VLOOKUP($A63,'IRIS iTunes data'!$S$138:$T$249,2,FALSE)</f>
        <v>0</v>
      </c>
      <c r="F63" s="261">
        <f>VLOOKUP($A63,'IRIS iTunes data'!$Y$138:$Z$249,2,FALSE)</f>
        <v>0</v>
      </c>
      <c r="G63" s="262">
        <f t="shared" si="19"/>
        <v>12.2</v>
      </c>
      <c r="H63" s="242">
        <f t="shared" si="1"/>
        <v>20.333333333333332</v>
      </c>
      <c r="I63" s="343">
        <f>VLOOKUP($A63,[2]IRIS!$J:$S,10,FALSE)</f>
        <v>17.373094040919877</v>
      </c>
      <c r="J63" s="264">
        <f t="shared" si="8"/>
        <v>2.9602392924134548</v>
      </c>
      <c r="K63" s="265">
        <f t="shared" si="9"/>
        <v>0.17039217570808216</v>
      </c>
      <c r="L63" s="286">
        <v>54.47</v>
      </c>
      <c r="M63" s="263">
        <f t="shared" si="4"/>
        <v>74.803333333333327</v>
      </c>
      <c r="N63" s="263">
        <v>55.641466059021688</v>
      </c>
      <c r="O63" s="264">
        <f t="shared" si="5"/>
        <v>19.161867274311639</v>
      </c>
      <c r="P63" s="265">
        <f t="shared" si="6"/>
        <v>0.34438106382721273</v>
      </c>
      <c r="R63" s="235"/>
      <c r="S63" s="169"/>
      <c r="T63" s="109"/>
      <c r="U63" s="109"/>
    </row>
    <row r="64" spans="1:21" s="3" customFormat="1" x14ac:dyDescent="0.2">
      <c r="A64" s="260" t="s">
        <v>179</v>
      </c>
      <c r="B64" s="261">
        <f>VLOOKUP($A64,'IRIS iTunes data'!$A$138:$B$249,2,FALSE)</f>
        <v>2.37</v>
      </c>
      <c r="C64" s="261">
        <f>VLOOKUP($A64,'IRIS iTunes data'!$G$138:$H$249,2,FALSE)</f>
        <v>1.22</v>
      </c>
      <c r="D64" s="261">
        <f>VLOOKUP($A64,'IRIS iTunes data'!$M$138:$N$249,2,FALSE)</f>
        <v>0</v>
      </c>
      <c r="E64" s="261">
        <f>VLOOKUP($A64,'IRIS iTunes data'!$S$138:$T$249,2,FALSE)</f>
        <v>0</v>
      </c>
      <c r="F64" s="261">
        <f>VLOOKUP($A64,'IRIS iTunes data'!$Y$138:$Z$249,2,FALSE)</f>
        <v>0</v>
      </c>
      <c r="G64" s="262">
        <f t="shared" si="19"/>
        <v>3.59</v>
      </c>
      <c r="H64" s="242">
        <f t="shared" si="1"/>
        <v>8.9749999999999996</v>
      </c>
      <c r="I64" s="343">
        <f>VLOOKUP($A64,[2]IRIS!$J:$S,10,FALSE)</f>
        <v>5.3458136145735686</v>
      </c>
      <c r="J64" s="264">
        <f t="shared" si="8"/>
        <v>3.629186385426431</v>
      </c>
      <c r="K64" s="265">
        <f t="shared" si="9"/>
        <v>0.67888382332161212</v>
      </c>
      <c r="L64" s="286">
        <v>27.449999999999996</v>
      </c>
      <c r="M64" s="263">
        <f t="shared" si="4"/>
        <v>36.424999999999997</v>
      </c>
      <c r="N64" s="263">
        <v>17.121239664768538</v>
      </c>
      <c r="O64" s="264">
        <f t="shared" si="5"/>
        <v>19.303760335231459</v>
      </c>
      <c r="P64" s="265">
        <f t="shared" si="6"/>
        <v>1.127474453555722</v>
      </c>
      <c r="R64" s="235"/>
      <c r="S64" s="169"/>
      <c r="T64" s="109"/>
      <c r="U64" s="109"/>
    </row>
    <row r="65" spans="1:21" s="3" customFormat="1" x14ac:dyDescent="0.2">
      <c r="A65" s="260" t="s">
        <v>180</v>
      </c>
      <c r="B65" s="261">
        <f>VLOOKUP($A65,'IRIS iTunes data'!$A$138:$B$249,2,FALSE)</f>
        <v>3.4099999999999997</v>
      </c>
      <c r="C65" s="261">
        <f>VLOOKUP($A65,'IRIS iTunes data'!$G$138:$H$249,2,FALSE)</f>
        <v>14.209999999999999</v>
      </c>
      <c r="D65" s="261">
        <f>VLOOKUP($A65,'IRIS iTunes data'!$M$138:$N$249,2,FALSE)</f>
        <v>0.61</v>
      </c>
      <c r="E65" s="261">
        <f>VLOOKUP($A65,'IRIS iTunes data'!$S$138:$T$249,2,FALSE)</f>
        <v>0</v>
      </c>
      <c r="F65" s="261">
        <f>VLOOKUP($A65,'IRIS iTunes data'!$Y$138:$Z$249,2,FALSE)</f>
        <v>0</v>
      </c>
      <c r="G65" s="262">
        <f t="shared" si="19"/>
        <v>18.229999999999997</v>
      </c>
      <c r="H65" s="242">
        <f t="shared" si="1"/>
        <v>30.383333333333326</v>
      </c>
      <c r="I65" s="343">
        <f>VLOOKUP($A65,[2]IRIS!$J:$S,10,FALSE)</f>
        <v>45.839428790341287</v>
      </c>
      <c r="J65" s="264">
        <f t="shared" si="8"/>
        <v>-15.456095457007962</v>
      </c>
      <c r="K65" s="265">
        <f t="shared" si="9"/>
        <v>-0.33717905883383692</v>
      </c>
      <c r="L65" s="286">
        <v>88.2</v>
      </c>
      <c r="M65" s="263">
        <f t="shared" si="4"/>
        <v>118.58333333333333</v>
      </c>
      <c r="N65" s="263">
        <v>146.81167414366152</v>
      </c>
      <c r="O65" s="264">
        <f t="shared" si="5"/>
        <v>-28.228340810328191</v>
      </c>
      <c r="P65" s="265">
        <f t="shared" si="6"/>
        <v>-0.19227585936187575</v>
      </c>
      <c r="R65" s="235"/>
      <c r="S65" s="169"/>
      <c r="T65" s="109"/>
      <c r="U65" s="109"/>
    </row>
    <row r="66" spans="1:21" s="3" customFormat="1" x14ac:dyDescent="0.2">
      <c r="A66" s="260" t="s">
        <v>197</v>
      </c>
      <c r="B66" s="261">
        <f>VLOOKUP($A66,'IRIS iTunes data'!$A$138:$B$249,2,FALSE)</f>
        <v>0</v>
      </c>
      <c r="C66" s="261">
        <f>VLOOKUP($A66,'IRIS iTunes data'!$G$138:$H$249,2,FALSE)</f>
        <v>0</v>
      </c>
      <c r="D66" s="261">
        <f>VLOOKUP($A66,'IRIS iTunes data'!$M$138:$N$249,2,FALSE)</f>
        <v>1.22</v>
      </c>
      <c r="E66" s="261">
        <f>VLOOKUP($A66,'IRIS iTunes data'!$S$138:$T$249,2,FALSE)</f>
        <v>0</v>
      </c>
      <c r="F66" s="261">
        <f>VLOOKUP($A66,'IRIS iTunes data'!$Y$138:$Z$249,2,FALSE)</f>
        <v>0</v>
      </c>
      <c r="G66" s="262">
        <f t="shared" si="19"/>
        <v>1.22</v>
      </c>
      <c r="H66" s="242">
        <f t="shared" si="1"/>
        <v>6.1</v>
      </c>
      <c r="I66" s="343">
        <f>VLOOKUP($A66,[2]IRIS!$J:$S,10,FALSE)</f>
        <v>22.177043151153121</v>
      </c>
      <c r="J66" s="264">
        <f t="shared" si="8"/>
        <v>-16.07704315115312</v>
      </c>
      <c r="K66" s="265">
        <f t="shared" si="9"/>
        <v>-0.72494078861532874</v>
      </c>
      <c r="L66" s="286">
        <v>33.887499999999996</v>
      </c>
      <c r="M66" s="263">
        <f t="shared" si="4"/>
        <v>39.987499999999997</v>
      </c>
      <c r="N66" s="263">
        <v>71.02725575985022</v>
      </c>
      <c r="O66" s="264">
        <f t="shared" si="5"/>
        <v>-31.039755759850223</v>
      </c>
      <c r="P66" s="265">
        <f t="shared" si="6"/>
        <v>-0.43701189674001389</v>
      </c>
      <c r="R66" s="235"/>
      <c r="S66" s="169"/>
      <c r="T66" s="109"/>
      <c r="U66" s="109"/>
    </row>
    <row r="67" spans="1:21" x14ac:dyDescent="0.2">
      <c r="A67" s="241" t="s">
        <v>100</v>
      </c>
      <c r="B67" s="253">
        <f>'IRIS iTunes data'!B130</f>
        <v>214.01426199999997</v>
      </c>
      <c r="C67" s="253">
        <f>'IRIS iTunes data'!H130</f>
        <v>270.68076780000013</v>
      </c>
      <c r="D67" s="253">
        <f>'IRIS iTunes data'!N130</f>
        <v>223.25937660000005</v>
      </c>
      <c r="E67" s="253">
        <f>'IRIS iTunes data'!T130</f>
        <v>0</v>
      </c>
      <c r="F67" s="253">
        <f>'IRIS iTunes data'!Z130</f>
        <v>0</v>
      </c>
      <c r="G67" s="254">
        <f>SUM(B67:F67)</f>
        <v>707.95440640000015</v>
      </c>
      <c r="H67" s="242">
        <f t="shared" si="1"/>
        <v>1179.9240106666668</v>
      </c>
      <c r="I67" s="345">
        <f>SUM(I68:I80)</f>
        <v>1155.001034401158</v>
      </c>
      <c r="J67" s="246">
        <f t="shared" si="8"/>
        <v>24.922976265508851</v>
      </c>
      <c r="K67" s="247">
        <f t="shared" si="9"/>
        <v>2.1578315103787635E-2</v>
      </c>
      <c r="L67" s="285">
        <v>1635.3407686</v>
      </c>
      <c r="M67" s="256">
        <f t="shared" si="4"/>
        <v>2815.2647792666667</v>
      </c>
      <c r="N67" s="256">
        <v>3699.165543132247</v>
      </c>
      <c r="O67" s="246">
        <f t="shared" si="5"/>
        <v>-883.9007638655803</v>
      </c>
      <c r="P67" s="247">
        <f t="shared" si="6"/>
        <v>-0.23894598756376348</v>
      </c>
      <c r="R67">
        <f>I67/$I$127</f>
        <v>5.2039239552001491E-3</v>
      </c>
      <c r="S67" s="163">
        <f>R67*$S$127</f>
        <v>1024.9029355211544</v>
      </c>
      <c r="T67" s="109"/>
      <c r="U67" s="109"/>
    </row>
    <row r="68" spans="1:21" s="3" customFormat="1" x14ac:dyDescent="0.2">
      <c r="A68" s="260" t="s">
        <v>139</v>
      </c>
      <c r="B68" s="261">
        <f>VLOOKUP($A68,'IRIS iTunes data'!$A$138:$B$249,2,FALSE)</f>
        <v>0</v>
      </c>
      <c r="C68" s="261">
        <f>VLOOKUP($A68,'IRIS iTunes data'!$G$138:$H$249,2,FALSE)</f>
        <v>0</v>
      </c>
      <c r="D68" s="261">
        <f>VLOOKUP($A68,'IRIS iTunes data'!$M$138:$N$249,2,FALSE)</f>
        <v>0</v>
      </c>
      <c r="E68" s="261">
        <f>VLOOKUP($A68,'IRIS iTunes data'!$S$138:$T$249,2,FALSE)</f>
        <v>0</v>
      </c>
      <c r="F68" s="261">
        <f>VLOOKUP($A68,'IRIS iTunes data'!$Y$138:$Z$249,2,FALSE)</f>
        <v>0</v>
      </c>
      <c r="G68" s="262">
        <f t="shared" ref="G68:G80" si="20">SUM(B68:F68)</f>
        <v>0</v>
      </c>
      <c r="H68" s="242">
        <f t="shared" si="1"/>
        <v>0</v>
      </c>
      <c r="I68" s="343">
        <f>VLOOKUP($A68,[2]IRIS!$J:$S,10,FALSE)</f>
        <v>3.2824957892271329</v>
      </c>
      <c r="J68" s="264">
        <f t="shared" si="8"/>
        <v>-3.2824957892271329</v>
      </c>
      <c r="K68" s="265">
        <f t="shared" si="9"/>
        <v>-1</v>
      </c>
      <c r="L68" s="286">
        <v>3.1</v>
      </c>
      <c r="M68" s="263">
        <f t="shared" si="4"/>
        <v>3.1</v>
      </c>
      <c r="N68" s="263">
        <v>10.512973544894972</v>
      </c>
      <c r="O68" s="264">
        <f t="shared" si="5"/>
        <v>-7.4129735448949727</v>
      </c>
      <c r="P68" s="265">
        <f t="shared" si="6"/>
        <v>-0.70512624361112952</v>
      </c>
      <c r="R68" s="235"/>
      <c r="S68" s="169"/>
      <c r="T68" s="109"/>
      <c r="U68" s="109"/>
    </row>
    <row r="69" spans="1:21" s="3" customFormat="1" x14ac:dyDescent="0.2">
      <c r="A69" s="260" t="s">
        <v>141</v>
      </c>
      <c r="B69" s="261">
        <f>VLOOKUP($A69,'IRIS iTunes data'!$A$138:$B$249,2,FALSE)</f>
        <v>0</v>
      </c>
      <c r="C69" s="261">
        <f>VLOOKUP($A69,'IRIS iTunes data'!$G$138:$H$249,2,FALSE)</f>
        <v>0.62</v>
      </c>
      <c r="D69" s="261">
        <f>VLOOKUP($A69,'IRIS iTunes data'!$M$138:$N$249,2,FALSE)</f>
        <v>0</v>
      </c>
      <c r="E69" s="261">
        <f>VLOOKUP($A69,'IRIS iTunes data'!$S$138:$T$249,2,FALSE)</f>
        <v>0</v>
      </c>
      <c r="F69" s="261">
        <f>VLOOKUP($A69,'IRIS iTunes data'!$Y$138:$Z$249,2,FALSE)</f>
        <v>0</v>
      </c>
      <c r="G69" s="262">
        <f t="shared" si="20"/>
        <v>0.62</v>
      </c>
      <c r="H69" s="242">
        <f t="shared" ref="H69:H125" si="21">IFERROR((((B69+C69+D69+E69+F69))/COUNTIF(B69:F69, "&gt;0")*5),0)</f>
        <v>3.1</v>
      </c>
      <c r="I69" s="343">
        <f>VLOOKUP($A69,[2]IRIS!$J:$S,10,FALSE)</f>
        <v>1.141873040772728</v>
      </c>
      <c r="J69" s="264">
        <f t="shared" si="8"/>
        <v>1.9581269592272721</v>
      </c>
      <c r="K69" s="265">
        <f t="shared" si="9"/>
        <v>1.7148377177747967</v>
      </c>
      <c r="L69" s="286">
        <v>8.1</v>
      </c>
      <c r="M69" s="263">
        <f t="shared" ref="M69:M125" si="22">L69+H69</f>
        <v>11.2</v>
      </c>
      <c r="N69" s="263">
        <v>3.6571200208908516</v>
      </c>
      <c r="O69" s="264">
        <f t="shared" ref="O69:O80" si="23">M69-N69</f>
        <v>7.5428799791091476</v>
      </c>
      <c r="P69" s="265">
        <f t="shared" ref="P69:P124" si="24">O69/N69</f>
        <v>2.0625191232503628</v>
      </c>
      <c r="R69" s="235"/>
      <c r="S69" s="169"/>
      <c r="T69" s="109"/>
      <c r="U69" s="109"/>
    </row>
    <row r="70" spans="1:21" s="3" customFormat="1" x14ac:dyDescent="0.2">
      <c r="A70" s="260" t="s">
        <v>158</v>
      </c>
      <c r="B70" s="261">
        <f>VLOOKUP($A70,'IRIS iTunes data'!$A$138:$B$249,2,FALSE)</f>
        <v>18.695952000000002</v>
      </c>
      <c r="C70" s="261">
        <f>VLOOKUP($A70,'IRIS iTunes data'!$G$138:$H$249,2,FALSE)</f>
        <v>32.792596799999998</v>
      </c>
      <c r="D70" s="261">
        <f>VLOOKUP($A70,'IRIS iTunes data'!$M$138:$N$249,2,FALSE)</f>
        <v>33.910233600000005</v>
      </c>
      <c r="E70" s="261">
        <f>VLOOKUP($A70,'IRIS iTunes data'!$S$138:$T$249,2,FALSE)</f>
        <v>0</v>
      </c>
      <c r="F70" s="261">
        <f>VLOOKUP($A70,'IRIS iTunes data'!$Y$138:$Z$249,2,FALSE)</f>
        <v>0</v>
      </c>
      <c r="G70" s="262">
        <f t="shared" si="20"/>
        <v>85.398782400000016</v>
      </c>
      <c r="H70" s="242">
        <f t="shared" si="21"/>
        <v>142.33130400000002</v>
      </c>
      <c r="I70" s="343">
        <f>VLOOKUP($A70,[2]IRIS!$J:$S,10,FALSE)</f>
        <v>246.09039036873591</v>
      </c>
      <c r="J70" s="264">
        <f t="shared" si="8"/>
        <v>-103.75908636873589</v>
      </c>
      <c r="K70" s="265">
        <f t="shared" si="9"/>
        <v>-0.4216299799974545</v>
      </c>
      <c r="L70" s="286">
        <v>200.49383699999998</v>
      </c>
      <c r="M70" s="263">
        <f t="shared" si="22"/>
        <v>342.82514100000003</v>
      </c>
      <c r="N70" s="263">
        <v>788.16301062446814</v>
      </c>
      <c r="O70" s="264">
        <f t="shared" si="23"/>
        <v>-445.33786962446811</v>
      </c>
      <c r="P70" s="265">
        <f t="shared" si="24"/>
        <v>-0.56503269453310578</v>
      </c>
      <c r="R70" s="235"/>
      <c r="S70" s="169"/>
      <c r="T70" s="109"/>
      <c r="U70" s="109"/>
    </row>
    <row r="71" spans="1:21" s="3" customFormat="1" x14ac:dyDescent="0.2">
      <c r="A71" s="260" t="s">
        <v>203</v>
      </c>
      <c r="B71" s="261">
        <f>VLOOKUP($A71,'IRIS iTunes data'!$A$138:$B$249,2,FALSE)</f>
        <v>0</v>
      </c>
      <c r="C71" s="261">
        <f>VLOOKUP($A71,'IRIS iTunes data'!$G$138:$H$249,2,FALSE)</f>
        <v>0</v>
      </c>
      <c r="D71" s="261">
        <f>VLOOKUP($A71,'IRIS iTunes data'!$M$138:$N$249,2,FALSE)</f>
        <v>0</v>
      </c>
      <c r="E71" s="261">
        <f>VLOOKUP($A71,'IRIS iTunes data'!$S$138:$T$249,2,FALSE)</f>
        <v>0</v>
      </c>
      <c r="F71" s="261">
        <f>VLOOKUP($A71,'IRIS iTunes data'!$Y$138:$Z$249,2,FALSE)</f>
        <v>0</v>
      </c>
      <c r="G71" s="262">
        <f t="shared" si="20"/>
        <v>0</v>
      </c>
      <c r="H71" s="242">
        <f t="shared" si="21"/>
        <v>0</v>
      </c>
      <c r="I71" s="343">
        <f>VLOOKUP($A71,[2]IRIS!$J:$S,10,FALSE)</f>
        <v>0.16315437284703962</v>
      </c>
      <c r="J71" s="264">
        <f t="shared" si="8"/>
        <v>-0.16315437284703962</v>
      </c>
      <c r="K71" s="265">
        <f t="shared" si="9"/>
        <v>-1</v>
      </c>
      <c r="L71" s="286">
        <v>0</v>
      </c>
      <c r="M71" s="263">
        <f t="shared" si="22"/>
        <v>0</v>
      </c>
      <c r="N71" s="263">
        <v>0.52254068721249225</v>
      </c>
      <c r="O71" s="264">
        <f t="shared" si="23"/>
        <v>-0.52254068721249225</v>
      </c>
      <c r="P71" s="265">
        <f t="shared" si="24"/>
        <v>-1</v>
      </c>
      <c r="R71" s="235"/>
      <c r="S71" s="169"/>
      <c r="T71" s="109"/>
      <c r="U71" s="109"/>
    </row>
    <row r="72" spans="1:21" s="3" customFormat="1" x14ac:dyDescent="0.2">
      <c r="A72" s="260" t="s">
        <v>165</v>
      </c>
      <c r="B72" s="261">
        <f>VLOOKUP($A72,'IRIS iTunes data'!$A$138:$B$249,2,FALSE)</f>
        <v>0</v>
      </c>
      <c r="C72" s="261">
        <f>VLOOKUP($A72,'IRIS iTunes data'!$G$138:$H$249,2,FALSE)</f>
        <v>9.92</v>
      </c>
      <c r="D72" s="261">
        <f>VLOOKUP($A72,'IRIS iTunes data'!$M$138:$N$249,2,FALSE)</f>
        <v>0</v>
      </c>
      <c r="E72" s="261">
        <f>VLOOKUP($A72,'IRIS iTunes data'!$S$138:$T$249,2,FALSE)</f>
        <v>0</v>
      </c>
      <c r="F72" s="261">
        <f>VLOOKUP($A72,'IRIS iTunes data'!$Y$138:$Z$249,2,FALSE)</f>
        <v>0</v>
      </c>
      <c r="G72" s="262">
        <f t="shared" si="20"/>
        <v>9.92</v>
      </c>
      <c r="H72" s="242">
        <f t="shared" si="21"/>
        <v>49.6</v>
      </c>
      <c r="I72" s="343">
        <f>VLOOKUP($A72,[2]IRIS!$J:$S,10,FALSE)</f>
        <v>6.9346835843999859</v>
      </c>
      <c r="J72" s="264">
        <f t="shared" ref="J72:J80" si="25">H72-I72</f>
        <v>42.665316415600017</v>
      </c>
      <c r="K72" s="265">
        <f t="shared" si="9"/>
        <v>6.1524532296727097</v>
      </c>
      <c r="L72" s="286">
        <v>12.904999999999999</v>
      </c>
      <c r="M72" s="263">
        <f t="shared" si="22"/>
        <v>62.505000000000003</v>
      </c>
      <c r="N72" s="263">
        <v>22.209973674385076</v>
      </c>
      <c r="O72" s="264">
        <f t="shared" si="23"/>
        <v>40.295026325614927</v>
      </c>
      <c r="P72" s="265">
        <f t="shared" si="24"/>
        <v>1.8142761858420153</v>
      </c>
      <c r="R72" s="235"/>
      <c r="S72" s="169"/>
      <c r="T72" s="109"/>
      <c r="U72" s="109"/>
    </row>
    <row r="73" spans="1:21" s="3" customFormat="1" x14ac:dyDescent="0.2">
      <c r="A73" s="260" t="s">
        <v>166</v>
      </c>
      <c r="B73" s="261">
        <f>VLOOKUP($A73,'IRIS iTunes data'!$A$138:$B$249,2,FALSE)</f>
        <v>21.209999999999997</v>
      </c>
      <c r="C73" s="261">
        <f>VLOOKUP($A73,'IRIS iTunes data'!$G$138:$H$249,2,FALSE)</f>
        <v>45.839999999999996</v>
      </c>
      <c r="D73" s="261">
        <f>VLOOKUP($A73,'IRIS iTunes data'!$M$138:$N$249,2,FALSE)</f>
        <v>16.809999999999995</v>
      </c>
      <c r="E73" s="261">
        <f>VLOOKUP($A73,'IRIS iTunes data'!$S$138:$T$249,2,FALSE)</f>
        <v>0</v>
      </c>
      <c r="F73" s="261">
        <f>VLOOKUP($A73,'IRIS iTunes data'!$Y$138:$Z$249,2,FALSE)</f>
        <v>0</v>
      </c>
      <c r="G73" s="262">
        <f t="shared" si="20"/>
        <v>83.859999999999985</v>
      </c>
      <c r="H73" s="242">
        <f t="shared" si="21"/>
        <v>139.76666666666665</v>
      </c>
      <c r="I73" s="343">
        <f>VLOOKUP($A73,[2]IRIS!$J:$S,10,FALSE)</f>
        <v>141.35562041403523</v>
      </c>
      <c r="J73" s="264">
        <f t="shared" si="25"/>
        <v>-1.5889537473685778</v>
      </c>
      <c r="K73" s="265">
        <f t="shared" si="9"/>
        <v>-1.1240824685389094E-2</v>
      </c>
      <c r="L73" s="286">
        <v>213.92000000000002</v>
      </c>
      <c r="M73" s="263">
        <f t="shared" si="22"/>
        <v>353.68666666666667</v>
      </c>
      <c r="N73" s="263">
        <v>452.72499745837121</v>
      </c>
      <c r="O73" s="264">
        <f t="shared" si="23"/>
        <v>-99.038330791704539</v>
      </c>
      <c r="P73" s="265">
        <f t="shared" si="24"/>
        <v>-0.21876046462579365</v>
      </c>
      <c r="R73" s="235"/>
      <c r="S73" s="169"/>
      <c r="T73" s="109"/>
      <c r="U73" s="109"/>
    </row>
    <row r="74" spans="1:21" s="3" customFormat="1" x14ac:dyDescent="0.2">
      <c r="A74" s="260" t="s">
        <v>170</v>
      </c>
      <c r="B74" s="261">
        <f>VLOOKUP($A74,'IRIS iTunes data'!$A$138:$B$249,2,FALSE)</f>
        <v>1.24</v>
      </c>
      <c r="C74" s="261">
        <f>VLOOKUP($A74,'IRIS iTunes data'!$G$138:$H$249,2,FALSE)</f>
        <v>0</v>
      </c>
      <c r="D74" s="261">
        <f>VLOOKUP($A74,'IRIS iTunes data'!$M$138:$N$249,2,FALSE)</f>
        <v>0</v>
      </c>
      <c r="E74" s="261">
        <f>VLOOKUP($A74,'IRIS iTunes data'!$S$138:$T$249,2,FALSE)</f>
        <v>0</v>
      </c>
      <c r="F74" s="261">
        <f>VLOOKUP($A74,'IRIS iTunes data'!$Y$138:$Z$249,2,FALSE)</f>
        <v>0</v>
      </c>
      <c r="G74" s="262">
        <f t="shared" si="20"/>
        <v>1.24</v>
      </c>
      <c r="H74" s="242">
        <f t="shared" si="21"/>
        <v>6.2</v>
      </c>
      <c r="I74" s="343">
        <f>VLOOKUP($A74,[2]IRIS!$J:$S,10,FALSE)</f>
        <v>0.69641593201927499</v>
      </c>
      <c r="J74" s="264">
        <f t="shared" si="25"/>
        <v>5.5035840679807251</v>
      </c>
      <c r="K74" s="265">
        <f t="shared" si="9"/>
        <v>7.9027256772011931</v>
      </c>
      <c r="L74" s="286">
        <v>2.48</v>
      </c>
      <c r="M74" s="263">
        <f t="shared" si="22"/>
        <v>8.68</v>
      </c>
      <c r="N74" s="263">
        <v>2.2304376729408828</v>
      </c>
      <c r="O74" s="264">
        <f t="shared" si="23"/>
        <v>6.4495623270591169</v>
      </c>
      <c r="P74" s="265">
        <f t="shared" si="24"/>
        <v>2.8916128907360243</v>
      </c>
      <c r="R74" s="235"/>
      <c r="S74" s="169"/>
      <c r="T74" s="109"/>
      <c r="U74" s="109"/>
    </row>
    <row r="75" spans="1:21" s="3" customFormat="1" x14ac:dyDescent="0.2">
      <c r="A75" s="260" t="s">
        <v>181</v>
      </c>
      <c r="B75" s="261">
        <f>VLOOKUP($A75,'IRIS iTunes data'!$A$138:$B$249,2,FALSE)</f>
        <v>41.199999999999982</v>
      </c>
      <c r="C75" s="261">
        <f>VLOOKUP($A75,'IRIS iTunes data'!$G$138:$H$249,2,FALSE)</f>
        <v>51.379999999999995</v>
      </c>
      <c r="D75" s="261">
        <f>VLOOKUP($A75,'IRIS iTunes data'!$M$138:$N$249,2,FALSE)</f>
        <v>25.980000000000008</v>
      </c>
      <c r="E75" s="261">
        <f>VLOOKUP($A75,'IRIS iTunes data'!$S$138:$T$249,2,FALSE)</f>
        <v>0</v>
      </c>
      <c r="F75" s="261">
        <f>VLOOKUP($A75,'IRIS iTunes data'!$Y$138:$Z$249,2,FALSE)</f>
        <v>0</v>
      </c>
      <c r="G75" s="262">
        <f t="shared" si="20"/>
        <v>118.55999999999999</v>
      </c>
      <c r="H75" s="242">
        <f t="shared" si="21"/>
        <v>197.59999999999997</v>
      </c>
      <c r="I75" s="343">
        <f>VLOOKUP($A75,[2]IRIS!$J:$S,10,FALSE)</f>
        <v>121.89167730491044</v>
      </c>
      <c r="J75" s="264">
        <f t="shared" si="25"/>
        <v>75.708322695089521</v>
      </c>
      <c r="K75" s="265">
        <f t="shared" si="9"/>
        <v>0.62111150136777704</v>
      </c>
      <c r="L75" s="286">
        <v>246.85999999999999</v>
      </c>
      <c r="M75" s="263">
        <f t="shared" si="22"/>
        <v>444.45999999999992</v>
      </c>
      <c r="N75" s="263">
        <v>390.38708992559458</v>
      </c>
      <c r="O75" s="264">
        <f t="shared" si="23"/>
        <v>54.072910074405343</v>
      </c>
      <c r="P75" s="265">
        <f t="shared" si="24"/>
        <v>0.1385110098920313</v>
      </c>
      <c r="R75" s="235"/>
      <c r="S75" s="169"/>
      <c r="T75" s="109"/>
      <c r="U75" s="109"/>
    </row>
    <row r="76" spans="1:21" s="3" customFormat="1" x14ac:dyDescent="0.2">
      <c r="A76" s="260" t="s">
        <v>184</v>
      </c>
      <c r="B76" s="261">
        <f>VLOOKUP($A76,'IRIS iTunes data'!$A$138:$B$249,2,FALSE)</f>
        <v>61.479630000000036</v>
      </c>
      <c r="C76" s="261">
        <f>VLOOKUP($A76,'IRIS iTunes data'!$G$138:$H$249,2,FALSE)</f>
        <v>94.725621000000089</v>
      </c>
      <c r="D76" s="261">
        <f>VLOOKUP($A76,'IRIS iTunes data'!$M$138:$N$249,2,FALSE)</f>
        <v>60.57897300000004</v>
      </c>
      <c r="E76" s="261">
        <f>VLOOKUP($A76,'IRIS iTunes data'!$S$138:$T$249,2,FALSE)</f>
        <v>0</v>
      </c>
      <c r="F76" s="261">
        <f>VLOOKUP($A76,'IRIS iTunes data'!$Y$138:$Z$249,2,FALSE)</f>
        <v>0</v>
      </c>
      <c r="G76" s="262">
        <f t="shared" si="20"/>
        <v>216.78422400000017</v>
      </c>
      <c r="H76" s="242">
        <f t="shared" si="21"/>
        <v>361.30704000000031</v>
      </c>
      <c r="I76" s="343">
        <f>VLOOKUP($A76,[2]IRIS!$J:$S,10,FALSE)</f>
        <v>281.25157386358654</v>
      </c>
      <c r="J76" s="264">
        <f t="shared" si="25"/>
        <v>80.05546613641377</v>
      </c>
      <c r="K76" s="265">
        <f t="shared" si="9"/>
        <v>0.2846400645396655</v>
      </c>
      <c r="L76" s="286">
        <v>473.66311160000004</v>
      </c>
      <c r="M76" s="263">
        <f t="shared" si="22"/>
        <v>834.97015160000035</v>
      </c>
      <c r="N76" s="263">
        <v>900.77506426417642</v>
      </c>
      <c r="O76" s="264">
        <f t="shared" si="23"/>
        <v>-65.804912664176072</v>
      </c>
      <c r="P76" s="265">
        <f t="shared" si="24"/>
        <v>-7.3053657094660676E-2</v>
      </c>
      <c r="R76" s="235"/>
      <c r="S76" s="169"/>
      <c r="T76" s="109"/>
      <c r="U76" s="109"/>
    </row>
    <row r="77" spans="1:21" s="3" customFormat="1" x14ac:dyDescent="0.2">
      <c r="A77" s="260" t="s">
        <v>186</v>
      </c>
      <c r="B77" s="261">
        <f>VLOOKUP($A77,'IRIS iTunes data'!$A$138:$B$249,2,FALSE)</f>
        <v>0</v>
      </c>
      <c r="C77" s="261">
        <f>VLOOKUP($A77,'IRIS iTunes data'!$G$138:$H$249,2,FALSE)</f>
        <v>0</v>
      </c>
      <c r="D77" s="261">
        <f>VLOOKUP($A77,'IRIS iTunes data'!$M$138:$N$249,2,FALSE)</f>
        <v>0.62</v>
      </c>
      <c r="E77" s="261">
        <f>VLOOKUP($A77,'IRIS iTunes data'!$S$138:$T$249,2,FALSE)</f>
        <v>0</v>
      </c>
      <c r="F77" s="261">
        <f>VLOOKUP($A77,'IRIS iTunes data'!$Y$138:$Z$249,2,FALSE)</f>
        <v>0</v>
      </c>
      <c r="G77" s="262">
        <f t="shared" si="20"/>
        <v>0.62</v>
      </c>
      <c r="H77" s="242">
        <f t="shared" si="21"/>
        <v>3.1</v>
      </c>
      <c r="I77" s="343">
        <f>VLOOKUP($A77,[2]IRIS!$J:$S,10,FALSE)</f>
        <v>8.8973103038209551</v>
      </c>
      <c r="J77" s="264">
        <f t="shared" si="25"/>
        <v>-5.7973103038209555</v>
      </c>
      <c r="K77" s="265">
        <f t="shared" si="9"/>
        <v>-0.65158009621529067</v>
      </c>
      <c r="L77" s="286">
        <v>29.604999999999997</v>
      </c>
      <c r="M77" s="263">
        <f t="shared" si="22"/>
        <v>32.704999999999998</v>
      </c>
      <c r="N77" s="263">
        <v>28.495752576978802</v>
      </c>
      <c r="O77" s="264">
        <f t="shared" si="23"/>
        <v>4.2092474230211963</v>
      </c>
      <c r="P77" s="265">
        <f t="shared" si="24"/>
        <v>0.14771490634087589</v>
      </c>
      <c r="R77" s="235"/>
      <c r="S77" s="169"/>
      <c r="T77" s="109"/>
      <c r="U77" s="109"/>
    </row>
    <row r="78" spans="1:21" s="3" customFormat="1" x14ac:dyDescent="0.2">
      <c r="A78" s="260" t="s">
        <v>188</v>
      </c>
      <c r="B78" s="261">
        <f>VLOOKUP($A78,'IRIS iTunes data'!$A$138:$B$249,2,FALSE)</f>
        <v>20.128680000000003</v>
      </c>
      <c r="C78" s="261">
        <f>VLOOKUP($A78,'IRIS iTunes data'!$G$138:$H$249,2,FALSE)</f>
        <v>9.7025500000000005</v>
      </c>
      <c r="D78" s="261">
        <f>VLOOKUP($A78,'IRIS iTunes data'!$M$138:$N$249,2,FALSE)</f>
        <v>44.500170000000004</v>
      </c>
      <c r="E78" s="261">
        <f>VLOOKUP($A78,'IRIS iTunes data'!$S$138:$T$249,2,FALSE)</f>
        <v>0</v>
      </c>
      <c r="F78" s="261">
        <f>VLOOKUP($A78,'IRIS iTunes data'!$Y$138:$Z$249,2,FALSE)</f>
        <v>0</v>
      </c>
      <c r="G78" s="262">
        <f t="shared" si="20"/>
        <v>74.331400000000002</v>
      </c>
      <c r="H78" s="242">
        <f t="shared" si="21"/>
        <v>123.88566666666668</v>
      </c>
      <c r="I78" s="343">
        <f>VLOOKUP($A78,[2]IRIS!$J:$S,10,FALSE)</f>
        <v>191.55895127684991</v>
      </c>
      <c r="J78" s="264">
        <f t="shared" si="25"/>
        <v>-67.673284610183231</v>
      </c>
      <c r="K78" s="265">
        <f t="shared" si="9"/>
        <v>-0.35327654572705741</v>
      </c>
      <c r="L78" s="286">
        <v>289.52382</v>
      </c>
      <c r="M78" s="263">
        <f t="shared" si="22"/>
        <v>413.40948666666668</v>
      </c>
      <c r="N78" s="263">
        <v>613.51310599411681</v>
      </c>
      <c r="O78" s="264">
        <f t="shared" si="23"/>
        <v>-200.10361932745013</v>
      </c>
      <c r="P78" s="265">
        <f t="shared" si="24"/>
        <v>-0.32616030101461108</v>
      </c>
      <c r="R78" s="235"/>
      <c r="S78" s="169"/>
      <c r="T78" s="109"/>
      <c r="U78" s="109"/>
    </row>
    <row r="79" spans="1:21" s="3" customFormat="1" x14ac:dyDescent="0.2">
      <c r="A79" s="260" t="s">
        <v>190</v>
      </c>
      <c r="B79" s="261">
        <f>VLOOKUP($A79,'IRIS iTunes data'!$A$138:$B$249,2,FALSE)</f>
        <v>50.05999999999996</v>
      </c>
      <c r="C79" s="261">
        <f>VLOOKUP($A79,'IRIS iTunes data'!$G$138:$H$249,2,FALSE)</f>
        <v>23.840000000000007</v>
      </c>
      <c r="D79" s="261">
        <f>VLOOKUP($A79,'IRIS iTunes data'!$M$138:$N$249,2,FALSE)</f>
        <v>37.140000000000008</v>
      </c>
      <c r="E79" s="261">
        <f>VLOOKUP($A79,'IRIS iTunes data'!$S$138:$T$249,2,FALSE)</f>
        <v>0</v>
      </c>
      <c r="F79" s="261">
        <f>VLOOKUP($A79,'IRIS iTunes data'!$Y$138:$Z$249,2,FALSE)</f>
        <v>0</v>
      </c>
      <c r="G79" s="262">
        <f t="shared" si="20"/>
        <v>111.03999999999996</v>
      </c>
      <c r="H79" s="242">
        <f t="shared" si="21"/>
        <v>185.06666666666661</v>
      </c>
      <c r="I79" s="343">
        <f>VLOOKUP($A79,[2]IRIS!$J:$S,10,FALSE)</f>
        <v>143.83926167316858</v>
      </c>
      <c r="J79" s="264">
        <f t="shared" si="25"/>
        <v>41.227404993498027</v>
      </c>
      <c r="K79" s="265">
        <f t="shared" si="9"/>
        <v>0.28662136133022492</v>
      </c>
      <c r="L79" s="286">
        <v>167.57</v>
      </c>
      <c r="M79" s="263">
        <f t="shared" si="22"/>
        <v>352.6366666666666</v>
      </c>
      <c r="N79" s="263">
        <v>460.67944935377682</v>
      </c>
      <c r="O79" s="264">
        <f t="shared" si="23"/>
        <v>-108.04278268711022</v>
      </c>
      <c r="P79" s="265">
        <f t="shared" si="24"/>
        <v>-0.23452919994297211</v>
      </c>
      <c r="R79" s="235"/>
      <c r="S79" s="169"/>
      <c r="T79" s="109"/>
      <c r="U79" s="109"/>
    </row>
    <row r="80" spans="1:21" s="3" customFormat="1" x14ac:dyDescent="0.2">
      <c r="A80" s="260" t="s">
        <v>198</v>
      </c>
      <c r="B80" s="261">
        <f>VLOOKUP($A80,'IRIS iTunes data'!$A$138:$B$249,2,FALSE)</f>
        <v>0</v>
      </c>
      <c r="C80" s="261">
        <f>VLOOKUP($A80,'IRIS iTunes data'!$G$138:$H$249,2,FALSE)</f>
        <v>1.8599999999999999</v>
      </c>
      <c r="D80" s="261">
        <f>VLOOKUP($A80,'IRIS iTunes data'!$M$138:$N$249,2,FALSE)</f>
        <v>3.72</v>
      </c>
      <c r="E80" s="261">
        <f>VLOOKUP($A80,'IRIS iTunes data'!$S$138:$T$249,2,FALSE)</f>
        <v>0</v>
      </c>
      <c r="F80" s="261">
        <f>VLOOKUP($A80,'IRIS iTunes data'!$Y$138:$Z$249,2,FALSE)</f>
        <v>0</v>
      </c>
      <c r="G80" s="262">
        <f t="shared" si="20"/>
        <v>5.58</v>
      </c>
      <c r="H80" s="242">
        <f t="shared" si="21"/>
        <v>13.95</v>
      </c>
      <c r="I80" s="343">
        <f>VLOOKUP($A80,[2]IRIS!$J:$S,10,FALSE)</f>
        <v>7.8976264767841959</v>
      </c>
      <c r="J80" s="264">
        <f t="shared" si="25"/>
        <v>6.0523735232158034</v>
      </c>
      <c r="K80" s="265">
        <f t="shared" si="9"/>
        <v>0.76635347860617564</v>
      </c>
      <c r="L80" s="286">
        <v>47.12</v>
      </c>
      <c r="M80" s="263">
        <f t="shared" si="22"/>
        <v>61.069999999999993</v>
      </c>
      <c r="N80" s="263">
        <v>25.294027334439704</v>
      </c>
      <c r="O80" s="264">
        <f t="shared" si="23"/>
        <v>35.775972665560289</v>
      </c>
      <c r="P80" s="265">
        <f t="shared" si="24"/>
        <v>1.414403969463915</v>
      </c>
      <c r="R80" s="235"/>
      <c r="S80" s="169"/>
      <c r="T80" s="109"/>
      <c r="U80" s="109"/>
    </row>
    <row r="81" spans="1:21" x14ac:dyDescent="0.2">
      <c r="A81" s="241" t="s">
        <v>26</v>
      </c>
      <c r="B81" s="253">
        <f>'IRIS iTunes data'!B131</f>
        <v>195.35177159999986</v>
      </c>
      <c r="C81" s="253">
        <f>'IRIS iTunes data'!H131</f>
        <v>191.15618039999987</v>
      </c>
      <c r="D81" s="253">
        <f>'IRIS iTunes data'!N131</f>
        <v>222.94248979999986</v>
      </c>
      <c r="E81" s="253">
        <f>'IRIS iTunes data'!T131</f>
        <v>0</v>
      </c>
      <c r="F81" s="253">
        <f>'IRIS iTunes data'!Z131</f>
        <v>0</v>
      </c>
      <c r="G81" s="254">
        <f>SUM(B81:F81)</f>
        <v>609.45044179999957</v>
      </c>
      <c r="H81" s="242">
        <f t="shared" si="21"/>
        <v>1015.7507363333326</v>
      </c>
      <c r="I81" s="345">
        <f>SUM(I82:I125)</f>
        <v>3812.2230961427995</v>
      </c>
      <c r="J81" s="252">
        <f>H81-I81</f>
        <v>-2796.472359809467</v>
      </c>
      <c r="K81" s="247">
        <f t="shared" si="9"/>
        <v>-0.73355422526004121</v>
      </c>
      <c r="L81" s="285">
        <v>2964.2829986000015</v>
      </c>
      <c r="M81" s="256">
        <f t="shared" si="22"/>
        <v>3980.033734933334</v>
      </c>
      <c r="N81" s="256">
        <v>12209.551247108593</v>
      </c>
      <c r="O81" s="252">
        <f>M81-N81</f>
        <v>-8229.5175121752582</v>
      </c>
      <c r="P81" s="247">
        <f t="shared" si="24"/>
        <v>-0.67402293054170459</v>
      </c>
      <c r="R81">
        <f>I81/$I$127</f>
        <v>1.7176191623820163E-2</v>
      </c>
      <c r="S81" s="163">
        <f>R81*$S$127</f>
        <v>3382.8183055472955</v>
      </c>
      <c r="T81" s="109"/>
      <c r="U81" s="109"/>
    </row>
    <row r="82" spans="1:21" s="3" customFormat="1" x14ac:dyDescent="0.2">
      <c r="A82" s="260" t="s">
        <v>126</v>
      </c>
      <c r="B82" s="261">
        <f>VLOOKUP($A82,'IRIS iTunes data'!$A$138:$B$249,2,FALSE)</f>
        <v>0</v>
      </c>
      <c r="C82" s="261">
        <f>VLOOKUP($A82,'IRIS iTunes data'!$G$138:$H$249,2,FALSE)</f>
        <v>0</v>
      </c>
      <c r="D82" s="261">
        <f>VLOOKUP($A82,'IRIS iTunes data'!$M$138:$N$249,2,FALSE)</f>
        <v>0</v>
      </c>
      <c r="E82" s="261">
        <f>VLOOKUP($A82,'IRIS iTunes data'!$S$138:$T$249,2,FALSE)</f>
        <v>0</v>
      </c>
      <c r="F82" s="261">
        <f>VLOOKUP($A82,'IRIS iTunes data'!$Y$138:$Z$249,2,FALSE)</f>
        <v>0</v>
      </c>
      <c r="G82" s="262">
        <f t="shared" ref="G82:G125" si="26">SUM(B82:F82)</f>
        <v>0</v>
      </c>
      <c r="H82" s="242">
        <f t="shared" si="21"/>
        <v>0</v>
      </c>
      <c r="I82" s="343">
        <f>VLOOKUP($A82,[2]IRIS!$J:$S,10,FALSE)</f>
        <v>0.93891932215806162</v>
      </c>
      <c r="J82" s="264">
        <f t="shared" ref="J82:J125" si="27">H82-I82</f>
        <v>-0.93891932215806162</v>
      </c>
      <c r="K82" s="265">
        <f t="shared" ref="K82:K125" si="28">J82/I82</f>
        <v>-1</v>
      </c>
      <c r="L82" s="286">
        <v>0</v>
      </c>
      <c r="M82" s="263">
        <f t="shared" si="22"/>
        <v>0</v>
      </c>
      <c r="N82" s="263">
        <v>3.0071124621191125</v>
      </c>
      <c r="O82" s="264">
        <f t="shared" ref="O82:O124" si="29">M82-N82</f>
        <v>-3.0071124621191125</v>
      </c>
      <c r="P82" s="265">
        <f t="shared" si="24"/>
        <v>-1</v>
      </c>
      <c r="R82" s="235"/>
      <c r="S82" s="169"/>
      <c r="T82" s="109"/>
      <c r="U82" s="109"/>
    </row>
    <row r="83" spans="1:21" s="3" customFormat="1" x14ac:dyDescent="0.2">
      <c r="A83" s="260" t="s">
        <v>127</v>
      </c>
      <c r="B83" s="261">
        <f>VLOOKUP($A83,'IRIS iTunes data'!$A$138:$B$249,2,FALSE)</f>
        <v>0</v>
      </c>
      <c r="C83" s="261">
        <f>VLOOKUP($A83,'IRIS iTunes data'!$G$138:$H$249,2,FALSE)</f>
        <v>0</v>
      </c>
      <c r="D83" s="261">
        <f>VLOOKUP($A83,'IRIS iTunes data'!$M$138:$N$249,2,FALSE)</f>
        <v>1.22</v>
      </c>
      <c r="E83" s="261">
        <f>VLOOKUP($A83,'IRIS iTunes data'!$S$138:$T$249,2,FALSE)</f>
        <v>0</v>
      </c>
      <c r="F83" s="261">
        <f>VLOOKUP($A83,'IRIS iTunes data'!$Y$138:$Z$249,2,FALSE)</f>
        <v>0</v>
      </c>
      <c r="G83" s="262">
        <f t="shared" si="26"/>
        <v>1.22</v>
      </c>
      <c r="H83" s="242">
        <f t="shared" si="21"/>
        <v>6.1</v>
      </c>
      <c r="I83" s="343">
        <f>VLOOKUP($A83,[2]IRIS!$J:$S,10,FALSE)</f>
        <v>4.3612979571694117</v>
      </c>
      <c r="J83" s="264">
        <f t="shared" si="27"/>
        <v>1.7387020428305879</v>
      </c>
      <c r="K83" s="265">
        <f t="shared" si="28"/>
        <v>0.39866619063996439</v>
      </c>
      <c r="L83" s="286">
        <v>0</v>
      </c>
      <c r="M83" s="263">
        <f t="shared" si="22"/>
        <v>6.1</v>
      </c>
      <c r="N83" s="263">
        <v>13.968094093403849</v>
      </c>
      <c r="O83" s="264">
        <f t="shared" si="29"/>
        <v>-7.8680940934038492</v>
      </c>
      <c r="P83" s="265">
        <f t="shared" si="24"/>
        <v>-0.56329045614887419</v>
      </c>
      <c r="R83" s="235"/>
      <c r="S83" s="169"/>
      <c r="T83" s="109"/>
      <c r="U83" s="109"/>
    </row>
    <row r="84" spans="1:21" s="3" customFormat="1" x14ac:dyDescent="0.2">
      <c r="A84" s="260" t="s">
        <v>129</v>
      </c>
      <c r="B84" s="261">
        <f>VLOOKUP($A84,'IRIS iTunes data'!$A$138:$B$249,2,FALSE)</f>
        <v>0</v>
      </c>
      <c r="C84" s="261">
        <f>VLOOKUP($A84,'IRIS iTunes data'!$G$138:$H$249,2,FALSE)</f>
        <v>0</v>
      </c>
      <c r="D84" s="261">
        <f>VLOOKUP($A84,'IRIS iTunes data'!$M$138:$N$249,2,FALSE)</f>
        <v>0</v>
      </c>
      <c r="E84" s="261">
        <f>VLOOKUP($A84,'IRIS iTunes data'!$S$138:$T$249,2,FALSE)</f>
        <v>0</v>
      </c>
      <c r="F84" s="261">
        <f>VLOOKUP($A84,'IRIS iTunes data'!$Y$138:$Z$249,2,FALSE)</f>
        <v>0</v>
      </c>
      <c r="G84" s="262">
        <f t="shared" si="26"/>
        <v>0</v>
      </c>
      <c r="H84" s="242">
        <f t="shared" si="21"/>
        <v>0</v>
      </c>
      <c r="I84" s="343">
        <f>VLOOKUP($A84,[2]IRIS!$J:$S,10,FALSE)</f>
        <v>6.6440678430784699</v>
      </c>
      <c r="J84" s="264">
        <f t="shared" si="27"/>
        <v>-6.6440678430784699</v>
      </c>
      <c r="K84" s="265">
        <f t="shared" si="28"/>
        <v>-1</v>
      </c>
      <c r="L84" s="286">
        <v>16.5</v>
      </c>
      <c r="M84" s="263">
        <f t="shared" si="22"/>
        <v>16.5</v>
      </c>
      <c r="N84" s="263">
        <v>21.279207636460473</v>
      </c>
      <c r="O84" s="264">
        <f t="shared" si="29"/>
        <v>-4.7792076364604732</v>
      </c>
      <c r="P84" s="265">
        <f t="shared" si="24"/>
        <v>-0.2245951878523722</v>
      </c>
      <c r="R84" s="235"/>
      <c r="S84" s="169"/>
      <c r="T84" s="109"/>
      <c r="U84" s="109"/>
    </row>
    <row r="85" spans="1:21" s="3" customFormat="1" x14ac:dyDescent="0.2">
      <c r="A85" s="260" t="s">
        <v>130</v>
      </c>
      <c r="B85" s="261">
        <f>VLOOKUP($A85,'IRIS iTunes data'!$A$138:$B$249,2,FALSE)</f>
        <v>0</v>
      </c>
      <c r="C85" s="261">
        <f>VLOOKUP($A85,'IRIS iTunes data'!$G$138:$H$249,2,FALSE)</f>
        <v>0.6</v>
      </c>
      <c r="D85" s="261">
        <f>VLOOKUP($A85,'IRIS iTunes data'!$M$138:$N$249,2,FALSE)</f>
        <v>7.38</v>
      </c>
      <c r="E85" s="261">
        <f>VLOOKUP($A85,'IRIS iTunes data'!$S$138:$T$249,2,FALSE)</f>
        <v>0</v>
      </c>
      <c r="F85" s="261">
        <f>VLOOKUP($A85,'IRIS iTunes data'!$Y$138:$Z$249,2,FALSE)</f>
        <v>0</v>
      </c>
      <c r="G85" s="262">
        <f t="shared" si="26"/>
        <v>7.9799999999999995</v>
      </c>
      <c r="H85" s="242">
        <f t="shared" si="21"/>
        <v>19.95</v>
      </c>
      <c r="I85" s="343">
        <f>VLOOKUP($A85,[2]IRIS!$J:$S,10,FALSE)</f>
        <v>23.191188907307737</v>
      </c>
      <c r="J85" s="264">
        <f t="shared" si="27"/>
        <v>-3.2411889073077376</v>
      </c>
      <c r="K85" s="265">
        <f t="shared" si="28"/>
        <v>-0.13975949746528138</v>
      </c>
      <c r="L85" s="286">
        <v>11.124999999999998</v>
      </c>
      <c r="M85" s="263">
        <f t="shared" si="22"/>
        <v>31.074999999999996</v>
      </c>
      <c r="N85" s="263">
        <v>74.275298770327723</v>
      </c>
      <c r="O85" s="264">
        <f t="shared" si="29"/>
        <v>-43.200298770327727</v>
      </c>
      <c r="P85" s="265">
        <f t="shared" si="24"/>
        <v>-0.58162403228980131</v>
      </c>
      <c r="R85" s="235"/>
      <c r="S85" s="169"/>
      <c r="T85" s="109"/>
      <c r="U85" s="109"/>
    </row>
    <row r="86" spans="1:21" s="3" customFormat="1" x14ac:dyDescent="0.2">
      <c r="A86" s="260" t="s">
        <v>131</v>
      </c>
      <c r="B86" s="261">
        <f>VLOOKUP($A86,'IRIS iTunes data'!$A$138:$B$249,2,FALSE)</f>
        <v>0</v>
      </c>
      <c r="C86" s="261">
        <f>VLOOKUP($A86,'IRIS iTunes data'!$G$138:$H$249,2,FALSE)</f>
        <v>0</v>
      </c>
      <c r="D86" s="261">
        <f>VLOOKUP($A86,'IRIS iTunes data'!$M$138:$N$249,2,FALSE)</f>
        <v>0</v>
      </c>
      <c r="E86" s="261">
        <f>VLOOKUP($A86,'IRIS iTunes data'!$S$138:$T$249,2,FALSE)</f>
        <v>0</v>
      </c>
      <c r="F86" s="261">
        <f>VLOOKUP($A86,'IRIS iTunes data'!$Y$138:$Z$249,2,FALSE)</f>
        <v>0</v>
      </c>
      <c r="G86" s="262">
        <f t="shared" si="26"/>
        <v>0</v>
      </c>
      <c r="H86" s="242">
        <f t="shared" si="21"/>
        <v>0</v>
      </c>
      <c r="I86" s="343">
        <f>VLOOKUP($A86,[2]IRIS!$J:$S,10,FALSE)</f>
        <v>12.404568632607067</v>
      </c>
      <c r="J86" s="264">
        <f t="shared" si="27"/>
        <v>-12.404568632607067</v>
      </c>
      <c r="K86" s="265">
        <f t="shared" si="28"/>
        <v>-1</v>
      </c>
      <c r="L86" s="286">
        <v>35.614999999999995</v>
      </c>
      <c r="M86" s="263">
        <f t="shared" si="22"/>
        <v>35.614999999999995</v>
      </c>
      <c r="N86" s="263">
        <v>39.728581617202011</v>
      </c>
      <c r="O86" s="264">
        <f t="shared" si="29"/>
        <v>-4.1135816172020157</v>
      </c>
      <c r="P86" s="265">
        <f t="shared" si="24"/>
        <v>-0.10354212130797247</v>
      </c>
      <c r="R86" s="235"/>
      <c r="S86" s="169"/>
      <c r="T86" s="109"/>
      <c r="U86" s="109"/>
    </row>
    <row r="87" spans="1:21" s="3" customFormat="1" x14ac:dyDescent="0.2">
      <c r="A87" s="260" t="s">
        <v>132</v>
      </c>
      <c r="B87" s="261">
        <f>VLOOKUP($A87,'IRIS iTunes data'!$A$138:$B$249,2,FALSE)</f>
        <v>0</v>
      </c>
      <c r="C87" s="261">
        <f>VLOOKUP($A87,'IRIS iTunes data'!$G$138:$H$249,2,FALSE)</f>
        <v>0</v>
      </c>
      <c r="D87" s="261">
        <f>VLOOKUP($A87,'IRIS iTunes data'!$M$138:$N$249,2,FALSE)</f>
        <v>0</v>
      </c>
      <c r="E87" s="261">
        <f>VLOOKUP($A87,'IRIS iTunes data'!$S$138:$T$249,2,FALSE)</f>
        <v>0</v>
      </c>
      <c r="F87" s="261">
        <f>VLOOKUP($A87,'IRIS iTunes data'!$Y$138:$Z$249,2,FALSE)</f>
        <v>0</v>
      </c>
      <c r="G87" s="262">
        <f t="shared" si="26"/>
        <v>0</v>
      </c>
      <c r="H87" s="242">
        <f t="shared" si="21"/>
        <v>0</v>
      </c>
      <c r="I87" s="343">
        <f>VLOOKUP($A87,[2]IRIS!$J:$S,10,FALSE)</f>
        <v>6.8918216990428949</v>
      </c>
      <c r="J87" s="264">
        <f t="shared" si="27"/>
        <v>-6.8918216990428949</v>
      </c>
      <c r="K87" s="265">
        <f t="shared" si="28"/>
        <v>-1</v>
      </c>
      <c r="L87" s="286">
        <v>2.44</v>
      </c>
      <c r="M87" s="263">
        <f t="shared" si="22"/>
        <v>2.44</v>
      </c>
      <c r="N87" s="263">
        <v>22.072698291329825</v>
      </c>
      <c r="O87" s="264">
        <f t="shared" si="29"/>
        <v>-19.632698291329824</v>
      </c>
      <c r="P87" s="265">
        <f t="shared" si="24"/>
        <v>-0.88945619752531857</v>
      </c>
      <c r="R87" s="235"/>
      <c r="S87" s="169"/>
      <c r="T87" s="109"/>
      <c r="U87" s="109"/>
    </row>
    <row r="88" spans="1:21" s="3" customFormat="1" x14ac:dyDescent="0.2">
      <c r="A88" s="260" t="s">
        <v>133</v>
      </c>
      <c r="B88" s="261">
        <f>VLOOKUP($A88,'IRIS iTunes data'!$A$138:$B$249,2,FALSE)</f>
        <v>0</v>
      </c>
      <c r="C88" s="261">
        <f>VLOOKUP($A88,'IRIS iTunes data'!$G$138:$H$249,2,FALSE)</f>
        <v>0</v>
      </c>
      <c r="D88" s="261">
        <f>VLOOKUP($A88,'IRIS iTunes data'!$M$138:$N$249,2,FALSE)</f>
        <v>0.6</v>
      </c>
      <c r="E88" s="261">
        <f>VLOOKUP($A88,'IRIS iTunes data'!$S$138:$T$249,2,FALSE)</f>
        <v>0</v>
      </c>
      <c r="F88" s="261">
        <f>VLOOKUP($A88,'IRIS iTunes data'!$Y$138:$Z$249,2,FALSE)</f>
        <v>0</v>
      </c>
      <c r="G88" s="262">
        <f t="shared" si="26"/>
        <v>0.6</v>
      </c>
      <c r="H88" s="242">
        <f t="shared" si="21"/>
        <v>3</v>
      </c>
      <c r="I88" s="343">
        <f>VLOOKUP($A88,[2]IRIS!$J:$S,10,FALSE)</f>
        <v>8.2842166031194999</v>
      </c>
      <c r="J88" s="264">
        <f t="shared" si="27"/>
        <v>-5.2842166031194999</v>
      </c>
      <c r="K88" s="265">
        <f t="shared" si="28"/>
        <v>-0.63786557694902357</v>
      </c>
      <c r="L88" s="286">
        <v>7.14</v>
      </c>
      <c r="M88" s="263">
        <f t="shared" si="22"/>
        <v>10.14</v>
      </c>
      <c r="N88" s="263">
        <v>26.532174168997443</v>
      </c>
      <c r="O88" s="264">
        <f t="shared" si="29"/>
        <v>-16.392174168997443</v>
      </c>
      <c r="P88" s="265">
        <f t="shared" si="24"/>
        <v>-0.61782249975395986</v>
      </c>
      <c r="R88" s="235"/>
      <c r="S88" s="169"/>
      <c r="T88" s="109"/>
      <c r="U88" s="109"/>
    </row>
    <row r="89" spans="1:21" s="3" customFormat="1" x14ac:dyDescent="0.2">
      <c r="A89" s="260" t="s">
        <v>135</v>
      </c>
      <c r="B89" s="261">
        <f>VLOOKUP($A89,'IRIS iTunes data'!$A$138:$B$249,2,FALSE)</f>
        <v>0</v>
      </c>
      <c r="C89" s="261">
        <f>VLOOKUP($A89,'IRIS iTunes data'!$G$138:$H$249,2,FALSE)</f>
        <v>2.44</v>
      </c>
      <c r="D89" s="261">
        <f>VLOOKUP($A89,'IRIS iTunes data'!$M$138:$N$249,2,FALSE)</f>
        <v>0.61</v>
      </c>
      <c r="E89" s="261">
        <f>VLOOKUP($A89,'IRIS iTunes data'!$S$138:$T$249,2,FALSE)</f>
        <v>0</v>
      </c>
      <c r="F89" s="261">
        <f>VLOOKUP($A89,'IRIS iTunes data'!$Y$138:$Z$249,2,FALSE)</f>
        <v>0</v>
      </c>
      <c r="G89" s="262">
        <f t="shared" si="26"/>
        <v>3.05</v>
      </c>
      <c r="H89" s="242">
        <f t="shared" si="21"/>
        <v>7.625</v>
      </c>
      <c r="I89" s="343">
        <f>VLOOKUP($A89,[2]IRIS!$J:$S,10,FALSE)</f>
        <v>11.504425622884355</v>
      </c>
      <c r="J89" s="264">
        <f t="shared" si="27"/>
        <v>-3.8794256228843551</v>
      </c>
      <c r="K89" s="265">
        <f t="shared" si="28"/>
        <v>-0.33721158709283888</v>
      </c>
      <c r="L89" s="286">
        <v>3.05</v>
      </c>
      <c r="M89" s="263">
        <f t="shared" si="22"/>
        <v>10.675000000000001</v>
      </c>
      <c r="N89" s="263">
        <v>36.845659519055133</v>
      </c>
      <c r="O89" s="264">
        <f t="shared" si="29"/>
        <v>-26.170659519055132</v>
      </c>
      <c r="P89" s="265">
        <f t="shared" si="24"/>
        <v>-0.71027795025681906</v>
      </c>
      <c r="R89" s="235"/>
      <c r="S89" s="169"/>
      <c r="T89" s="109"/>
      <c r="U89" s="109"/>
    </row>
    <row r="90" spans="1:21" s="3" customFormat="1" x14ac:dyDescent="0.2">
      <c r="A90" s="260" t="s">
        <v>137</v>
      </c>
      <c r="B90" s="261">
        <f>VLOOKUP($A90,'IRIS iTunes data'!$A$138:$B$249,2,FALSE)</f>
        <v>0</v>
      </c>
      <c r="C90" s="261">
        <f>VLOOKUP($A90,'IRIS iTunes data'!$G$138:$H$249,2,FALSE)</f>
        <v>0</v>
      </c>
      <c r="D90" s="261">
        <f>VLOOKUP($A90,'IRIS iTunes data'!$M$138:$N$249,2,FALSE)</f>
        <v>0.61</v>
      </c>
      <c r="E90" s="261">
        <f>VLOOKUP($A90,'IRIS iTunes data'!$S$138:$T$249,2,FALSE)</f>
        <v>0</v>
      </c>
      <c r="F90" s="261">
        <f>VLOOKUP($A90,'IRIS iTunes data'!$Y$138:$Z$249,2,FALSE)</f>
        <v>0</v>
      </c>
      <c r="G90" s="262">
        <f t="shared" si="26"/>
        <v>0.61</v>
      </c>
      <c r="H90" s="242">
        <f t="shared" si="21"/>
        <v>3.05</v>
      </c>
      <c r="I90" s="343">
        <f>VLOOKUP($A90,[2]IRIS!$J:$S,10,FALSE)</f>
        <v>15.209782389688929</v>
      </c>
      <c r="J90" s="264">
        <f t="shared" si="27"/>
        <v>-12.159782389688928</v>
      </c>
      <c r="K90" s="265">
        <f t="shared" si="28"/>
        <v>-0.79947116126607654</v>
      </c>
      <c r="L90" s="286">
        <v>38.43</v>
      </c>
      <c r="M90" s="263">
        <f t="shared" si="22"/>
        <v>41.48</v>
      </c>
      <c r="N90" s="263">
        <v>48.712945927055642</v>
      </c>
      <c r="O90" s="264">
        <f t="shared" si="29"/>
        <v>-7.2329459270556455</v>
      </c>
      <c r="P90" s="265">
        <f t="shared" si="24"/>
        <v>-0.14848097953029765</v>
      </c>
      <c r="R90" s="235"/>
      <c r="S90" s="169"/>
      <c r="T90" s="109"/>
      <c r="U90" s="109"/>
    </row>
    <row r="91" spans="1:21" s="3" customFormat="1" x14ac:dyDescent="0.2">
      <c r="A91" s="260" t="s">
        <v>140</v>
      </c>
      <c r="B91" s="261">
        <f>VLOOKUP($A91,'IRIS iTunes data'!$A$138:$B$249,2,FALSE)</f>
        <v>0</v>
      </c>
      <c r="C91" s="261">
        <f>VLOOKUP($A91,'IRIS iTunes data'!$G$138:$H$249,2,FALSE)</f>
        <v>0</v>
      </c>
      <c r="D91" s="261">
        <f>VLOOKUP($A91,'IRIS iTunes data'!$M$138:$N$249,2,FALSE)</f>
        <v>0</v>
      </c>
      <c r="E91" s="261">
        <f>VLOOKUP($A91,'IRIS iTunes data'!$S$138:$T$249,2,FALSE)</f>
        <v>0</v>
      </c>
      <c r="F91" s="261">
        <f>VLOOKUP($A91,'IRIS iTunes data'!$Y$138:$Z$249,2,FALSE)</f>
        <v>0</v>
      </c>
      <c r="G91" s="262">
        <f t="shared" si="26"/>
        <v>0</v>
      </c>
      <c r="H91" s="242">
        <f t="shared" si="21"/>
        <v>0</v>
      </c>
      <c r="I91" s="343">
        <f>VLOOKUP($A91,[2]IRIS!$J:$S,10,FALSE)</f>
        <v>7.0717911397508528</v>
      </c>
      <c r="J91" s="264">
        <f t="shared" si="27"/>
        <v>-7.0717911397508528</v>
      </c>
      <c r="K91" s="265">
        <f t="shared" si="28"/>
        <v>-1</v>
      </c>
      <c r="L91" s="286">
        <v>3.05</v>
      </c>
      <c r="M91" s="263">
        <f t="shared" si="22"/>
        <v>3.05</v>
      </c>
      <c r="N91" s="263">
        <v>22.64909323302685</v>
      </c>
      <c r="O91" s="264">
        <f t="shared" si="29"/>
        <v>-19.599093233026849</v>
      </c>
      <c r="P91" s="265">
        <f t="shared" si="24"/>
        <v>-0.86533677226633965</v>
      </c>
      <c r="R91" s="235"/>
      <c r="S91" s="169"/>
      <c r="T91" s="109"/>
      <c r="U91" s="109"/>
    </row>
    <row r="92" spans="1:21" s="3" customFormat="1" x14ac:dyDescent="0.2">
      <c r="A92" s="260" t="s">
        <v>142</v>
      </c>
      <c r="B92" s="261">
        <f>VLOOKUP($A92,'IRIS iTunes data'!$A$138:$B$249,2,FALSE)</f>
        <v>0</v>
      </c>
      <c r="C92" s="261">
        <f>VLOOKUP($A92,'IRIS iTunes data'!$G$138:$H$249,2,FALSE)</f>
        <v>0</v>
      </c>
      <c r="D92" s="261">
        <f>VLOOKUP($A92,'IRIS iTunes data'!$M$138:$N$249,2,FALSE)</f>
        <v>0</v>
      </c>
      <c r="E92" s="261">
        <f>VLOOKUP($A92,'IRIS iTunes data'!$S$138:$T$249,2,FALSE)</f>
        <v>0</v>
      </c>
      <c r="F92" s="261">
        <f>VLOOKUP($A92,'IRIS iTunes data'!$Y$138:$Z$249,2,FALSE)</f>
        <v>0</v>
      </c>
      <c r="G92" s="262">
        <f t="shared" si="26"/>
        <v>0</v>
      </c>
      <c r="H92" s="242">
        <f t="shared" si="21"/>
        <v>0</v>
      </c>
      <c r="I92" s="343">
        <f>VLOOKUP($A92,[2]IRIS!$J:$S,10,FALSE)</f>
        <v>0.39723509376461413</v>
      </c>
      <c r="J92" s="264">
        <f t="shared" si="27"/>
        <v>-0.39723509376461413</v>
      </c>
      <c r="K92" s="265">
        <f t="shared" si="28"/>
        <v>-1</v>
      </c>
      <c r="L92" s="286">
        <v>0</v>
      </c>
      <c r="M92" s="263">
        <f t="shared" si="22"/>
        <v>0</v>
      </c>
      <c r="N92" s="263">
        <v>1.2722398747797128</v>
      </c>
      <c r="O92" s="264">
        <f t="shared" si="29"/>
        <v>-1.2722398747797128</v>
      </c>
      <c r="P92" s="265">
        <f t="shared" si="24"/>
        <v>-1</v>
      </c>
      <c r="R92" s="235"/>
      <c r="S92" s="169"/>
      <c r="T92" s="109"/>
      <c r="U92" s="109"/>
    </row>
    <row r="93" spans="1:21" s="3" customFormat="1" x14ac:dyDescent="0.2">
      <c r="A93" s="260" t="s">
        <v>143</v>
      </c>
      <c r="B93" s="261">
        <f>VLOOKUP($A93,'IRIS iTunes data'!$A$138:$B$249,2,FALSE)</f>
        <v>0</v>
      </c>
      <c r="C93" s="261">
        <f>VLOOKUP($A93,'IRIS iTunes data'!$G$138:$H$249,2,FALSE)</f>
        <v>0</v>
      </c>
      <c r="D93" s="261">
        <f>VLOOKUP($A93,'IRIS iTunes data'!$M$138:$N$249,2,FALSE)</f>
        <v>0</v>
      </c>
      <c r="E93" s="261">
        <f>VLOOKUP($A93,'IRIS iTunes data'!$S$138:$T$249,2,FALSE)</f>
        <v>0</v>
      </c>
      <c r="F93" s="261">
        <f>VLOOKUP($A93,'IRIS iTunes data'!$Y$138:$Z$249,2,FALSE)</f>
        <v>0</v>
      </c>
      <c r="G93" s="262">
        <f t="shared" si="26"/>
        <v>0</v>
      </c>
      <c r="H93" s="242">
        <f t="shared" si="21"/>
        <v>0</v>
      </c>
      <c r="I93" s="343">
        <f>VLOOKUP($A93,[2]IRIS!$J:$S,10,FALSE)</f>
        <v>12.64462641484422</v>
      </c>
      <c r="J93" s="264">
        <f t="shared" si="27"/>
        <v>-12.64462641484422</v>
      </c>
      <c r="K93" s="265">
        <f t="shared" si="28"/>
        <v>-1</v>
      </c>
      <c r="L93" s="286">
        <v>20.740000000000002</v>
      </c>
      <c r="M93" s="263">
        <f t="shared" si="22"/>
        <v>20.740000000000002</v>
      </c>
      <c r="N93" s="263">
        <v>40.497423765358917</v>
      </c>
      <c r="O93" s="264">
        <f t="shared" si="29"/>
        <v>-19.757423765358915</v>
      </c>
      <c r="P93" s="265">
        <f t="shared" si="24"/>
        <v>-0.48786865751838798</v>
      </c>
      <c r="R93" s="235"/>
      <c r="S93" s="169"/>
      <c r="T93" s="109"/>
      <c r="U93" s="109"/>
    </row>
    <row r="94" spans="1:21" s="3" customFormat="1" x14ac:dyDescent="0.2">
      <c r="A94" s="260" t="s">
        <v>147</v>
      </c>
      <c r="B94" s="261">
        <f>VLOOKUP($A94,'IRIS iTunes data'!$A$138:$B$249,2,FALSE)</f>
        <v>0</v>
      </c>
      <c r="C94" s="261">
        <f>VLOOKUP($A94,'IRIS iTunes data'!$G$138:$H$249,2,FALSE)</f>
        <v>0</v>
      </c>
      <c r="D94" s="261">
        <f>VLOOKUP($A94,'IRIS iTunes data'!$M$138:$N$249,2,FALSE)</f>
        <v>0</v>
      </c>
      <c r="E94" s="261">
        <f>VLOOKUP($A94,'IRIS iTunes data'!$S$138:$T$249,2,FALSE)</f>
        <v>0</v>
      </c>
      <c r="F94" s="261">
        <f>VLOOKUP($A94,'IRIS iTunes data'!$Y$138:$Z$249,2,FALSE)</f>
        <v>0</v>
      </c>
      <c r="G94" s="262">
        <f t="shared" si="26"/>
        <v>0</v>
      </c>
      <c r="H94" s="242">
        <f t="shared" si="21"/>
        <v>0</v>
      </c>
      <c r="I94" s="343">
        <f>VLOOKUP($A94,[2]IRIS!$J:$S,10,FALSE)</f>
        <v>0.21460167367919281</v>
      </c>
      <c r="J94" s="264">
        <f t="shared" si="27"/>
        <v>-0.21460167367919281</v>
      </c>
      <c r="K94" s="265">
        <f t="shared" si="28"/>
        <v>-1</v>
      </c>
      <c r="L94" s="286">
        <v>0</v>
      </c>
      <c r="M94" s="263">
        <f t="shared" si="22"/>
        <v>0</v>
      </c>
      <c r="N94" s="263">
        <v>0.68731290546780544</v>
      </c>
      <c r="O94" s="264">
        <f t="shared" si="29"/>
        <v>-0.68731290546780544</v>
      </c>
      <c r="P94" s="265">
        <f t="shared" si="24"/>
        <v>-1</v>
      </c>
      <c r="R94" s="235"/>
      <c r="S94" s="169"/>
      <c r="T94" s="109"/>
      <c r="U94" s="109"/>
    </row>
    <row r="95" spans="1:21" s="3" customFormat="1" x14ac:dyDescent="0.2">
      <c r="A95" s="260" t="s">
        <v>151</v>
      </c>
      <c r="B95" s="261">
        <f>VLOOKUP($A95,'IRIS iTunes data'!$A$138:$B$249,2,FALSE)</f>
        <v>0</v>
      </c>
      <c r="C95" s="261">
        <f>VLOOKUP($A95,'IRIS iTunes data'!$G$138:$H$249,2,FALSE)</f>
        <v>0</v>
      </c>
      <c r="D95" s="261">
        <f>VLOOKUP($A95,'IRIS iTunes data'!$M$138:$N$249,2,FALSE)</f>
        <v>0</v>
      </c>
      <c r="E95" s="261">
        <f>VLOOKUP($A95,'IRIS iTunes data'!$S$138:$T$249,2,FALSE)</f>
        <v>0</v>
      </c>
      <c r="F95" s="261">
        <f>VLOOKUP($A95,'IRIS iTunes data'!$Y$138:$Z$249,2,FALSE)</f>
        <v>0</v>
      </c>
      <c r="G95" s="262">
        <f t="shared" si="26"/>
        <v>0</v>
      </c>
      <c r="H95" s="242">
        <f t="shared" si="21"/>
        <v>0</v>
      </c>
      <c r="I95" s="343">
        <f>VLOOKUP($A95,[2]IRIS!$J:$S,10,FALSE)</f>
        <v>0.57779649617185214</v>
      </c>
      <c r="J95" s="264">
        <f t="shared" si="27"/>
        <v>-0.57779649617185214</v>
      </c>
      <c r="K95" s="265">
        <f t="shared" si="28"/>
        <v>-1</v>
      </c>
      <c r="L95" s="286">
        <v>3.05</v>
      </c>
      <c r="M95" s="263">
        <f t="shared" si="22"/>
        <v>3.05</v>
      </c>
      <c r="N95" s="263">
        <v>1.8505307146236754</v>
      </c>
      <c r="O95" s="264">
        <f t="shared" si="29"/>
        <v>1.1994692853763245</v>
      </c>
      <c r="P95" s="265">
        <f t="shared" si="24"/>
        <v>0.64817583188304384</v>
      </c>
      <c r="R95" s="235"/>
      <c r="S95" s="169"/>
      <c r="T95" s="109"/>
      <c r="U95" s="109"/>
    </row>
    <row r="96" spans="1:21" s="3" customFormat="1" x14ac:dyDescent="0.2">
      <c r="A96" s="260" t="s">
        <v>152</v>
      </c>
      <c r="B96" s="261">
        <f>VLOOKUP($A96,'IRIS iTunes data'!$A$138:$B$249,2,FALSE)</f>
        <v>0</v>
      </c>
      <c r="C96" s="261">
        <f>VLOOKUP($A96,'IRIS iTunes data'!$G$138:$H$249,2,FALSE)</f>
        <v>0</v>
      </c>
      <c r="D96" s="261">
        <f>VLOOKUP($A96,'IRIS iTunes data'!$M$138:$N$249,2,FALSE)</f>
        <v>0</v>
      </c>
      <c r="E96" s="261">
        <f>VLOOKUP($A96,'IRIS iTunes data'!$S$138:$T$249,2,FALSE)</f>
        <v>0</v>
      </c>
      <c r="F96" s="261">
        <f>VLOOKUP($A96,'IRIS iTunes data'!$Y$138:$Z$249,2,FALSE)</f>
        <v>0</v>
      </c>
      <c r="G96" s="262">
        <f t="shared" si="26"/>
        <v>0</v>
      </c>
      <c r="H96" s="242">
        <f t="shared" si="21"/>
        <v>0</v>
      </c>
      <c r="I96" s="343">
        <v>0</v>
      </c>
      <c r="J96" s="264">
        <f t="shared" si="27"/>
        <v>0</v>
      </c>
      <c r="K96" s="265" t="e">
        <f t="shared" si="28"/>
        <v>#DIV/0!</v>
      </c>
      <c r="L96" s="286">
        <v>0</v>
      </c>
      <c r="M96" s="263">
        <f t="shared" si="22"/>
        <v>0</v>
      </c>
      <c r="N96" s="263">
        <v>0</v>
      </c>
      <c r="O96" s="264">
        <f t="shared" si="29"/>
        <v>0</v>
      </c>
      <c r="P96" s="265" t="e">
        <f t="shared" si="24"/>
        <v>#DIV/0!</v>
      </c>
      <c r="R96" s="235"/>
      <c r="S96" s="169"/>
      <c r="T96" s="109"/>
      <c r="U96" s="109"/>
    </row>
    <row r="97" spans="1:21" s="3" customFormat="1" x14ac:dyDescent="0.2">
      <c r="A97" s="260" t="s">
        <v>153</v>
      </c>
      <c r="B97" s="261">
        <f>VLOOKUP($A97,'IRIS iTunes data'!$A$138:$B$249,2,FALSE)</f>
        <v>0</v>
      </c>
      <c r="C97" s="261">
        <f>VLOOKUP($A97,'IRIS iTunes data'!$G$138:$H$249,2,FALSE)</f>
        <v>0</v>
      </c>
      <c r="D97" s="261">
        <f>VLOOKUP($A97,'IRIS iTunes data'!$M$138:$N$249,2,FALSE)</f>
        <v>0</v>
      </c>
      <c r="E97" s="261">
        <f>VLOOKUP($A97,'IRIS iTunes data'!$S$138:$T$249,2,FALSE)</f>
        <v>0</v>
      </c>
      <c r="F97" s="261">
        <f>VLOOKUP($A97,'IRIS iTunes data'!$Y$138:$Z$249,2,FALSE)</f>
        <v>0</v>
      </c>
      <c r="G97" s="262">
        <f t="shared" si="26"/>
        <v>0</v>
      </c>
      <c r="H97" s="242">
        <f t="shared" si="21"/>
        <v>0</v>
      </c>
      <c r="I97" s="343">
        <f>VLOOKUP($A97,[2]IRIS!$J:$S,10,FALSE)</f>
        <v>16.747810344735644</v>
      </c>
      <c r="J97" s="264">
        <f t="shared" si="27"/>
        <v>-16.747810344735644</v>
      </c>
      <c r="K97" s="265">
        <f t="shared" si="28"/>
        <v>-1</v>
      </c>
      <c r="L97" s="286">
        <v>0</v>
      </c>
      <c r="M97" s="263">
        <f t="shared" si="22"/>
        <v>0</v>
      </c>
      <c r="N97" s="263">
        <v>53.638846290974193</v>
      </c>
      <c r="O97" s="264">
        <f t="shared" si="29"/>
        <v>-53.638846290974193</v>
      </c>
      <c r="P97" s="265">
        <f t="shared" si="24"/>
        <v>-1</v>
      </c>
      <c r="R97" s="235"/>
      <c r="S97" s="169"/>
      <c r="T97" s="109"/>
      <c r="U97" s="109"/>
    </row>
    <row r="98" spans="1:21" s="3" customFormat="1" x14ac:dyDescent="0.2">
      <c r="A98" s="260" t="s">
        <v>154</v>
      </c>
      <c r="B98" s="261">
        <f>VLOOKUP($A98,'IRIS iTunes data'!$A$138:$B$249,2,FALSE)</f>
        <v>0</v>
      </c>
      <c r="C98" s="261">
        <f>VLOOKUP($A98,'IRIS iTunes data'!$G$138:$H$249,2,FALSE)</f>
        <v>0</v>
      </c>
      <c r="D98" s="261">
        <f>VLOOKUP($A98,'IRIS iTunes data'!$M$138:$N$249,2,FALSE)</f>
        <v>0</v>
      </c>
      <c r="E98" s="261">
        <f>VLOOKUP($A98,'IRIS iTunes data'!$S$138:$T$249,2,FALSE)</f>
        <v>0</v>
      </c>
      <c r="F98" s="261">
        <f>VLOOKUP($A98,'IRIS iTunes data'!$Y$138:$Z$249,2,FALSE)</f>
        <v>0</v>
      </c>
      <c r="G98" s="262">
        <f t="shared" si="26"/>
        <v>0</v>
      </c>
      <c r="H98" s="242">
        <f t="shared" si="21"/>
        <v>0</v>
      </c>
      <c r="I98" s="343">
        <f>VLOOKUP($A98,[2]IRIS!$J:$S,10,FALSE)</f>
        <v>1.444491240429632</v>
      </c>
      <c r="J98" s="264">
        <f t="shared" si="27"/>
        <v>-1.444491240429632</v>
      </c>
      <c r="K98" s="265">
        <f t="shared" si="28"/>
        <v>-1</v>
      </c>
      <c r="L98" s="286">
        <v>0</v>
      </c>
      <c r="M98" s="263">
        <f t="shared" si="22"/>
        <v>0</v>
      </c>
      <c r="N98" s="263">
        <v>4.6263267865591935</v>
      </c>
      <c r="O98" s="264">
        <f t="shared" si="29"/>
        <v>-4.6263267865591935</v>
      </c>
      <c r="P98" s="265">
        <f t="shared" si="24"/>
        <v>-1</v>
      </c>
      <c r="R98" s="235"/>
      <c r="S98" s="169"/>
      <c r="T98" s="109"/>
      <c r="U98" s="109"/>
    </row>
    <row r="99" spans="1:21" s="3" customFormat="1" x14ac:dyDescent="0.2">
      <c r="A99" s="260" t="s">
        <v>156</v>
      </c>
      <c r="B99" s="261">
        <f>VLOOKUP($A99,'IRIS iTunes data'!$A$138:$B$249,2,FALSE)</f>
        <v>0</v>
      </c>
      <c r="C99" s="261">
        <f>VLOOKUP($A99,'IRIS iTunes data'!$G$138:$H$249,2,FALSE)</f>
        <v>0</v>
      </c>
      <c r="D99" s="261">
        <f>VLOOKUP($A99,'IRIS iTunes data'!$M$138:$N$249,2,FALSE)</f>
        <v>0</v>
      </c>
      <c r="E99" s="261">
        <f>VLOOKUP($A99,'IRIS iTunes data'!$S$138:$T$249,2,FALSE)</f>
        <v>0</v>
      </c>
      <c r="F99" s="261">
        <f>VLOOKUP($A99,'IRIS iTunes data'!$Y$138:$Z$249,2,FALSE)</f>
        <v>0</v>
      </c>
      <c r="G99" s="262">
        <f t="shared" si="26"/>
        <v>0</v>
      </c>
      <c r="H99" s="242">
        <f t="shared" si="21"/>
        <v>0</v>
      </c>
      <c r="I99" s="343">
        <f>VLOOKUP($A99,[2]IRIS!$J:$S,10,FALSE)</f>
        <v>1.8056140946448206E-2</v>
      </c>
      <c r="J99" s="264">
        <f t="shared" si="27"/>
        <v>-1.8056140946448206E-2</v>
      </c>
      <c r="K99" s="265">
        <f t="shared" si="28"/>
        <v>-1</v>
      </c>
      <c r="L99" s="286">
        <v>0</v>
      </c>
      <c r="M99" s="263">
        <f t="shared" si="22"/>
        <v>0</v>
      </c>
      <c r="N99" s="263">
        <v>5.7829086244646499E-2</v>
      </c>
      <c r="O99" s="264">
        <f t="shared" si="29"/>
        <v>-5.7829086244646499E-2</v>
      </c>
      <c r="P99" s="265">
        <f t="shared" si="24"/>
        <v>-1</v>
      </c>
      <c r="R99" s="235"/>
      <c r="S99" s="169"/>
      <c r="T99" s="109"/>
      <c r="U99" s="109"/>
    </row>
    <row r="100" spans="1:21" s="3" customFormat="1" x14ac:dyDescent="0.2">
      <c r="A100" s="260" t="s">
        <v>159</v>
      </c>
      <c r="B100" s="261">
        <f>VLOOKUP($A100,'IRIS iTunes data'!$A$138:$B$249,2,FALSE)</f>
        <v>16.164833999999992</v>
      </c>
      <c r="C100" s="261">
        <f>VLOOKUP($A100,'IRIS iTunes data'!$G$138:$H$249,2,FALSE)</f>
        <v>15.494093999999986</v>
      </c>
      <c r="D100" s="261">
        <f>VLOOKUP($A100,'IRIS iTunes data'!$M$138:$N$249,2,FALSE)</f>
        <v>14.365014999999985</v>
      </c>
      <c r="E100" s="261">
        <f>VLOOKUP($A100,'IRIS iTunes data'!$S$138:$T$249,2,FALSE)</f>
        <v>0</v>
      </c>
      <c r="F100" s="261">
        <f>VLOOKUP($A100,'IRIS iTunes data'!$Y$138:$Z$249,2,FALSE)</f>
        <v>0</v>
      </c>
      <c r="G100" s="262">
        <f t="shared" si="26"/>
        <v>46.02394299999996</v>
      </c>
      <c r="H100" s="242">
        <f t="shared" si="21"/>
        <v>76.706571666666605</v>
      </c>
      <c r="I100" s="343">
        <f>VLOOKUP($A100,[2]IRIS!$J:$S,10,FALSE)</f>
        <v>469.03739287186681</v>
      </c>
      <c r="J100" s="264">
        <f t="shared" si="27"/>
        <v>-392.33082120520021</v>
      </c>
      <c r="K100" s="265">
        <f t="shared" si="28"/>
        <v>-0.83645958119244967</v>
      </c>
      <c r="L100" s="286">
        <v>176.73214300000001</v>
      </c>
      <c r="M100" s="263">
        <f t="shared" si="22"/>
        <v>253.43871466666661</v>
      </c>
      <c r="N100" s="263">
        <v>1502.2038166846969</v>
      </c>
      <c r="O100" s="264">
        <f t="shared" si="29"/>
        <v>-1248.7651020180303</v>
      </c>
      <c r="P100" s="265">
        <f t="shared" si="24"/>
        <v>-0.83128872936430453</v>
      </c>
      <c r="R100" s="235"/>
      <c r="S100" s="169"/>
      <c r="T100" s="109"/>
      <c r="U100" s="109"/>
    </row>
    <row r="101" spans="1:21" s="3" customFormat="1" x14ac:dyDescent="0.2">
      <c r="A101" s="260" t="s">
        <v>160</v>
      </c>
      <c r="B101" s="261">
        <f>VLOOKUP($A101,'IRIS iTunes data'!$A$138:$B$249,2,FALSE)</f>
        <v>17.1312</v>
      </c>
      <c r="C101" s="261">
        <f>VLOOKUP($A101,'IRIS iTunes data'!$G$138:$H$249,2,FALSE)</f>
        <v>17.670400000000001</v>
      </c>
      <c r="D101" s="261">
        <f>VLOOKUP($A101,'IRIS iTunes data'!$M$138:$N$249,2,FALSE)</f>
        <v>31.945600000000002</v>
      </c>
      <c r="E101" s="261">
        <f>VLOOKUP($A101,'IRIS iTunes data'!$S$138:$T$249,2,FALSE)</f>
        <v>0</v>
      </c>
      <c r="F101" s="261">
        <f>VLOOKUP($A101,'IRIS iTunes data'!$Y$138:$Z$249,2,FALSE)</f>
        <v>0</v>
      </c>
      <c r="G101" s="262">
        <f t="shared" si="26"/>
        <v>66.747200000000007</v>
      </c>
      <c r="H101" s="242">
        <f t="shared" si="21"/>
        <v>111.24533333333333</v>
      </c>
      <c r="I101" s="343">
        <f>VLOOKUP($A101,[2]IRIS!$J:$S,10,FALSE)</f>
        <v>591.15784984722029</v>
      </c>
      <c r="J101" s="264">
        <f t="shared" si="27"/>
        <v>-479.91251651388694</v>
      </c>
      <c r="K101" s="265">
        <f t="shared" si="28"/>
        <v>-0.81181788694494417</v>
      </c>
      <c r="L101" s="286">
        <v>277.22200000000004</v>
      </c>
      <c r="M101" s="263">
        <f t="shared" si="22"/>
        <v>388.46733333333339</v>
      </c>
      <c r="N101" s="263">
        <v>1893.3236279227972</v>
      </c>
      <c r="O101" s="264">
        <f t="shared" si="29"/>
        <v>-1504.8562945894637</v>
      </c>
      <c r="P101" s="265">
        <f t="shared" si="24"/>
        <v>-0.79482253978970896</v>
      </c>
      <c r="R101" s="235"/>
      <c r="S101" s="169"/>
      <c r="T101" s="109"/>
      <c r="U101" s="109"/>
    </row>
    <row r="102" spans="1:21" s="3" customFormat="1" x14ac:dyDescent="0.2">
      <c r="A102" s="260" t="s">
        <v>161</v>
      </c>
      <c r="B102" s="261">
        <f>VLOOKUP($A102,'IRIS iTunes data'!$A$138:$B$249,2,FALSE)</f>
        <v>47.775052399999979</v>
      </c>
      <c r="C102" s="261">
        <f>VLOOKUP($A102,'IRIS iTunes data'!$G$138:$H$249,2,FALSE)</f>
        <v>38.266785199999987</v>
      </c>
      <c r="D102" s="261">
        <f>VLOOKUP($A102,'IRIS iTunes data'!$M$138:$N$249,2,FALSE)</f>
        <v>36.362851599999964</v>
      </c>
      <c r="E102" s="261">
        <f>VLOOKUP($A102,'IRIS iTunes data'!$S$138:$T$249,2,FALSE)</f>
        <v>0</v>
      </c>
      <c r="F102" s="261">
        <f>VLOOKUP($A102,'IRIS iTunes data'!$Y$138:$Z$249,2,FALSE)</f>
        <v>0</v>
      </c>
      <c r="G102" s="262">
        <f t="shared" si="26"/>
        <v>122.40468919999992</v>
      </c>
      <c r="H102" s="242">
        <f t="shared" si="21"/>
        <v>204.00781533333318</v>
      </c>
      <c r="I102" s="343">
        <f>VLOOKUP($A102,[2]IRIS!$J:$S,10,FALSE)</f>
        <v>533.8601538301142</v>
      </c>
      <c r="J102" s="264">
        <f t="shared" si="27"/>
        <v>-329.85233849678104</v>
      </c>
      <c r="K102" s="265">
        <f t="shared" si="28"/>
        <v>-0.61786281693866063</v>
      </c>
      <c r="L102" s="286">
        <v>576.20624500000019</v>
      </c>
      <c r="M102" s="263">
        <f t="shared" si="22"/>
        <v>780.21406033333335</v>
      </c>
      <c r="N102" s="263">
        <v>1709.8141275029666</v>
      </c>
      <c r="O102" s="264">
        <f t="shared" si="29"/>
        <v>-929.60006716963323</v>
      </c>
      <c r="P102" s="265">
        <f t="shared" si="24"/>
        <v>-0.54368486738803157</v>
      </c>
      <c r="R102" s="235"/>
      <c r="S102" s="169"/>
      <c r="T102" s="109"/>
      <c r="U102" s="109"/>
    </row>
    <row r="103" spans="1:21" s="3" customFormat="1" x14ac:dyDescent="0.2">
      <c r="A103" s="260" t="s">
        <v>162</v>
      </c>
      <c r="B103" s="261">
        <f>VLOOKUP($A103,'IRIS iTunes data'!$A$138:$B$249,2,FALSE)</f>
        <v>1.2</v>
      </c>
      <c r="C103" s="261">
        <f>VLOOKUP($A103,'IRIS iTunes data'!$G$138:$H$249,2,FALSE)</f>
        <v>2.34</v>
      </c>
      <c r="D103" s="261">
        <f>VLOOKUP($A103,'IRIS iTunes data'!$M$138:$N$249,2,FALSE)</f>
        <v>0.6</v>
      </c>
      <c r="E103" s="261">
        <f>VLOOKUP($A103,'IRIS iTunes data'!$S$138:$T$249,2,FALSE)</f>
        <v>0</v>
      </c>
      <c r="F103" s="261">
        <f>VLOOKUP($A103,'IRIS iTunes data'!$Y$138:$Z$249,2,FALSE)</f>
        <v>0</v>
      </c>
      <c r="G103" s="262">
        <f t="shared" si="26"/>
        <v>4.1399999999999997</v>
      </c>
      <c r="H103" s="242">
        <f t="shared" si="21"/>
        <v>6.8999999999999995</v>
      </c>
      <c r="I103" s="343">
        <f>VLOOKUP($A103,[2]IRIS!$J:$S,10,FALSE)</f>
        <v>73.076457792948034</v>
      </c>
      <c r="J103" s="264">
        <f t="shared" si="27"/>
        <v>-66.176457792948028</v>
      </c>
      <c r="K103" s="265">
        <f t="shared" si="28"/>
        <v>-0.90557834618160893</v>
      </c>
      <c r="L103" s="286">
        <v>8.4</v>
      </c>
      <c r="M103" s="263">
        <f t="shared" si="22"/>
        <v>15.3</v>
      </c>
      <c r="N103" s="263">
        <v>234.04473816942266</v>
      </c>
      <c r="O103" s="264">
        <f t="shared" si="29"/>
        <v>-218.74473816942265</v>
      </c>
      <c r="P103" s="265">
        <f t="shared" si="24"/>
        <v>-0.93462788302925015</v>
      </c>
      <c r="R103" s="235"/>
      <c r="S103" s="169"/>
      <c r="T103" s="109"/>
      <c r="U103" s="109"/>
    </row>
    <row r="104" spans="1:21" s="3" customFormat="1" x14ac:dyDescent="0.2">
      <c r="A104" s="260" t="s">
        <v>163</v>
      </c>
      <c r="B104" s="261">
        <f>VLOOKUP($A104,'IRIS iTunes data'!$A$138:$B$249,2,FALSE)</f>
        <v>0</v>
      </c>
      <c r="C104" s="261">
        <f>VLOOKUP($A104,'IRIS iTunes data'!$G$138:$H$249,2,FALSE)</f>
        <v>0</v>
      </c>
      <c r="D104" s="261">
        <f>VLOOKUP($A104,'IRIS iTunes data'!$M$138:$N$249,2,FALSE)</f>
        <v>0</v>
      </c>
      <c r="E104" s="261">
        <f>VLOOKUP($A104,'IRIS iTunes data'!$S$138:$T$249,2,FALSE)</f>
        <v>0</v>
      </c>
      <c r="F104" s="261">
        <f>VLOOKUP($A104,'IRIS iTunes data'!$Y$138:$Z$249,2,FALSE)</f>
        <v>0</v>
      </c>
      <c r="G104" s="262">
        <f t="shared" si="26"/>
        <v>0</v>
      </c>
      <c r="H104" s="242">
        <f t="shared" si="21"/>
        <v>0</v>
      </c>
      <c r="I104" s="343">
        <f>VLOOKUP($A104,[2]IRIS!$J:$S,10,FALSE)</f>
        <v>73.895199307299407</v>
      </c>
      <c r="J104" s="264">
        <f t="shared" si="27"/>
        <v>-73.895199307299407</v>
      </c>
      <c r="K104" s="265">
        <f t="shared" si="28"/>
        <v>-1</v>
      </c>
      <c r="L104" s="286">
        <v>30.042499999999993</v>
      </c>
      <c r="M104" s="263">
        <f t="shared" si="22"/>
        <v>30.042499999999993</v>
      </c>
      <c r="N104" s="263">
        <v>236.66695261634808</v>
      </c>
      <c r="O104" s="264">
        <f t="shared" si="29"/>
        <v>-206.62445261634809</v>
      </c>
      <c r="P104" s="265">
        <f t="shared" si="24"/>
        <v>-0.87306001252865773</v>
      </c>
      <c r="R104" s="235"/>
      <c r="S104" s="169"/>
      <c r="T104" s="109"/>
      <c r="U104" s="109"/>
    </row>
    <row r="105" spans="1:21" s="3" customFormat="1" x14ac:dyDescent="0.2">
      <c r="A105" s="260" t="s">
        <v>164</v>
      </c>
      <c r="B105" s="261">
        <f>VLOOKUP($A105,'IRIS iTunes data'!$A$138:$B$249,2,FALSE)</f>
        <v>0</v>
      </c>
      <c r="C105" s="261">
        <f>VLOOKUP($A105,'IRIS iTunes data'!$G$138:$H$249,2,FALSE)</f>
        <v>0</v>
      </c>
      <c r="D105" s="261">
        <f>VLOOKUP($A105,'IRIS iTunes data'!$M$138:$N$249,2,FALSE)</f>
        <v>0</v>
      </c>
      <c r="E105" s="261">
        <f>VLOOKUP($A105,'IRIS iTunes data'!$S$138:$T$249,2,FALSE)</f>
        <v>0</v>
      </c>
      <c r="F105" s="261">
        <f>VLOOKUP($A105,'IRIS iTunes data'!$Y$138:$Z$249,2,FALSE)</f>
        <v>0</v>
      </c>
      <c r="G105" s="262">
        <f t="shared" si="26"/>
        <v>0</v>
      </c>
      <c r="H105" s="242">
        <f t="shared" si="21"/>
        <v>0</v>
      </c>
      <c r="I105" s="343">
        <f>VLOOKUP($A105,[2]IRIS!$J:$S,10,FALSE)</f>
        <v>1.5531241057727996</v>
      </c>
      <c r="J105" s="264">
        <f t="shared" si="27"/>
        <v>-1.5531241057727996</v>
      </c>
      <c r="K105" s="265">
        <f t="shared" si="28"/>
        <v>-1</v>
      </c>
      <c r="L105" s="286">
        <v>0</v>
      </c>
      <c r="M105" s="263">
        <f t="shared" si="22"/>
        <v>0</v>
      </c>
      <c r="N105" s="263">
        <v>4.9742493774142931</v>
      </c>
      <c r="O105" s="264">
        <f t="shared" si="29"/>
        <v>-4.9742493774142931</v>
      </c>
      <c r="P105" s="265">
        <f t="shared" si="24"/>
        <v>-1</v>
      </c>
      <c r="R105" s="235"/>
      <c r="S105" s="169"/>
      <c r="T105" s="109"/>
      <c r="U105" s="109"/>
    </row>
    <row r="106" spans="1:21" s="3" customFormat="1" x14ac:dyDescent="0.2">
      <c r="A106" s="260" t="s">
        <v>167</v>
      </c>
      <c r="B106" s="261">
        <f>VLOOKUP($A106,'IRIS iTunes data'!$A$138:$B$249,2,FALSE)</f>
        <v>0</v>
      </c>
      <c r="C106" s="261">
        <f>VLOOKUP($A106,'IRIS iTunes data'!$G$138:$H$249,2,FALSE)</f>
        <v>0</v>
      </c>
      <c r="D106" s="261">
        <f>VLOOKUP($A106,'IRIS iTunes data'!$M$138:$N$249,2,FALSE)</f>
        <v>0</v>
      </c>
      <c r="E106" s="261">
        <f>VLOOKUP($A106,'IRIS iTunes data'!$S$138:$T$249,2,FALSE)</f>
        <v>0</v>
      </c>
      <c r="F106" s="261">
        <f>VLOOKUP($A106,'IRIS iTunes data'!$Y$138:$Z$249,2,FALSE)</f>
        <v>0</v>
      </c>
      <c r="G106" s="262">
        <f t="shared" si="26"/>
        <v>0</v>
      </c>
      <c r="H106" s="242">
        <f t="shared" si="21"/>
        <v>0</v>
      </c>
      <c r="I106" s="343">
        <f>VLOOKUP($A106,[2]IRIS!$J:$S,10,FALSE)</f>
        <v>12.380296378639459</v>
      </c>
      <c r="J106" s="264">
        <f t="shared" si="27"/>
        <v>-12.380296378639459</v>
      </c>
      <c r="K106" s="265">
        <f t="shared" si="28"/>
        <v>-1</v>
      </c>
      <c r="L106" s="286">
        <v>94.1</v>
      </c>
      <c r="M106" s="263">
        <f t="shared" si="22"/>
        <v>94.1</v>
      </c>
      <c r="N106" s="263">
        <v>39.650843950432147</v>
      </c>
      <c r="O106" s="264">
        <f t="shared" si="29"/>
        <v>54.449156049567847</v>
      </c>
      <c r="P106" s="265">
        <f t="shared" si="24"/>
        <v>1.3732155642799229</v>
      </c>
      <c r="R106" s="235"/>
      <c r="S106" s="169"/>
      <c r="T106" s="109"/>
      <c r="U106" s="109"/>
    </row>
    <row r="107" spans="1:21" s="3" customFormat="1" x14ac:dyDescent="0.2">
      <c r="A107" s="260" t="s">
        <v>168</v>
      </c>
      <c r="B107" s="261">
        <f>VLOOKUP($A107,'IRIS iTunes data'!$A$138:$B$249,2,FALSE)</f>
        <v>0</v>
      </c>
      <c r="C107" s="261">
        <f>VLOOKUP($A107,'IRIS iTunes data'!$G$138:$H$249,2,FALSE)</f>
        <v>0</v>
      </c>
      <c r="D107" s="261">
        <f>VLOOKUP($A107,'IRIS iTunes data'!$M$138:$N$249,2,FALSE)</f>
        <v>0</v>
      </c>
      <c r="E107" s="261">
        <f>VLOOKUP($A107,'IRIS iTunes data'!$S$138:$T$249,2,FALSE)</f>
        <v>0</v>
      </c>
      <c r="F107" s="261">
        <f>VLOOKUP($A107,'IRIS iTunes data'!$Y$138:$Z$249,2,FALSE)</f>
        <v>0</v>
      </c>
      <c r="G107" s="262">
        <f t="shared" si="26"/>
        <v>0</v>
      </c>
      <c r="H107" s="242">
        <f t="shared" si="21"/>
        <v>0</v>
      </c>
      <c r="I107" s="343">
        <f>VLOOKUP($A107,[2]IRIS!$J:$S,10,FALSE)</f>
        <v>0.18056140240723714</v>
      </c>
      <c r="J107" s="264">
        <f t="shared" si="27"/>
        <v>-0.18056140240723714</v>
      </c>
      <c r="K107" s="265">
        <f t="shared" si="28"/>
        <v>-1</v>
      </c>
      <c r="L107" s="286">
        <v>0</v>
      </c>
      <c r="M107" s="263">
        <f t="shared" si="22"/>
        <v>0</v>
      </c>
      <c r="N107" s="263">
        <v>0.57829083984395957</v>
      </c>
      <c r="O107" s="264">
        <f t="shared" si="29"/>
        <v>-0.57829083984395957</v>
      </c>
      <c r="P107" s="265">
        <f t="shared" si="24"/>
        <v>-1</v>
      </c>
      <c r="R107" s="235"/>
      <c r="S107" s="169"/>
      <c r="T107" s="109"/>
      <c r="U107" s="109"/>
    </row>
    <row r="108" spans="1:21" s="3" customFormat="1" x14ac:dyDescent="0.2">
      <c r="A108" s="260" t="s">
        <v>169</v>
      </c>
      <c r="B108" s="261">
        <f>VLOOKUP($A108,'IRIS iTunes data'!$A$138:$B$249,2,FALSE)</f>
        <v>0</v>
      </c>
      <c r="C108" s="261">
        <f>VLOOKUP($A108,'IRIS iTunes data'!$G$138:$H$249,2,FALSE)</f>
        <v>0</v>
      </c>
      <c r="D108" s="261">
        <f>VLOOKUP($A108,'IRIS iTunes data'!$M$138:$N$249,2,FALSE)</f>
        <v>0</v>
      </c>
      <c r="E108" s="261">
        <f>VLOOKUP($A108,'IRIS iTunes data'!$S$138:$T$249,2,FALSE)</f>
        <v>0</v>
      </c>
      <c r="F108" s="261">
        <f>VLOOKUP($A108,'IRIS iTunes data'!$Y$138:$Z$249,2,FALSE)</f>
        <v>0</v>
      </c>
      <c r="G108" s="262">
        <f t="shared" si="26"/>
        <v>0</v>
      </c>
      <c r="H108" s="242">
        <f t="shared" si="21"/>
        <v>0</v>
      </c>
      <c r="I108" s="343">
        <f>VLOOKUP($A108,[2]IRIS!$J:$S,10,FALSE)</f>
        <v>4.41783443852316</v>
      </c>
      <c r="J108" s="264">
        <f t="shared" si="27"/>
        <v>-4.41783443852316</v>
      </c>
      <c r="K108" s="265">
        <f t="shared" si="28"/>
        <v>-1</v>
      </c>
      <c r="L108" s="286">
        <v>0</v>
      </c>
      <c r="M108" s="263">
        <f t="shared" si="22"/>
        <v>0</v>
      </c>
      <c r="N108" s="263">
        <v>14.149165622800489</v>
      </c>
      <c r="O108" s="264">
        <f t="shared" si="29"/>
        <v>-14.149165622800489</v>
      </c>
      <c r="P108" s="265">
        <f t="shared" si="24"/>
        <v>-1</v>
      </c>
      <c r="R108" s="235"/>
      <c r="S108" s="169"/>
      <c r="T108" s="109"/>
      <c r="U108" s="109"/>
    </row>
    <row r="109" spans="1:21" s="3" customFormat="1" x14ac:dyDescent="0.2">
      <c r="A109" s="260" t="s">
        <v>171</v>
      </c>
      <c r="B109" s="261">
        <f>VLOOKUP($A109,'IRIS iTunes data'!$A$138:$B$249,2,FALSE)</f>
        <v>0</v>
      </c>
      <c r="C109" s="261">
        <f>VLOOKUP($A109,'IRIS iTunes data'!$G$138:$H$249,2,FALSE)</f>
        <v>0</v>
      </c>
      <c r="D109" s="261">
        <f>VLOOKUP($A109,'IRIS iTunes data'!$M$138:$N$249,2,FALSE)</f>
        <v>0</v>
      </c>
      <c r="E109" s="261">
        <f>VLOOKUP($A109,'IRIS iTunes data'!$S$138:$T$249,2,FALSE)</f>
        <v>0</v>
      </c>
      <c r="F109" s="261">
        <f>VLOOKUP($A109,'IRIS iTunes data'!$Y$138:$Z$249,2,FALSE)</f>
        <v>0</v>
      </c>
      <c r="G109" s="262">
        <f t="shared" si="26"/>
        <v>0</v>
      </c>
      <c r="H109" s="242">
        <f t="shared" si="21"/>
        <v>0</v>
      </c>
      <c r="I109" s="343">
        <f>VLOOKUP($A109,[2]IRIS!$J:$S,10,FALSE)</f>
        <v>27.702559637013291</v>
      </c>
      <c r="J109" s="264">
        <f t="shared" si="27"/>
        <v>-27.702559637013291</v>
      </c>
      <c r="K109" s="265">
        <f t="shared" si="28"/>
        <v>-1</v>
      </c>
      <c r="L109" s="286">
        <v>0</v>
      </c>
      <c r="M109" s="263">
        <f t="shared" si="22"/>
        <v>0</v>
      </c>
      <c r="N109" s="263">
        <v>88.724036614337251</v>
      </c>
      <c r="O109" s="264">
        <f t="shared" si="29"/>
        <v>-88.724036614337251</v>
      </c>
      <c r="P109" s="265">
        <f t="shared" si="24"/>
        <v>-1</v>
      </c>
      <c r="R109" s="235"/>
      <c r="S109" s="169"/>
      <c r="T109" s="109"/>
      <c r="U109" s="109"/>
    </row>
    <row r="110" spans="1:21" s="3" customFormat="1" x14ac:dyDescent="0.2">
      <c r="A110" s="260" t="s">
        <v>172</v>
      </c>
      <c r="B110" s="261">
        <f>VLOOKUP($A110,'IRIS iTunes data'!$A$138:$B$249,2,FALSE)</f>
        <v>3.6599999999999997</v>
      </c>
      <c r="C110" s="261">
        <f>VLOOKUP($A110,'IRIS iTunes data'!$G$138:$H$249,2,FALSE)</f>
        <v>1.22</v>
      </c>
      <c r="D110" s="261">
        <f>VLOOKUP($A110,'IRIS iTunes data'!$M$138:$N$249,2,FALSE)</f>
        <v>0</v>
      </c>
      <c r="E110" s="261">
        <f>VLOOKUP($A110,'IRIS iTunes data'!$S$138:$T$249,2,FALSE)</f>
        <v>0</v>
      </c>
      <c r="F110" s="261">
        <f>VLOOKUP($A110,'IRIS iTunes data'!$Y$138:$Z$249,2,FALSE)</f>
        <v>0</v>
      </c>
      <c r="G110" s="262">
        <f t="shared" si="26"/>
        <v>4.88</v>
      </c>
      <c r="H110" s="242">
        <f t="shared" si="21"/>
        <v>12.2</v>
      </c>
      <c r="I110" s="343">
        <f>VLOOKUP($A110,[2]IRIS!$J:$S,10,FALSE)</f>
        <v>13.043045585502433</v>
      </c>
      <c r="J110" s="264">
        <f t="shared" si="27"/>
        <v>-0.84304558550243414</v>
      </c>
      <c r="K110" s="265">
        <f t="shared" si="28"/>
        <v>-6.4635638967596165E-2</v>
      </c>
      <c r="L110" s="286">
        <v>21.045000000000002</v>
      </c>
      <c r="M110" s="263">
        <f t="shared" si="22"/>
        <v>33.245000000000005</v>
      </c>
      <c r="N110" s="263">
        <v>41.773455928036874</v>
      </c>
      <c r="O110" s="264">
        <f t="shared" si="29"/>
        <v>-8.5284559280368697</v>
      </c>
      <c r="P110" s="265">
        <f t="shared" si="24"/>
        <v>-0.20415969276587601</v>
      </c>
      <c r="R110" s="235"/>
      <c r="S110" s="169"/>
      <c r="T110" s="109"/>
      <c r="U110" s="109"/>
    </row>
    <row r="111" spans="1:21" s="3" customFormat="1" x14ac:dyDescent="0.2">
      <c r="A111" s="260" t="s">
        <v>173</v>
      </c>
      <c r="B111" s="261">
        <f>VLOOKUP($A111,'IRIS iTunes data'!$A$138:$B$249,2,FALSE)</f>
        <v>0</v>
      </c>
      <c r="C111" s="261">
        <f>VLOOKUP($A111,'IRIS iTunes data'!$G$138:$H$249,2,FALSE)</f>
        <v>0</v>
      </c>
      <c r="D111" s="261">
        <f>VLOOKUP($A111,'IRIS iTunes data'!$M$138:$N$249,2,FALSE)</f>
        <v>0</v>
      </c>
      <c r="E111" s="261">
        <f>VLOOKUP($A111,'IRIS iTunes data'!$S$138:$T$249,2,FALSE)</f>
        <v>0</v>
      </c>
      <c r="F111" s="261">
        <f>VLOOKUP($A111,'IRIS iTunes data'!$Y$138:$Z$249,2,FALSE)</f>
        <v>0</v>
      </c>
      <c r="G111" s="262">
        <f t="shared" si="26"/>
        <v>0</v>
      </c>
      <c r="H111" s="242">
        <f t="shared" si="21"/>
        <v>0</v>
      </c>
      <c r="I111" s="343">
        <f>VLOOKUP($A111,[2]IRIS!$J:$S,10,FALSE)</f>
        <v>1.8352142967814376E-2</v>
      </c>
      <c r="J111" s="264">
        <f t="shared" si="27"/>
        <v>-1.8352142967814376E-2</v>
      </c>
      <c r="K111" s="265">
        <f t="shared" si="28"/>
        <v>-1</v>
      </c>
      <c r="L111" s="286">
        <v>0</v>
      </c>
      <c r="M111" s="263">
        <f t="shared" si="22"/>
        <v>0</v>
      </c>
      <c r="N111" s="263">
        <v>5.8777103125603629E-2</v>
      </c>
      <c r="O111" s="264">
        <f t="shared" si="29"/>
        <v>-5.8777103125603629E-2</v>
      </c>
      <c r="P111" s="265">
        <f t="shared" si="24"/>
        <v>-1</v>
      </c>
      <c r="R111" s="235"/>
      <c r="S111" s="169"/>
      <c r="T111" s="109"/>
      <c r="U111" s="109"/>
    </row>
    <row r="112" spans="1:21" s="3" customFormat="1" x14ac:dyDescent="0.2">
      <c r="A112" s="260" t="s">
        <v>175</v>
      </c>
      <c r="B112" s="261">
        <f>VLOOKUP($A112,'IRIS iTunes data'!$A$138:$B$249,2,FALSE)</f>
        <v>0</v>
      </c>
      <c r="C112" s="261">
        <f>VLOOKUP($A112,'IRIS iTunes data'!$G$138:$H$249,2,FALSE)</f>
        <v>0</v>
      </c>
      <c r="D112" s="261">
        <f>VLOOKUP($A112,'IRIS iTunes data'!$M$138:$N$249,2,FALSE)</f>
        <v>0</v>
      </c>
      <c r="E112" s="261">
        <f>VLOOKUP($A112,'IRIS iTunes data'!$S$138:$T$249,2,FALSE)</f>
        <v>0</v>
      </c>
      <c r="F112" s="261">
        <f>VLOOKUP($A112,'IRIS iTunes data'!$Y$138:$Z$249,2,FALSE)</f>
        <v>0</v>
      </c>
      <c r="G112" s="262">
        <f t="shared" si="26"/>
        <v>0</v>
      </c>
      <c r="H112" s="242">
        <f t="shared" si="21"/>
        <v>0</v>
      </c>
      <c r="I112" s="343">
        <f>VLOOKUP($A112,[2]IRIS!$J:$S,10,FALSE)</f>
        <v>2.4174508268024031</v>
      </c>
      <c r="J112" s="264">
        <f t="shared" si="27"/>
        <v>-2.4174508268024031</v>
      </c>
      <c r="K112" s="265">
        <f t="shared" si="28"/>
        <v>-1</v>
      </c>
      <c r="L112" s="286">
        <v>0</v>
      </c>
      <c r="M112" s="263">
        <f t="shared" si="22"/>
        <v>0</v>
      </c>
      <c r="N112" s="263">
        <v>7.7424612916996418</v>
      </c>
      <c r="O112" s="264">
        <f t="shared" si="29"/>
        <v>-7.7424612916996418</v>
      </c>
      <c r="P112" s="265">
        <f t="shared" si="24"/>
        <v>-1</v>
      </c>
      <c r="R112" s="235"/>
      <c r="S112" s="169"/>
      <c r="T112" s="109"/>
      <c r="U112" s="109"/>
    </row>
    <row r="113" spans="1:21" s="3" customFormat="1" x14ac:dyDescent="0.2">
      <c r="A113" s="260" t="s">
        <v>176</v>
      </c>
      <c r="B113" s="261">
        <f>VLOOKUP($A113,'IRIS iTunes data'!$A$138:$B$249,2,FALSE)</f>
        <v>0.61</v>
      </c>
      <c r="C113" s="261">
        <f>VLOOKUP($A113,'IRIS iTunes data'!$G$138:$H$249,2,FALSE)</f>
        <v>3.6599999999999997</v>
      </c>
      <c r="D113" s="261">
        <f>VLOOKUP($A113,'IRIS iTunes data'!$M$138:$N$249,2,FALSE)</f>
        <v>4.2699999999999996</v>
      </c>
      <c r="E113" s="261">
        <f>VLOOKUP($A113,'IRIS iTunes data'!$S$138:$T$249,2,FALSE)</f>
        <v>0</v>
      </c>
      <c r="F113" s="261">
        <f>VLOOKUP($A113,'IRIS iTunes data'!$Y$138:$Z$249,2,FALSE)</f>
        <v>0</v>
      </c>
      <c r="G113" s="262">
        <f t="shared" si="26"/>
        <v>8.5399999999999991</v>
      </c>
      <c r="H113" s="242">
        <f t="shared" si="21"/>
        <v>14.233333333333331</v>
      </c>
      <c r="I113" s="343">
        <f>VLOOKUP($A113,[2]IRIS!$J:$S,10,FALSE)</f>
        <v>160.71711536688929</v>
      </c>
      <c r="J113" s="264">
        <f t="shared" si="27"/>
        <v>-146.48378203355597</v>
      </c>
      <c r="K113" s="265">
        <f t="shared" si="28"/>
        <v>-0.91143859631352209</v>
      </c>
      <c r="L113" s="286">
        <v>54.489999999999995</v>
      </c>
      <c r="M113" s="263">
        <f t="shared" si="22"/>
        <v>68.723333333333329</v>
      </c>
      <c r="N113" s="263">
        <v>514.73479040220241</v>
      </c>
      <c r="O113" s="264">
        <f t="shared" si="29"/>
        <v>-446.01145706886905</v>
      </c>
      <c r="P113" s="265">
        <f t="shared" si="24"/>
        <v>-0.86648787955515016</v>
      </c>
      <c r="R113" s="235"/>
      <c r="S113" s="169"/>
      <c r="T113" s="109"/>
      <c r="U113" s="109"/>
    </row>
    <row r="114" spans="1:21" s="3" customFormat="1" x14ac:dyDescent="0.2">
      <c r="A114" s="260" t="s">
        <v>178</v>
      </c>
      <c r="B114" s="261">
        <f>VLOOKUP($A114,'IRIS iTunes data'!$A$138:$B$249,2,FALSE)</f>
        <v>0</v>
      </c>
      <c r="C114" s="261">
        <f>VLOOKUP($A114,'IRIS iTunes data'!$G$138:$H$249,2,FALSE)</f>
        <v>0</v>
      </c>
      <c r="D114" s="261">
        <f>VLOOKUP($A114,'IRIS iTunes data'!$M$138:$N$249,2,FALSE)</f>
        <v>0</v>
      </c>
      <c r="E114" s="261">
        <f>VLOOKUP($A114,'IRIS iTunes data'!$S$138:$T$249,2,FALSE)</f>
        <v>0</v>
      </c>
      <c r="F114" s="261">
        <f>VLOOKUP($A114,'IRIS iTunes data'!$Y$138:$Z$249,2,FALSE)</f>
        <v>0</v>
      </c>
      <c r="G114" s="262">
        <f t="shared" si="26"/>
        <v>0</v>
      </c>
      <c r="H114" s="242">
        <f t="shared" si="21"/>
        <v>0</v>
      </c>
      <c r="I114" s="343">
        <f>VLOOKUP($A114,[2]IRIS!$J:$S,10,FALSE)</f>
        <v>3.0233675432330198</v>
      </c>
      <c r="J114" s="264">
        <f t="shared" si="27"/>
        <v>-3.0233675432330198</v>
      </c>
      <c r="K114" s="265">
        <f t="shared" si="28"/>
        <v>-1</v>
      </c>
      <c r="L114" s="286">
        <v>0</v>
      </c>
      <c r="M114" s="263">
        <f t="shared" si="22"/>
        <v>0</v>
      </c>
      <c r="N114" s="263">
        <v>9.6830537004242618</v>
      </c>
      <c r="O114" s="264">
        <f t="shared" si="29"/>
        <v>-9.6830537004242618</v>
      </c>
      <c r="P114" s="265">
        <f t="shared" si="24"/>
        <v>-1</v>
      </c>
      <c r="R114" s="235"/>
      <c r="S114" s="169"/>
      <c r="T114" s="109"/>
      <c r="U114" s="109"/>
    </row>
    <row r="115" spans="1:21" s="3" customFormat="1" x14ac:dyDescent="0.2">
      <c r="A115" s="260" t="s">
        <v>183</v>
      </c>
      <c r="B115" s="261">
        <f>VLOOKUP($A115,'IRIS iTunes data'!$A$138:$B$249,2,FALSE)</f>
        <v>0</v>
      </c>
      <c r="C115" s="261">
        <f>VLOOKUP($A115,'IRIS iTunes data'!$G$138:$H$249,2,FALSE)</f>
        <v>0</v>
      </c>
      <c r="D115" s="261">
        <f>VLOOKUP($A115,'IRIS iTunes data'!$M$138:$N$249,2,FALSE)</f>
        <v>0</v>
      </c>
      <c r="E115" s="261">
        <f>VLOOKUP($A115,'IRIS iTunes data'!$S$138:$T$249,2,FALSE)</f>
        <v>0</v>
      </c>
      <c r="F115" s="261">
        <f>VLOOKUP($A115,'IRIS iTunes data'!$Y$138:$Z$249,2,FALSE)</f>
        <v>0</v>
      </c>
      <c r="G115" s="262">
        <f t="shared" si="26"/>
        <v>0</v>
      </c>
      <c r="H115" s="242">
        <f t="shared" si="21"/>
        <v>0</v>
      </c>
      <c r="I115" s="343">
        <f>VLOOKUP($A115,[2]IRIS!$J:$S,10,FALSE)</f>
        <v>3.0331356381670895</v>
      </c>
      <c r="J115" s="264">
        <f t="shared" si="27"/>
        <v>-3.0331356381670895</v>
      </c>
      <c r="K115" s="265">
        <f t="shared" si="28"/>
        <v>-1</v>
      </c>
      <c r="L115" s="286">
        <v>0</v>
      </c>
      <c r="M115" s="263">
        <f t="shared" si="22"/>
        <v>0</v>
      </c>
      <c r="N115" s="263">
        <v>9.7143383479058887</v>
      </c>
      <c r="O115" s="264">
        <f t="shared" si="29"/>
        <v>-9.7143383479058887</v>
      </c>
      <c r="P115" s="265">
        <f t="shared" si="24"/>
        <v>-1</v>
      </c>
      <c r="R115" s="235"/>
      <c r="S115" s="169"/>
      <c r="T115" s="109"/>
      <c r="U115" s="109"/>
    </row>
    <row r="116" spans="1:21" s="3" customFormat="1" x14ac:dyDescent="0.2">
      <c r="A116" s="260" t="s">
        <v>185</v>
      </c>
      <c r="B116" s="261">
        <f>VLOOKUP($A116,'IRIS iTunes data'!$A$138:$B$249,2,FALSE)</f>
        <v>106.2306851999999</v>
      </c>
      <c r="C116" s="261">
        <f>VLOOKUP($A116,'IRIS iTunes data'!$G$138:$H$249,2,FALSE)</f>
        <v>108.26490119999991</v>
      </c>
      <c r="D116" s="261">
        <f>VLOOKUP($A116,'IRIS iTunes data'!$M$138:$N$249,2,FALSE)</f>
        <v>122.54902319999991</v>
      </c>
      <c r="E116" s="261">
        <f>VLOOKUP($A116,'IRIS iTunes data'!$S$138:$T$249,2,FALSE)</f>
        <v>0</v>
      </c>
      <c r="F116" s="261">
        <f>VLOOKUP($A116,'IRIS iTunes data'!$Y$138:$Z$249,2,FALSE)</f>
        <v>0</v>
      </c>
      <c r="G116" s="262">
        <f t="shared" si="26"/>
        <v>337.04460959999972</v>
      </c>
      <c r="H116" s="242">
        <f t="shared" si="21"/>
        <v>561.74101599999949</v>
      </c>
      <c r="I116" s="343">
        <f>VLOOKUP($A116,[2]IRIS!$J:$S,10,FALSE)</f>
        <v>1586.6127398815993</v>
      </c>
      <c r="J116" s="264">
        <f t="shared" si="27"/>
        <v>-1024.8717238815998</v>
      </c>
      <c r="K116" s="265">
        <f t="shared" si="28"/>
        <v>-0.64594951125759947</v>
      </c>
      <c r="L116" s="286">
        <v>1638.2326106000014</v>
      </c>
      <c r="M116" s="263">
        <f t="shared" si="22"/>
        <v>2199.9736266000009</v>
      </c>
      <c r="N116" s="263">
        <v>5081.5046938098003</v>
      </c>
      <c r="O116" s="264">
        <f t="shared" si="29"/>
        <v>-2881.5310672097994</v>
      </c>
      <c r="P116" s="265">
        <f t="shared" si="24"/>
        <v>-0.56706256135511002</v>
      </c>
      <c r="R116" s="235"/>
      <c r="S116" s="169"/>
      <c r="T116" s="109"/>
      <c r="U116" s="109"/>
    </row>
    <row r="117" spans="1:21" s="3" customFormat="1" x14ac:dyDescent="0.2">
      <c r="A117" s="260" t="s">
        <v>187</v>
      </c>
      <c r="B117" s="261">
        <f>VLOOKUP($A117,'IRIS iTunes data'!$A$138:$B$249,2,FALSE)</f>
        <v>0</v>
      </c>
      <c r="C117" s="261">
        <f>VLOOKUP($A117,'IRIS iTunes data'!$G$138:$H$249,2,FALSE)</f>
        <v>0</v>
      </c>
      <c r="D117" s="261">
        <f>VLOOKUP($A117,'IRIS iTunes data'!$M$138:$N$249,2,FALSE)</f>
        <v>0</v>
      </c>
      <c r="E117" s="261">
        <f>VLOOKUP($A117,'IRIS iTunes data'!$S$138:$T$249,2,FALSE)</f>
        <v>0</v>
      </c>
      <c r="F117" s="261">
        <f>VLOOKUP($A117,'IRIS iTunes data'!$Y$138:$Z$249,2,FALSE)</f>
        <v>0</v>
      </c>
      <c r="G117" s="262">
        <f t="shared" si="26"/>
        <v>0</v>
      </c>
      <c r="H117" s="242">
        <f t="shared" si="21"/>
        <v>0</v>
      </c>
      <c r="I117" s="343">
        <f>VLOOKUP($A117,[2]IRIS!$J:$S,10,FALSE)</f>
        <v>0.48751579849685595</v>
      </c>
      <c r="J117" s="264">
        <f t="shared" si="27"/>
        <v>-0.48751579849685595</v>
      </c>
      <c r="K117" s="265">
        <f t="shared" si="28"/>
        <v>-1</v>
      </c>
      <c r="L117" s="286">
        <v>0</v>
      </c>
      <c r="M117" s="263">
        <f t="shared" si="22"/>
        <v>0</v>
      </c>
      <c r="N117" s="263">
        <v>1.5613853060029481</v>
      </c>
      <c r="O117" s="264">
        <f t="shared" si="29"/>
        <v>-1.5613853060029481</v>
      </c>
      <c r="P117" s="265">
        <f t="shared" si="24"/>
        <v>-1</v>
      </c>
      <c r="R117" s="235"/>
      <c r="S117" s="169"/>
      <c r="T117" s="109"/>
      <c r="U117" s="109"/>
    </row>
    <row r="118" spans="1:21" s="3" customFormat="1" x14ac:dyDescent="0.2">
      <c r="A118" s="260" t="s">
        <v>189</v>
      </c>
      <c r="B118" s="261">
        <f>VLOOKUP($A118,'IRIS iTunes data'!$A$138:$B$249,2,FALSE)</f>
        <v>0</v>
      </c>
      <c r="C118" s="261">
        <f>VLOOKUP($A118,'IRIS iTunes data'!$G$138:$H$249,2,FALSE)</f>
        <v>0</v>
      </c>
      <c r="D118" s="261">
        <f>VLOOKUP($A118,'IRIS iTunes data'!$M$138:$N$249,2,FALSE)</f>
        <v>0</v>
      </c>
      <c r="E118" s="261">
        <f>VLOOKUP($A118,'IRIS iTunes data'!$S$138:$T$249,2,FALSE)</f>
        <v>0</v>
      </c>
      <c r="F118" s="261">
        <f>VLOOKUP($A118,'IRIS iTunes data'!$Y$138:$Z$249,2,FALSE)</f>
        <v>0</v>
      </c>
      <c r="G118" s="262">
        <f t="shared" si="26"/>
        <v>0</v>
      </c>
      <c r="H118" s="242">
        <f t="shared" si="21"/>
        <v>0</v>
      </c>
      <c r="I118" s="343">
        <f>VLOOKUP($A118,[2]IRIS!$J:$S,10,FALSE)</f>
        <v>1.3018181532152215</v>
      </c>
      <c r="J118" s="264">
        <f t="shared" si="27"/>
        <v>-1.3018181532152215</v>
      </c>
      <c r="K118" s="265">
        <f t="shared" si="28"/>
        <v>-1</v>
      </c>
      <c r="L118" s="286">
        <v>0</v>
      </c>
      <c r="M118" s="263">
        <f t="shared" si="22"/>
        <v>0</v>
      </c>
      <c r="N118" s="263">
        <v>4.1693822882977818</v>
      </c>
      <c r="O118" s="264">
        <f t="shared" si="29"/>
        <v>-4.1693822882977818</v>
      </c>
      <c r="P118" s="265">
        <f t="shared" si="24"/>
        <v>-1</v>
      </c>
      <c r="R118" s="235"/>
      <c r="S118" s="169"/>
      <c r="T118" s="109"/>
      <c r="U118" s="109"/>
    </row>
    <row r="119" spans="1:21" s="3" customFormat="1" x14ac:dyDescent="0.2">
      <c r="A119" s="260" t="s">
        <v>191</v>
      </c>
      <c r="B119" s="261">
        <f>VLOOKUP($A119,'IRIS iTunes data'!$A$138:$B$249,2,FALSE)</f>
        <v>0</v>
      </c>
      <c r="C119" s="261">
        <f>VLOOKUP($A119,'IRIS iTunes data'!$G$138:$H$249,2,FALSE)</f>
        <v>0</v>
      </c>
      <c r="D119" s="261">
        <f>VLOOKUP($A119,'IRIS iTunes data'!$M$138:$N$249,2,FALSE)</f>
        <v>1.83</v>
      </c>
      <c r="E119" s="261">
        <f>VLOOKUP($A119,'IRIS iTunes data'!$S$138:$T$249,2,FALSE)</f>
        <v>0</v>
      </c>
      <c r="F119" s="261">
        <f>VLOOKUP($A119,'IRIS iTunes data'!$Y$138:$Z$249,2,FALSE)</f>
        <v>0</v>
      </c>
      <c r="G119" s="262">
        <f t="shared" si="26"/>
        <v>1.83</v>
      </c>
      <c r="H119" s="242">
        <f t="shared" si="21"/>
        <v>9.15</v>
      </c>
      <c r="I119" s="343">
        <f>VLOOKUP($A119,[2]IRIS!$J:$S,10,FALSE)</f>
        <v>46.015926361200329</v>
      </c>
      <c r="J119" s="264">
        <f t="shared" si="27"/>
        <v>-36.86592636120033</v>
      </c>
      <c r="K119" s="265">
        <f t="shared" si="28"/>
        <v>-0.80115580140281417</v>
      </c>
      <c r="L119" s="286">
        <v>45.2575</v>
      </c>
      <c r="M119" s="263">
        <f t="shared" si="22"/>
        <v>54.407499999999999</v>
      </c>
      <c r="N119" s="263">
        <v>147.37694959634268</v>
      </c>
      <c r="O119" s="264">
        <f t="shared" si="29"/>
        <v>-92.969449596342685</v>
      </c>
      <c r="P119" s="265">
        <f t="shared" si="24"/>
        <v>-0.6308276148405898</v>
      </c>
      <c r="R119" s="235"/>
      <c r="S119" s="169"/>
      <c r="T119" s="109"/>
      <c r="U119" s="109"/>
    </row>
    <row r="120" spans="1:21" s="3" customFormat="1" x14ac:dyDescent="0.2">
      <c r="A120" s="260" t="s">
        <v>193</v>
      </c>
      <c r="B120" s="261">
        <f>VLOOKUP($A120,'IRIS iTunes data'!$A$138:$B$249,2,FALSE)</f>
        <v>0</v>
      </c>
      <c r="C120" s="261">
        <f>VLOOKUP($A120,'IRIS iTunes data'!$G$138:$H$249,2,FALSE)</f>
        <v>0</v>
      </c>
      <c r="D120" s="261">
        <f>VLOOKUP($A120,'IRIS iTunes data'!$M$138:$N$249,2,FALSE)</f>
        <v>0</v>
      </c>
      <c r="E120" s="261">
        <f>VLOOKUP($A120,'IRIS iTunes data'!$S$138:$T$249,2,FALSE)</f>
        <v>0</v>
      </c>
      <c r="F120" s="261">
        <f>VLOOKUP($A120,'IRIS iTunes data'!$Y$138:$Z$249,2,FALSE)</f>
        <v>0</v>
      </c>
      <c r="G120" s="262">
        <f t="shared" si="26"/>
        <v>0</v>
      </c>
      <c r="H120" s="242">
        <f t="shared" si="21"/>
        <v>0</v>
      </c>
      <c r="I120" s="343">
        <f>VLOOKUP($A120,[2]IRIS!$J:$S,10,FALSE)</f>
        <v>0.36319483307852729</v>
      </c>
      <c r="J120" s="264">
        <f t="shared" si="27"/>
        <v>-0.36319483307852729</v>
      </c>
      <c r="K120" s="265">
        <f t="shared" si="28"/>
        <v>-1</v>
      </c>
      <c r="L120" s="286">
        <v>0</v>
      </c>
      <c r="M120" s="263">
        <f t="shared" si="22"/>
        <v>0</v>
      </c>
      <c r="N120" s="263">
        <v>1.1632178430596301</v>
      </c>
      <c r="O120" s="264">
        <f t="shared" si="29"/>
        <v>-1.1632178430596301</v>
      </c>
      <c r="P120" s="265">
        <f t="shared" si="24"/>
        <v>-1</v>
      </c>
      <c r="R120" s="235"/>
      <c r="S120" s="169"/>
      <c r="T120" s="109"/>
      <c r="U120" s="109"/>
    </row>
    <row r="121" spans="1:21" s="3" customFormat="1" x14ac:dyDescent="0.2">
      <c r="A121" s="260" t="s">
        <v>194</v>
      </c>
      <c r="B121" s="261">
        <f>VLOOKUP($A121,'IRIS iTunes data'!$A$138:$B$249,2,FALSE)</f>
        <v>0</v>
      </c>
      <c r="C121" s="261">
        <f>VLOOKUP($A121,'IRIS iTunes data'!$G$138:$H$249,2,FALSE)</f>
        <v>0</v>
      </c>
      <c r="D121" s="261">
        <f>VLOOKUP($A121,'IRIS iTunes data'!$M$138:$N$249,2,FALSE)</f>
        <v>0</v>
      </c>
      <c r="E121" s="261">
        <f>VLOOKUP($A121,'IRIS iTunes data'!$S$138:$T$249,2,FALSE)</f>
        <v>0</v>
      </c>
      <c r="F121" s="261">
        <f>VLOOKUP($A121,'IRIS iTunes data'!$Y$138:$Z$249,2,FALSE)</f>
        <v>0</v>
      </c>
      <c r="G121" s="262">
        <f t="shared" si="26"/>
        <v>0</v>
      </c>
      <c r="H121" s="242">
        <f t="shared" si="21"/>
        <v>0</v>
      </c>
      <c r="I121" s="343">
        <f>VLOOKUP($A121,[2]IRIS!$J:$S,10,FALSE)</f>
        <v>3.2681614619064181</v>
      </c>
      <c r="J121" s="264">
        <f t="shared" si="27"/>
        <v>-3.2681614619064181</v>
      </c>
      <c r="K121" s="265">
        <f t="shared" si="28"/>
        <v>-1</v>
      </c>
      <c r="L121" s="286">
        <v>5.49</v>
      </c>
      <c r="M121" s="263">
        <f t="shared" si="22"/>
        <v>5.49</v>
      </c>
      <c r="N121" s="263">
        <v>10.467064452063502</v>
      </c>
      <c r="O121" s="264">
        <f t="shared" si="29"/>
        <v>-4.9770644520635017</v>
      </c>
      <c r="P121" s="265">
        <f t="shared" si="24"/>
        <v>-0.47549764070501271</v>
      </c>
      <c r="R121" s="235"/>
      <c r="S121" s="169"/>
      <c r="T121" s="109"/>
      <c r="U121" s="109"/>
    </row>
    <row r="122" spans="1:21" s="3" customFormat="1" x14ac:dyDescent="0.2">
      <c r="A122" s="260" t="s">
        <v>195</v>
      </c>
      <c r="B122" s="261">
        <f>VLOOKUP($A122,'IRIS iTunes data'!$A$138:$B$249,2,FALSE)</f>
        <v>2.58</v>
      </c>
      <c r="C122" s="261">
        <f>VLOOKUP($A122,'IRIS iTunes data'!$G$138:$H$249,2,FALSE)</f>
        <v>1.2</v>
      </c>
      <c r="D122" s="261">
        <f>VLOOKUP($A122,'IRIS iTunes data'!$M$138:$N$249,2,FALSE)</f>
        <v>0.6</v>
      </c>
      <c r="E122" s="261">
        <f>VLOOKUP($A122,'IRIS iTunes data'!$S$138:$T$249,2,FALSE)</f>
        <v>0</v>
      </c>
      <c r="F122" s="261">
        <f>VLOOKUP($A122,'IRIS iTunes data'!$Y$138:$Z$249,2,FALSE)</f>
        <v>0</v>
      </c>
      <c r="G122" s="262">
        <f t="shared" si="26"/>
        <v>4.38</v>
      </c>
      <c r="H122" s="242">
        <f t="shared" si="21"/>
        <v>7.3</v>
      </c>
      <c r="I122" s="343">
        <f>VLOOKUP($A122,[2]IRIS!$J:$S,10,FALSE)</f>
        <v>67.389957447010147</v>
      </c>
      <c r="J122" s="264">
        <f t="shared" si="27"/>
        <v>-60.08995744701015</v>
      </c>
      <c r="K122" s="265">
        <f t="shared" si="28"/>
        <v>-0.89167525434720585</v>
      </c>
      <c r="L122" s="286">
        <v>57.949999999999996</v>
      </c>
      <c r="M122" s="263">
        <f t="shared" si="22"/>
        <v>65.25</v>
      </c>
      <c r="N122" s="263">
        <v>215.83236821114866</v>
      </c>
      <c r="O122" s="264">
        <f t="shared" si="29"/>
        <v>-150.58236821114866</v>
      </c>
      <c r="P122" s="265">
        <f t="shared" si="24"/>
        <v>-0.6976820458358407</v>
      </c>
      <c r="R122" s="235"/>
      <c r="S122" s="169"/>
      <c r="T122" s="109"/>
      <c r="U122" s="109"/>
    </row>
    <row r="123" spans="1:21" s="3" customFormat="1" x14ac:dyDescent="0.2">
      <c r="A123" s="260" t="s">
        <v>196</v>
      </c>
      <c r="B123" s="261">
        <f>VLOOKUP($A123,'IRIS iTunes data'!$A$138:$B$249,2,FALSE)</f>
        <v>0</v>
      </c>
      <c r="C123" s="261">
        <f>VLOOKUP($A123,'IRIS iTunes data'!$G$138:$H$249,2,FALSE)</f>
        <v>0</v>
      </c>
      <c r="D123" s="261">
        <f>VLOOKUP($A123,'IRIS iTunes data'!$M$138:$N$249,2,FALSE)</f>
        <v>0</v>
      </c>
      <c r="E123" s="261">
        <f>VLOOKUP($A123,'IRIS iTunes data'!$S$138:$T$249,2,FALSE)</f>
        <v>0</v>
      </c>
      <c r="F123" s="261">
        <f>VLOOKUP($A123,'IRIS iTunes data'!$Y$138:$Z$249,2,FALSE)</f>
        <v>0</v>
      </c>
      <c r="G123" s="262">
        <f t="shared" si="26"/>
        <v>0</v>
      </c>
      <c r="H123" s="242">
        <f t="shared" si="21"/>
        <v>0</v>
      </c>
      <c r="I123" s="343">
        <f>VLOOKUP($A123,[2]IRIS!$J:$S,10,FALSE)</f>
        <v>0.77167803541265867</v>
      </c>
      <c r="J123" s="264">
        <f t="shared" si="27"/>
        <v>-0.77167803541265867</v>
      </c>
      <c r="K123" s="265">
        <f t="shared" si="28"/>
        <v>-1</v>
      </c>
      <c r="L123" s="286">
        <v>0</v>
      </c>
      <c r="M123" s="263">
        <f t="shared" si="22"/>
        <v>0</v>
      </c>
      <c r="N123" s="263">
        <v>2.4714824610269899</v>
      </c>
      <c r="O123" s="264">
        <f t="shared" si="29"/>
        <v>-2.4714824610269899</v>
      </c>
      <c r="P123" s="265">
        <f t="shared" si="24"/>
        <v>-1</v>
      </c>
      <c r="R123" s="235"/>
      <c r="S123" s="169"/>
      <c r="T123" s="109"/>
      <c r="U123" s="109"/>
    </row>
    <row r="124" spans="1:21" s="3" customFormat="1" x14ac:dyDescent="0.2">
      <c r="A124" s="260" t="s">
        <v>199</v>
      </c>
      <c r="B124" s="261">
        <f>VLOOKUP($A124,'IRIS iTunes data'!$A$138:$B$249,2,FALSE)</f>
        <v>0</v>
      </c>
      <c r="C124" s="261">
        <f>VLOOKUP($A124,'IRIS iTunes data'!$G$138:$H$249,2,FALSE)</f>
        <v>0</v>
      </c>
      <c r="D124" s="261">
        <f>VLOOKUP($A124,'IRIS iTunes data'!$M$138:$N$249,2,FALSE)</f>
        <v>0</v>
      </c>
      <c r="E124" s="261">
        <f>VLOOKUP($A124,'IRIS iTunes data'!$S$138:$T$249,2,FALSE)</f>
        <v>0</v>
      </c>
      <c r="F124" s="261">
        <f>VLOOKUP($A124,'IRIS iTunes data'!$Y$138:$Z$249,2,FALSE)</f>
        <v>0</v>
      </c>
      <c r="G124" s="262">
        <f t="shared" si="26"/>
        <v>0</v>
      </c>
      <c r="H124" s="242">
        <f t="shared" si="21"/>
        <v>0</v>
      </c>
      <c r="I124" s="343">
        <f>VLOOKUP($A124,[2]IRIS!$J:$S,10,FALSE)</f>
        <v>3.9853750495223075</v>
      </c>
      <c r="J124" s="264">
        <f t="shared" si="27"/>
        <v>-3.9853750495223075</v>
      </c>
      <c r="K124" s="265">
        <f t="shared" si="28"/>
        <v>-1</v>
      </c>
      <c r="L124" s="286">
        <v>0</v>
      </c>
      <c r="M124" s="263">
        <f t="shared" si="22"/>
        <v>0</v>
      </c>
      <c r="N124" s="263">
        <v>12.764111564017412</v>
      </c>
      <c r="O124" s="264">
        <f t="shared" si="29"/>
        <v>-12.764111564017412</v>
      </c>
      <c r="P124" s="265">
        <f t="shared" si="24"/>
        <v>-1</v>
      </c>
      <c r="R124" s="235"/>
      <c r="S124" s="169"/>
      <c r="T124" s="109"/>
      <c r="U124" s="109"/>
    </row>
    <row r="125" spans="1:21" s="3" customFormat="1" x14ac:dyDescent="0.2">
      <c r="A125" s="260" t="s">
        <v>200</v>
      </c>
      <c r="B125" s="261">
        <f>VLOOKUP($A125,'IRIS iTunes data'!$A$138:$B$249,2,FALSE)</f>
        <v>0</v>
      </c>
      <c r="C125" s="261">
        <f>VLOOKUP($A125,'IRIS iTunes data'!$G$138:$H$249,2,FALSE)</f>
        <v>0</v>
      </c>
      <c r="D125" s="261">
        <f>VLOOKUP($A125,'IRIS iTunes data'!$M$138:$N$249,2,FALSE)</f>
        <v>0</v>
      </c>
      <c r="E125" s="261">
        <f>VLOOKUP($A125,'IRIS iTunes data'!$S$138:$T$249,2,FALSE)</f>
        <v>0</v>
      </c>
      <c r="F125" s="261">
        <f>VLOOKUP($A125,'IRIS iTunes data'!$Y$138:$Z$249,2,FALSE)</f>
        <v>0</v>
      </c>
      <c r="G125" s="262">
        <f t="shared" si="26"/>
        <v>0</v>
      </c>
      <c r="H125" s="242">
        <f t="shared" si="21"/>
        <v>0</v>
      </c>
      <c r="I125" s="343">
        <f>VLOOKUP($A125,[2]IRIS!$J:$S,10,FALSE)</f>
        <v>3.9661348846115922</v>
      </c>
      <c r="J125" s="264">
        <f t="shared" si="27"/>
        <v>-3.9661348846115922</v>
      </c>
      <c r="K125" s="265">
        <f t="shared" si="28"/>
        <v>-1</v>
      </c>
      <c r="L125" s="286">
        <v>32.209999999999994</v>
      </c>
      <c r="M125" s="263">
        <f t="shared" si="22"/>
        <v>32.209999999999994</v>
      </c>
      <c r="N125" s="263">
        <v>12.702490359393295</v>
      </c>
      <c r="O125" s="264">
        <f>M125-N125</f>
        <v>19.507509640606699</v>
      </c>
      <c r="P125" s="265">
        <f>O125/N125</f>
        <v>1.5357232391978317</v>
      </c>
      <c r="R125" s="235"/>
      <c r="S125" s="169"/>
      <c r="T125" s="109"/>
      <c r="U125" s="109"/>
    </row>
    <row r="126" spans="1:21" ht="13.5" thickBot="1" x14ac:dyDescent="0.25">
      <c r="A126" s="105"/>
      <c r="B126" s="106"/>
      <c r="C126" s="106"/>
      <c r="D126" s="106"/>
      <c r="E126" s="107"/>
      <c r="F126" s="107"/>
      <c r="G126" s="108"/>
      <c r="H126" s="112"/>
      <c r="I126" s="111"/>
      <c r="J126" s="53"/>
      <c r="K126" s="115"/>
      <c r="L126" s="282"/>
      <c r="M126" s="28"/>
      <c r="N126" s="29"/>
      <c r="O126" s="29"/>
      <c r="P126" s="83"/>
    </row>
    <row r="127" spans="1:21" ht="13.5" thickBot="1" x14ac:dyDescent="0.25">
      <c r="A127" s="30" t="s">
        <v>15</v>
      </c>
      <c r="B127" s="37">
        <f t="shared" ref="B127:H127" si="30">SUM(B4,B8:B9,B14,B18,B22,B27,B30:B31,B34:B36,B49,B67,B81)</f>
        <v>40406.48209880291</v>
      </c>
      <c r="C127" s="37">
        <f t="shared" si="30"/>
        <v>41346.955468602959</v>
      </c>
      <c r="D127" s="37">
        <f t="shared" si="30"/>
        <v>41377.375283002591</v>
      </c>
      <c r="E127" s="37">
        <f t="shared" si="30"/>
        <v>0</v>
      </c>
      <c r="F127" s="37">
        <f t="shared" si="30"/>
        <v>0</v>
      </c>
      <c r="G127" s="37">
        <f t="shared" si="30"/>
        <v>123130.81285040846</v>
      </c>
      <c r="H127" s="37">
        <f t="shared" si="30"/>
        <v>205218.02141734748</v>
      </c>
      <c r="I127" s="37">
        <f>SUM(I4,I8:I9,I14,I18,I22,I27,I30:I31,I34:I36,I49,I67,I81)</f>
        <v>221948.09999999998</v>
      </c>
      <c r="J127" s="54">
        <f>H127-I127</f>
        <v>-16730.078582652495</v>
      </c>
      <c r="K127" s="116">
        <f>J127/I127</f>
        <v>-7.537833656901094E-2</v>
      </c>
      <c r="L127" s="288">
        <f>SUM(L4,L8:L9,L14,L18,L22,L27,L30:L31,L34:L36,L49,L67,L81)</f>
        <v>402631.86247272481</v>
      </c>
      <c r="M127" s="37">
        <f>SUM(M4,M8:M9,M14,M18,M22,M27,M30:M31,M34:M36,M49,M67,M81)</f>
        <v>607849.88389007235</v>
      </c>
      <c r="N127" s="37">
        <f>SUM(N4,N8:N9,N14,N18,N22,N27,N30:N31,N34:N36,N49,N67,N81)</f>
        <v>710841.583193345</v>
      </c>
      <c r="O127" s="117">
        <f>M127-N127</f>
        <v>-102991.69930327265</v>
      </c>
      <c r="P127" s="38">
        <f>O127/N127</f>
        <v>-0.14488699273978667</v>
      </c>
      <c r="S127" s="109">
        <f>I127-25000</f>
        <v>196948.09999999998</v>
      </c>
    </row>
    <row r="129" spans="1:12" s="290" customFormat="1" ht="15" x14ac:dyDescent="0.25">
      <c r="A129" s="408" t="s">
        <v>9</v>
      </c>
      <c r="B129" s="274">
        <f>B$4</f>
        <v>26144.65123040292</v>
      </c>
      <c r="C129" s="274">
        <f t="shared" ref="C129:K129" si="31">C$4</f>
        <v>27773.358327402984</v>
      </c>
      <c r="D129" s="274">
        <f t="shared" si="31"/>
        <v>27073.055935802637</v>
      </c>
      <c r="E129" s="274">
        <f t="shared" si="31"/>
        <v>0</v>
      </c>
      <c r="F129" s="274">
        <f t="shared" si="31"/>
        <v>0</v>
      </c>
      <c r="G129" s="274">
        <f t="shared" si="31"/>
        <v>80991.065493608534</v>
      </c>
      <c r="H129" s="274">
        <f t="shared" si="31"/>
        <v>134985.10915601422</v>
      </c>
      <c r="I129" s="274">
        <f t="shared" si="31"/>
        <v>130392.67208273841</v>
      </c>
      <c r="J129" s="274">
        <f t="shared" si="31"/>
        <v>4592.4370732758107</v>
      </c>
      <c r="K129" s="274">
        <f t="shared" si="31"/>
        <v>3.5220054930400993E-2</v>
      </c>
      <c r="L129" s="78"/>
    </row>
    <row r="130" spans="1:12" s="290" customFormat="1" ht="15" x14ac:dyDescent="0.25">
      <c r="A130" s="409" t="s">
        <v>24</v>
      </c>
      <c r="B130" s="274">
        <f>B$8+B$9+B$14+B$18+B$22+B$27+B$36</f>
        <v>8344.3017348000649</v>
      </c>
      <c r="C130" s="274">
        <f t="shared" ref="C130:K130" si="32">C$8+C$9+C$14+C$18+C$22+C$27+C$36</f>
        <v>7756.3807780000552</v>
      </c>
      <c r="D130" s="274">
        <f t="shared" si="32"/>
        <v>7657.437718800059</v>
      </c>
      <c r="E130" s="274">
        <f t="shared" si="32"/>
        <v>0</v>
      </c>
      <c r="F130" s="274">
        <f t="shared" si="32"/>
        <v>0</v>
      </c>
      <c r="G130" s="274">
        <f t="shared" si="32"/>
        <v>23758.12023160018</v>
      </c>
      <c r="H130" s="274">
        <f t="shared" si="32"/>
        <v>39596.867052666974</v>
      </c>
      <c r="I130" s="274">
        <f t="shared" si="32"/>
        <v>57986.86623959228</v>
      </c>
      <c r="J130" s="274">
        <f t="shared" si="32"/>
        <v>-18389.999186925321</v>
      </c>
      <c r="K130" s="274">
        <f t="shared" si="32"/>
        <v>-2.3812968569696626</v>
      </c>
      <c r="L130" s="78"/>
    </row>
    <row r="131" spans="1:12" s="290" customFormat="1" ht="15" x14ac:dyDescent="0.25">
      <c r="A131" s="409" t="s">
        <v>26</v>
      </c>
      <c r="B131" s="274">
        <f>B$30+B$31+B$34+B$35+B$49+B$67+B$81</f>
        <v>5917.52913359993</v>
      </c>
      <c r="C131" s="274">
        <f t="shared" ref="C131:K131" si="33">C$30+C$31+C$34+C$35+C$49+C$67+C$81</f>
        <v>5817.2163631999247</v>
      </c>
      <c r="D131" s="274">
        <f t="shared" si="33"/>
        <v>6646.8816283999013</v>
      </c>
      <c r="E131" s="274">
        <f t="shared" si="33"/>
        <v>0</v>
      </c>
      <c r="F131" s="274">
        <f t="shared" si="33"/>
        <v>0</v>
      </c>
      <c r="G131" s="274">
        <f t="shared" si="33"/>
        <v>18381.627125199757</v>
      </c>
      <c r="H131" s="274">
        <f t="shared" si="33"/>
        <v>30636.045208666255</v>
      </c>
      <c r="I131" s="274">
        <f t="shared" si="33"/>
        <v>33568.561677669291</v>
      </c>
      <c r="J131" s="274">
        <f t="shared" si="33"/>
        <v>-2932.5164690030342</v>
      </c>
      <c r="K131" s="274">
        <f t="shared" si="33"/>
        <v>-2.3878172556162238</v>
      </c>
      <c r="L131" s="78"/>
    </row>
  </sheetData>
  <mergeCells count="2">
    <mergeCell ref="A1:K1"/>
    <mergeCell ref="M1:P1"/>
  </mergeCells>
  <pageMargins left="0" right="0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AD310"/>
  <sheetViews>
    <sheetView zoomScale="85" zoomScaleNormal="85" zoomScalePageLayoutView="85" workbookViewId="0">
      <selection activeCell="N109" sqref="N109"/>
    </sheetView>
  </sheetViews>
  <sheetFormatPr defaultColWidth="8.85546875" defaultRowHeight="15" x14ac:dyDescent="0.25"/>
  <cols>
    <col min="1" max="1" width="19.140625" style="10" bestFit="1" customWidth="1"/>
    <col min="2" max="2" width="15.140625" style="10" bestFit="1" customWidth="1"/>
    <col min="3" max="3" width="13.42578125" style="10" customWidth="1"/>
    <col min="4" max="4" width="11.85546875" style="10" bestFit="1" customWidth="1"/>
    <col min="5" max="5" width="7.85546875" style="10" customWidth="1"/>
    <col min="6" max="6" width="3.140625" style="9" customWidth="1"/>
    <col min="7" max="7" width="21.28515625" style="10" bestFit="1" customWidth="1"/>
    <col min="8" max="8" width="17.28515625" style="10" bestFit="1" customWidth="1"/>
    <col min="9" max="9" width="13.42578125" style="10" customWidth="1"/>
    <col min="10" max="10" width="12.28515625" style="10" bestFit="1" customWidth="1"/>
    <col min="11" max="11" width="7.85546875" style="10" customWidth="1"/>
    <col min="12" max="12" width="3.140625" style="9" customWidth="1"/>
    <col min="13" max="13" width="21.28515625" style="10" bestFit="1" customWidth="1"/>
    <col min="14" max="14" width="14.42578125" style="10" bestFit="1" customWidth="1"/>
    <col min="15" max="15" width="12.85546875" style="10" bestFit="1" customWidth="1"/>
    <col min="16" max="16" width="11.7109375" style="10" bestFit="1" customWidth="1"/>
    <col min="17" max="17" width="7.85546875" style="10" customWidth="1"/>
    <col min="18" max="18" width="3.140625" style="9" customWidth="1"/>
    <col min="19" max="19" width="19.140625" style="10" bestFit="1" customWidth="1"/>
    <col min="20" max="20" width="14.28515625" style="142" bestFit="1" customWidth="1"/>
    <col min="21" max="21" width="12.85546875" style="10" bestFit="1" customWidth="1"/>
    <col min="22" max="22" width="11.7109375" style="10" bestFit="1" customWidth="1"/>
    <col min="23" max="23" width="7.85546875" style="10" customWidth="1"/>
    <col min="24" max="24" width="3.140625" style="9" customWidth="1"/>
    <col min="25" max="25" width="19.140625" style="10" bestFit="1" customWidth="1"/>
    <col min="26" max="26" width="14.42578125" style="10" bestFit="1" customWidth="1"/>
    <col min="27" max="27" width="13.140625" style="10" bestFit="1" customWidth="1"/>
    <col min="28" max="28" width="11.42578125" style="10" bestFit="1" customWidth="1"/>
    <col min="29" max="29" width="7.85546875" style="10" customWidth="1"/>
    <col min="30" max="30" width="3.140625" style="9" customWidth="1"/>
    <col min="31" max="16384" width="8.85546875" style="10"/>
  </cols>
  <sheetData>
    <row r="1" spans="1:30" s="4" customFormat="1" x14ac:dyDescent="0.25">
      <c r="A1" s="4" t="s">
        <v>16</v>
      </c>
      <c r="F1" s="5"/>
      <c r="G1" s="4" t="s">
        <v>17</v>
      </c>
      <c r="L1" s="5"/>
      <c r="M1" s="4" t="s">
        <v>18</v>
      </c>
      <c r="R1" s="5"/>
      <c r="S1" s="4" t="s">
        <v>19</v>
      </c>
      <c r="T1" s="221"/>
      <c r="X1" s="5"/>
      <c r="Y1" s="4" t="s">
        <v>20</v>
      </c>
      <c r="AD1" s="5"/>
    </row>
    <row r="2" spans="1:30" s="4" customFormat="1" x14ac:dyDescent="0.25">
      <c r="A2" s="87" t="s">
        <v>205</v>
      </c>
      <c r="B2" s="78">
        <v>0.61</v>
      </c>
      <c r="D2"/>
      <c r="F2" s="5"/>
      <c r="G2" s="87" t="s">
        <v>126</v>
      </c>
      <c r="H2" s="78">
        <v>3.05</v>
      </c>
      <c r="I2"/>
      <c r="J2"/>
      <c r="L2" s="5"/>
      <c r="M2" s="87" t="s">
        <v>126</v>
      </c>
      <c r="N2" s="78">
        <v>0</v>
      </c>
      <c r="O2"/>
      <c r="P2"/>
      <c r="R2" s="5"/>
      <c r="S2" s="87" t="s">
        <v>126</v>
      </c>
      <c r="T2" s="78"/>
      <c r="U2" s="78"/>
      <c r="V2"/>
      <c r="X2" s="5"/>
      <c r="Y2" s="87" t="s">
        <v>126</v>
      </c>
      <c r="Z2" s="78"/>
      <c r="AA2"/>
      <c r="AB2"/>
      <c r="AD2" s="5"/>
    </row>
    <row r="3" spans="1:30" x14ac:dyDescent="0.25">
      <c r="A3" s="59" t="s">
        <v>206</v>
      </c>
      <c r="B3" s="78">
        <v>9.15</v>
      </c>
      <c r="C3" s="290"/>
      <c r="D3"/>
      <c r="E3" s="8">
        <f>C3/B3</f>
        <v>0</v>
      </c>
      <c r="G3" s="59" t="s">
        <v>127</v>
      </c>
      <c r="H3" s="78">
        <v>20.74</v>
      </c>
      <c r="I3"/>
      <c r="J3"/>
      <c r="K3" s="8">
        <f>I3/H3</f>
        <v>0</v>
      </c>
      <c r="M3" s="59" t="s">
        <v>127</v>
      </c>
      <c r="N3" s="78">
        <v>2.44</v>
      </c>
      <c r="O3"/>
      <c r="P3"/>
      <c r="Q3" s="8">
        <f>O3/N3</f>
        <v>0</v>
      </c>
      <c r="S3" s="59" t="s">
        <v>127</v>
      </c>
      <c r="T3" s="78"/>
      <c r="U3" s="78"/>
      <c r="V3"/>
      <c r="W3" s="39" t="e">
        <f>U3/T3</f>
        <v>#DIV/0!</v>
      </c>
      <c r="Y3" s="59" t="s">
        <v>127</v>
      </c>
      <c r="Z3" s="78"/>
      <c r="AA3"/>
      <c r="AB3"/>
      <c r="AC3" s="39" t="e">
        <f>AA3/Z3</f>
        <v>#DIV/0!</v>
      </c>
    </row>
    <row r="4" spans="1:30" x14ac:dyDescent="0.25">
      <c r="A4" s="59" t="s">
        <v>207</v>
      </c>
      <c r="B4" s="78">
        <v>1441.92</v>
      </c>
      <c r="C4" s="290"/>
      <c r="D4"/>
      <c r="E4" s="8">
        <f>C4/B4</f>
        <v>0</v>
      </c>
      <c r="G4" s="59" t="s">
        <v>128</v>
      </c>
      <c r="H4" s="78">
        <v>1612.61</v>
      </c>
      <c r="I4"/>
      <c r="J4"/>
      <c r="K4" s="8">
        <f>I4/H4</f>
        <v>0</v>
      </c>
      <c r="M4" s="59" t="s">
        <v>128</v>
      </c>
      <c r="N4" s="78">
        <v>1452.72</v>
      </c>
      <c r="O4"/>
      <c r="P4"/>
      <c r="Q4" s="8">
        <f>O4/N4</f>
        <v>0</v>
      </c>
      <c r="S4" s="59" t="s">
        <v>128</v>
      </c>
      <c r="T4" s="78"/>
      <c r="U4" s="78"/>
      <c r="V4"/>
      <c r="W4" s="39" t="e">
        <f>U4/T4</f>
        <v>#DIV/0!</v>
      </c>
      <c r="Y4" s="59" t="s">
        <v>128</v>
      </c>
      <c r="Z4" s="78"/>
      <c r="AA4"/>
      <c r="AB4"/>
      <c r="AC4" s="39" t="e">
        <f>AA4/Z4</f>
        <v>#DIV/0!</v>
      </c>
    </row>
    <row r="5" spans="1:30" x14ac:dyDescent="0.25">
      <c r="A5" s="59" t="s">
        <v>208</v>
      </c>
      <c r="B5" s="78">
        <v>24.18</v>
      </c>
      <c r="C5" s="290"/>
      <c r="D5"/>
      <c r="E5" s="8">
        <f>C5/B5</f>
        <v>0</v>
      </c>
      <c r="G5" s="59" t="s">
        <v>129</v>
      </c>
      <c r="H5" s="78">
        <v>24.6</v>
      </c>
      <c r="I5"/>
      <c r="J5"/>
      <c r="K5" s="8">
        <f>I5/H5</f>
        <v>0</v>
      </c>
      <c r="M5" s="59" t="s">
        <v>129</v>
      </c>
      <c r="N5" s="78">
        <v>14.58</v>
      </c>
      <c r="O5"/>
      <c r="P5"/>
      <c r="Q5" s="8">
        <f>O5/N5</f>
        <v>0</v>
      </c>
      <c r="S5" s="59" t="s">
        <v>129</v>
      </c>
      <c r="T5" s="78"/>
      <c r="U5" s="78"/>
      <c r="V5"/>
      <c r="W5" s="8" t="e">
        <f>U5/T5</f>
        <v>#DIV/0!</v>
      </c>
      <c r="Y5" s="59" t="s">
        <v>129</v>
      </c>
      <c r="Z5" s="78"/>
      <c r="AA5"/>
      <c r="AB5"/>
      <c r="AC5" s="8" t="e">
        <f>AA5/Z5</f>
        <v>#DIV/0!</v>
      </c>
    </row>
    <row r="6" spans="1:30" x14ac:dyDescent="0.25">
      <c r="A6" s="59" t="s">
        <v>209</v>
      </c>
      <c r="B6" s="78">
        <v>46262.921448000001</v>
      </c>
      <c r="C6" s="290"/>
      <c r="D6"/>
      <c r="E6" s="8"/>
      <c r="G6" s="59" t="s">
        <v>33</v>
      </c>
      <c r="H6" s="78">
        <v>47930.451567999997</v>
      </c>
      <c r="I6"/>
      <c r="J6"/>
      <c r="K6" s="8"/>
      <c r="M6" s="59" t="s">
        <v>33</v>
      </c>
      <c r="N6" s="78">
        <v>47374.779704</v>
      </c>
      <c r="O6"/>
      <c r="P6"/>
      <c r="Q6" s="8"/>
      <c r="S6" s="59" t="s">
        <v>33</v>
      </c>
      <c r="T6" s="78"/>
      <c r="U6" s="78"/>
      <c r="V6"/>
      <c r="W6" s="8"/>
      <c r="Y6" s="59" t="s">
        <v>33</v>
      </c>
      <c r="Z6" s="78"/>
      <c r="AA6"/>
      <c r="AB6"/>
      <c r="AC6" s="8"/>
    </row>
    <row r="7" spans="1:30" x14ac:dyDescent="0.25">
      <c r="A7" s="59" t="s">
        <v>210</v>
      </c>
      <c r="B7" s="78">
        <v>3944.7074160000002</v>
      </c>
      <c r="C7" s="290"/>
      <c r="D7"/>
      <c r="E7" s="8"/>
      <c r="G7" s="59" t="s">
        <v>34</v>
      </c>
      <c r="H7" s="78">
        <v>3586.9919279999999</v>
      </c>
      <c r="I7"/>
      <c r="J7"/>
      <c r="K7" s="8"/>
      <c r="M7" s="59" t="s">
        <v>34</v>
      </c>
      <c r="N7" s="78">
        <v>3890.1367439999999</v>
      </c>
      <c r="O7"/>
      <c r="P7"/>
      <c r="Q7" s="8"/>
      <c r="S7" s="59" t="s">
        <v>34</v>
      </c>
      <c r="T7" s="78"/>
      <c r="U7" s="78"/>
      <c r="V7"/>
      <c r="W7" s="8"/>
      <c r="Y7" s="59" t="s">
        <v>34</v>
      </c>
      <c r="Z7" s="78"/>
      <c r="AA7"/>
      <c r="AB7"/>
      <c r="AC7" s="8"/>
    </row>
    <row r="8" spans="1:30" x14ac:dyDescent="0.25">
      <c r="A8" s="59" t="s">
        <v>211</v>
      </c>
      <c r="B8" s="78">
        <v>187.8</v>
      </c>
      <c r="C8" s="290"/>
      <c r="D8"/>
      <c r="E8" s="8"/>
      <c r="G8" s="59" t="s">
        <v>130</v>
      </c>
      <c r="H8" s="78">
        <v>201.06</v>
      </c>
      <c r="I8"/>
      <c r="J8"/>
      <c r="K8" s="8"/>
      <c r="M8" s="59" t="s">
        <v>130</v>
      </c>
      <c r="N8" s="78">
        <v>116.34</v>
      </c>
      <c r="O8"/>
      <c r="P8"/>
      <c r="Q8" s="8"/>
      <c r="S8" s="59" t="s">
        <v>130</v>
      </c>
      <c r="T8" s="78"/>
      <c r="U8" s="78"/>
      <c r="V8"/>
      <c r="W8" s="8"/>
      <c r="Y8" s="59" t="s">
        <v>130</v>
      </c>
      <c r="Z8" s="78"/>
      <c r="AA8"/>
      <c r="AB8"/>
      <c r="AC8" s="8"/>
    </row>
    <row r="9" spans="1:30" x14ac:dyDescent="0.25">
      <c r="A9" s="59" t="s">
        <v>212</v>
      </c>
      <c r="B9" s="78">
        <v>23.18</v>
      </c>
      <c r="C9" s="290"/>
      <c r="D9"/>
      <c r="E9" s="8">
        <f t="shared" ref="E9:E63" si="0">C9/B9</f>
        <v>0</v>
      </c>
      <c r="G9" s="59" t="s">
        <v>131</v>
      </c>
      <c r="H9" s="78">
        <v>21.35</v>
      </c>
      <c r="I9"/>
      <c r="J9"/>
      <c r="K9" s="8">
        <f t="shared" ref="K9:K63" si="1">I9/H9</f>
        <v>0</v>
      </c>
      <c r="M9" s="59" t="s">
        <v>131</v>
      </c>
      <c r="N9" s="78">
        <v>17.690000000000001</v>
      </c>
      <c r="O9"/>
      <c r="P9"/>
      <c r="Q9" s="8">
        <f t="shared" ref="Q9:Q63" si="2">O9/N9</f>
        <v>0</v>
      </c>
      <c r="S9" s="59" t="s">
        <v>131</v>
      </c>
      <c r="T9" s="78"/>
      <c r="U9" s="78"/>
      <c r="V9"/>
      <c r="W9" s="8" t="e">
        <f>U9/T9</f>
        <v>#DIV/0!</v>
      </c>
      <c r="Y9" s="59" t="s">
        <v>131</v>
      </c>
      <c r="Z9" s="78"/>
      <c r="AA9"/>
      <c r="AB9"/>
      <c r="AC9" s="8" t="e">
        <f>AA9/Z9</f>
        <v>#DIV/0!</v>
      </c>
    </row>
    <row r="10" spans="1:30" x14ac:dyDescent="0.25">
      <c r="A10" s="59" t="s">
        <v>213</v>
      </c>
      <c r="B10" s="78">
        <v>3.23</v>
      </c>
      <c r="C10" s="290"/>
      <c r="D10"/>
      <c r="E10" s="8"/>
      <c r="G10" s="59" t="s">
        <v>132</v>
      </c>
      <c r="H10" s="78">
        <v>5.6</v>
      </c>
      <c r="I10"/>
      <c r="J10"/>
      <c r="K10" s="8"/>
      <c r="M10" s="59" t="s">
        <v>132</v>
      </c>
      <c r="N10" s="78">
        <v>8.7200000000000006</v>
      </c>
      <c r="O10"/>
      <c r="P10"/>
      <c r="Q10" s="8"/>
      <c r="S10" s="59" t="s">
        <v>132</v>
      </c>
      <c r="T10" s="78"/>
      <c r="U10" s="78"/>
      <c r="V10"/>
      <c r="W10" s="8"/>
      <c r="Y10" s="59" t="s">
        <v>132</v>
      </c>
      <c r="Z10" s="78"/>
      <c r="AA10"/>
      <c r="AB10"/>
      <c r="AC10" s="8"/>
    </row>
    <row r="11" spans="1:30" x14ac:dyDescent="0.25">
      <c r="A11" s="59" t="s">
        <v>214</v>
      </c>
      <c r="B11" s="78">
        <v>69</v>
      </c>
      <c r="C11" s="290"/>
      <c r="D11"/>
      <c r="E11" s="8">
        <f t="shared" si="0"/>
        <v>0</v>
      </c>
      <c r="G11" s="59" t="s">
        <v>133</v>
      </c>
      <c r="H11" s="78">
        <v>49.38</v>
      </c>
      <c r="I11"/>
      <c r="J11"/>
      <c r="K11" s="8">
        <f t="shared" si="1"/>
        <v>0</v>
      </c>
      <c r="M11" s="59" t="s">
        <v>133</v>
      </c>
      <c r="N11" s="78">
        <v>55.14</v>
      </c>
      <c r="O11"/>
      <c r="P11"/>
      <c r="Q11" s="8">
        <f t="shared" si="2"/>
        <v>0</v>
      </c>
      <c r="S11" s="59" t="s">
        <v>133</v>
      </c>
      <c r="T11" s="78"/>
      <c r="U11" s="78"/>
      <c r="V11"/>
      <c r="W11" s="8" t="e">
        <f t="shared" ref="W11:W63" si="3">U11/T11</f>
        <v>#DIV/0!</v>
      </c>
      <c r="Y11" s="59" t="s">
        <v>133</v>
      </c>
      <c r="Z11" s="78"/>
      <c r="AA11"/>
      <c r="AB11"/>
      <c r="AC11" s="8" t="e">
        <f t="shared" ref="AC11:AC63" si="4">AA11/Z11</f>
        <v>#DIV/0!</v>
      </c>
    </row>
    <row r="12" spans="1:30" x14ac:dyDescent="0.25">
      <c r="A12" s="59" t="s">
        <v>215</v>
      </c>
      <c r="B12" s="78">
        <v>6800.6749200000004</v>
      </c>
      <c r="C12" s="290"/>
      <c r="D12"/>
      <c r="E12" s="8"/>
      <c r="G12" s="59" t="s">
        <v>35</v>
      </c>
      <c r="H12" s="78">
        <v>6795.5325359999997</v>
      </c>
      <c r="I12"/>
      <c r="J12"/>
      <c r="K12" s="8"/>
      <c r="M12" s="59" t="s">
        <v>35</v>
      </c>
      <c r="N12" s="78">
        <v>6605.9039279999997</v>
      </c>
      <c r="O12"/>
      <c r="P12"/>
      <c r="Q12" s="8"/>
      <c r="S12" s="59" t="s">
        <v>35</v>
      </c>
      <c r="T12" s="78"/>
      <c r="U12" s="78"/>
      <c r="V12"/>
      <c r="W12" s="8"/>
      <c r="Y12" s="59" t="s">
        <v>35</v>
      </c>
      <c r="Z12" s="78"/>
      <c r="AA12"/>
      <c r="AB12"/>
      <c r="AC12" s="8"/>
    </row>
    <row r="13" spans="1:30" x14ac:dyDescent="0.25">
      <c r="A13" s="59" t="s">
        <v>216</v>
      </c>
      <c r="B13" s="78">
        <v>1.83</v>
      </c>
      <c r="C13" s="290"/>
      <c r="D13"/>
      <c r="E13" s="8"/>
      <c r="G13" s="59" t="s">
        <v>134</v>
      </c>
      <c r="H13" s="78">
        <v>10.98</v>
      </c>
      <c r="I13"/>
      <c r="J13"/>
      <c r="K13" s="8"/>
      <c r="M13" s="59" t="s">
        <v>134</v>
      </c>
      <c r="N13" s="78">
        <v>4.88</v>
      </c>
      <c r="O13"/>
      <c r="P13"/>
      <c r="Q13" s="8"/>
      <c r="S13" s="59" t="s">
        <v>134</v>
      </c>
      <c r="T13" s="78"/>
      <c r="U13" s="78"/>
      <c r="V13"/>
      <c r="W13" s="8"/>
      <c r="Y13" s="59" t="s">
        <v>134</v>
      </c>
      <c r="Z13" s="78"/>
      <c r="AA13"/>
      <c r="AB13"/>
      <c r="AC13" s="8"/>
    </row>
    <row r="14" spans="1:30" x14ac:dyDescent="0.25">
      <c r="A14" s="59" t="s">
        <v>217</v>
      </c>
      <c r="B14" s="78">
        <v>67.459999999999994</v>
      </c>
      <c r="C14" s="290"/>
      <c r="D14"/>
      <c r="E14" s="8"/>
      <c r="G14" s="59" t="s">
        <v>135</v>
      </c>
      <c r="H14" s="78">
        <v>14.64</v>
      </c>
      <c r="I14"/>
      <c r="J14"/>
      <c r="K14" s="8"/>
      <c r="M14" s="59" t="s">
        <v>135</v>
      </c>
      <c r="N14" s="78">
        <v>26.23</v>
      </c>
      <c r="O14"/>
      <c r="P14"/>
      <c r="Q14" s="8"/>
      <c r="S14" s="59" t="s">
        <v>135</v>
      </c>
      <c r="T14" s="78"/>
      <c r="U14" s="78"/>
      <c r="V14"/>
      <c r="W14" s="8"/>
      <c r="Y14" s="59" t="s">
        <v>135</v>
      </c>
      <c r="Z14" s="78"/>
      <c r="AA14"/>
      <c r="AB14"/>
      <c r="AC14" s="8"/>
    </row>
    <row r="15" spans="1:30" x14ac:dyDescent="0.25">
      <c r="A15" s="59" t="s">
        <v>218</v>
      </c>
      <c r="B15" s="78">
        <v>34.159999999999997</v>
      </c>
      <c r="C15" s="290"/>
      <c r="D15"/>
      <c r="E15" s="8">
        <f t="shared" si="0"/>
        <v>0</v>
      </c>
      <c r="G15" s="59" t="s">
        <v>136</v>
      </c>
      <c r="H15" s="78">
        <v>42.7</v>
      </c>
      <c r="I15"/>
      <c r="J15"/>
      <c r="K15" s="8">
        <f t="shared" si="1"/>
        <v>0</v>
      </c>
      <c r="M15" s="59" t="s">
        <v>136</v>
      </c>
      <c r="N15" s="78">
        <v>21.96</v>
      </c>
      <c r="O15"/>
      <c r="P15"/>
      <c r="Q15" s="8">
        <f t="shared" si="2"/>
        <v>0</v>
      </c>
      <c r="S15" s="59" t="s">
        <v>136</v>
      </c>
      <c r="T15" s="78"/>
      <c r="U15" s="78"/>
      <c r="V15"/>
      <c r="W15" s="8" t="e">
        <f>U15/T15</f>
        <v>#DIV/0!</v>
      </c>
      <c r="Y15" s="59" t="s">
        <v>136</v>
      </c>
      <c r="Z15" s="78"/>
      <c r="AA15"/>
      <c r="AB15"/>
      <c r="AC15" s="8" t="e">
        <f>AA15/Z15</f>
        <v>#DIV/0!</v>
      </c>
    </row>
    <row r="16" spans="1:30" x14ac:dyDescent="0.25">
      <c r="A16" s="59" t="s">
        <v>219</v>
      </c>
      <c r="B16" s="78">
        <v>20.92</v>
      </c>
      <c r="C16" s="290"/>
      <c r="D16"/>
      <c r="E16" s="8">
        <f t="shared" si="0"/>
        <v>0</v>
      </c>
      <c r="G16" s="59" t="s">
        <v>137</v>
      </c>
      <c r="H16" s="78">
        <v>22.57</v>
      </c>
      <c r="I16"/>
      <c r="J16"/>
      <c r="K16" s="8">
        <f t="shared" si="1"/>
        <v>0</v>
      </c>
      <c r="M16" s="59" t="s">
        <v>137</v>
      </c>
      <c r="N16" s="78">
        <v>21.71</v>
      </c>
      <c r="O16"/>
      <c r="P16"/>
      <c r="Q16" s="8">
        <f t="shared" si="2"/>
        <v>0</v>
      </c>
      <c r="S16" s="59" t="s">
        <v>137</v>
      </c>
      <c r="T16" s="78"/>
      <c r="U16" s="78"/>
      <c r="V16"/>
      <c r="W16" s="8" t="e">
        <f t="shared" si="3"/>
        <v>#DIV/0!</v>
      </c>
      <c r="Y16" s="59" t="s">
        <v>137</v>
      </c>
      <c r="Z16" s="78"/>
      <c r="AA16"/>
      <c r="AB16"/>
      <c r="AC16" s="8" t="e">
        <f t="shared" si="4"/>
        <v>#DIV/0!</v>
      </c>
    </row>
    <row r="17" spans="1:29" x14ac:dyDescent="0.25">
      <c r="A17" s="59" t="s">
        <v>220</v>
      </c>
      <c r="B17" s="78">
        <v>8877.76</v>
      </c>
      <c r="C17" s="290"/>
      <c r="D17"/>
      <c r="E17" s="8">
        <f t="shared" si="0"/>
        <v>0</v>
      </c>
      <c r="G17" s="59" t="s">
        <v>138</v>
      </c>
      <c r="H17" s="78">
        <v>10210.280000000001</v>
      </c>
      <c r="I17"/>
      <c r="J17"/>
      <c r="K17" s="8">
        <f t="shared" si="1"/>
        <v>0</v>
      </c>
      <c r="M17" s="59" t="s">
        <v>138</v>
      </c>
      <c r="N17" s="78">
        <v>11309.81</v>
      </c>
      <c r="O17"/>
      <c r="P17"/>
      <c r="Q17" s="8">
        <f t="shared" si="2"/>
        <v>0</v>
      </c>
      <c r="S17" s="59" t="s">
        <v>138</v>
      </c>
      <c r="T17" s="78"/>
      <c r="U17" s="78"/>
      <c r="V17"/>
      <c r="W17" s="8" t="e">
        <f t="shared" si="3"/>
        <v>#DIV/0!</v>
      </c>
      <c r="Y17" s="59" t="s">
        <v>138</v>
      </c>
      <c r="Z17" s="78"/>
      <c r="AA17"/>
      <c r="AB17"/>
      <c r="AC17" s="8" t="e">
        <f t="shared" si="4"/>
        <v>#DIV/0!</v>
      </c>
    </row>
    <row r="18" spans="1:29" x14ac:dyDescent="0.25">
      <c r="A18" s="59" t="s">
        <v>221</v>
      </c>
      <c r="B18" s="78">
        <v>21.08</v>
      </c>
      <c r="C18" s="290"/>
      <c r="D18"/>
      <c r="E18" s="8"/>
      <c r="G18" s="59" t="s">
        <v>139</v>
      </c>
      <c r="H18" s="78">
        <v>44.64</v>
      </c>
      <c r="I18"/>
      <c r="J18"/>
      <c r="K18" s="8"/>
      <c r="M18" s="59" t="s">
        <v>139</v>
      </c>
      <c r="N18" s="78">
        <v>14.12</v>
      </c>
      <c r="O18"/>
      <c r="P18"/>
      <c r="Q18" s="8"/>
      <c r="S18" s="59" t="s">
        <v>139</v>
      </c>
      <c r="T18" s="78"/>
      <c r="U18" s="78"/>
      <c r="V18"/>
      <c r="W18" s="8"/>
      <c r="Y18" s="59" t="s">
        <v>139</v>
      </c>
      <c r="Z18" s="78"/>
      <c r="AA18"/>
      <c r="AB18"/>
      <c r="AC18" s="8"/>
    </row>
    <row r="19" spans="1:29" x14ac:dyDescent="0.25">
      <c r="A19" s="59" t="s">
        <v>222</v>
      </c>
      <c r="B19" s="78">
        <v>150.024576</v>
      </c>
      <c r="C19" s="290"/>
      <c r="D19"/>
      <c r="E19" s="8"/>
      <c r="G19" s="59" t="s">
        <v>62</v>
      </c>
      <c r="H19" s="78">
        <v>138.012888</v>
      </c>
      <c r="I19"/>
      <c r="J19"/>
      <c r="K19" s="8"/>
      <c r="M19" s="59" t="s">
        <v>62</v>
      </c>
      <c r="N19" s="78">
        <v>156.76596000000001</v>
      </c>
      <c r="O19"/>
      <c r="P19"/>
      <c r="Q19" s="8"/>
      <c r="S19" s="59" t="s">
        <v>62</v>
      </c>
      <c r="T19" s="78"/>
      <c r="U19" s="78"/>
      <c r="V19"/>
      <c r="W19" s="8"/>
      <c r="Y19" s="59" t="s">
        <v>62</v>
      </c>
      <c r="Z19" s="78"/>
      <c r="AA19"/>
      <c r="AB19"/>
      <c r="AC19" s="8"/>
    </row>
    <row r="20" spans="1:29" x14ac:dyDescent="0.25">
      <c r="A20" s="59" t="s">
        <v>223</v>
      </c>
      <c r="B20" s="78">
        <v>12.2</v>
      </c>
      <c r="C20" s="290"/>
      <c r="D20"/>
      <c r="E20" s="8"/>
      <c r="G20" s="59" t="s">
        <v>140</v>
      </c>
      <c r="H20" s="78">
        <v>20.13</v>
      </c>
      <c r="I20"/>
      <c r="J20"/>
      <c r="K20" s="8"/>
      <c r="M20" s="59" t="s">
        <v>140</v>
      </c>
      <c r="N20" s="78">
        <v>4.2699999999999996</v>
      </c>
      <c r="O20"/>
      <c r="P20"/>
      <c r="Q20" s="8"/>
      <c r="S20" s="59" t="s">
        <v>140</v>
      </c>
      <c r="T20" s="78"/>
      <c r="U20" s="78"/>
      <c r="V20"/>
      <c r="W20" s="8"/>
      <c r="Y20" s="59" t="s">
        <v>140</v>
      </c>
      <c r="Z20" s="78"/>
      <c r="AA20"/>
      <c r="AB20"/>
      <c r="AC20" s="8"/>
    </row>
    <row r="21" spans="1:29" x14ac:dyDescent="0.25">
      <c r="A21" s="59" t="s">
        <v>224</v>
      </c>
      <c r="B21" s="78">
        <v>1.86</v>
      </c>
      <c r="C21" s="290"/>
      <c r="D21"/>
      <c r="E21" s="8">
        <f t="shared" si="0"/>
        <v>0</v>
      </c>
      <c r="G21" s="59" t="s">
        <v>141</v>
      </c>
      <c r="H21" s="78">
        <v>0.62</v>
      </c>
      <c r="I21"/>
      <c r="J21"/>
      <c r="K21" s="8">
        <f t="shared" si="1"/>
        <v>0</v>
      </c>
      <c r="M21" s="59" t="s">
        <v>141</v>
      </c>
      <c r="N21" s="78">
        <v>4.96</v>
      </c>
      <c r="O21"/>
      <c r="P21"/>
      <c r="Q21" s="8">
        <f t="shared" si="2"/>
        <v>0</v>
      </c>
      <c r="S21" s="59" t="s">
        <v>141</v>
      </c>
      <c r="T21" s="78"/>
      <c r="U21" s="78"/>
      <c r="V21"/>
      <c r="W21" s="8" t="e">
        <f t="shared" si="3"/>
        <v>#DIV/0!</v>
      </c>
      <c r="Y21" s="59" t="s">
        <v>141</v>
      </c>
      <c r="Z21" s="78"/>
      <c r="AA21"/>
      <c r="AB21"/>
      <c r="AC21" s="8" t="e">
        <f t="shared" si="4"/>
        <v>#DIV/0!</v>
      </c>
    </row>
    <row r="22" spans="1:29" x14ac:dyDescent="0.25">
      <c r="A22" s="59" t="s">
        <v>225</v>
      </c>
      <c r="B22" s="78">
        <v>51386.355818999997</v>
      </c>
      <c r="C22" s="290"/>
      <c r="D22"/>
      <c r="E22" s="8">
        <f t="shared" si="0"/>
        <v>0</v>
      </c>
      <c r="G22" s="59" t="s">
        <v>36</v>
      </c>
      <c r="H22" s="78">
        <v>51339.090016000002</v>
      </c>
      <c r="I22"/>
      <c r="J22"/>
      <c r="K22" s="8">
        <f t="shared" si="1"/>
        <v>0</v>
      </c>
      <c r="M22" s="59" t="s">
        <v>36</v>
      </c>
      <c r="N22" s="78">
        <v>52054.401287000001</v>
      </c>
      <c r="O22"/>
      <c r="P22"/>
      <c r="Q22" s="8">
        <f t="shared" si="2"/>
        <v>0</v>
      </c>
      <c r="S22" s="59" t="s">
        <v>36</v>
      </c>
      <c r="T22" s="78"/>
      <c r="U22" s="78"/>
      <c r="V22"/>
      <c r="W22" s="8" t="e">
        <f t="shared" si="3"/>
        <v>#DIV/0!</v>
      </c>
      <c r="Y22" s="59" t="s">
        <v>36</v>
      </c>
      <c r="Z22" s="78"/>
      <c r="AA22"/>
      <c r="AB22"/>
      <c r="AC22" s="8" t="e">
        <f t="shared" si="4"/>
        <v>#DIV/0!</v>
      </c>
    </row>
    <row r="23" spans="1:29" x14ac:dyDescent="0.25">
      <c r="A23" s="59" t="s">
        <v>226</v>
      </c>
      <c r="B23" s="78">
        <v>1.83</v>
      </c>
      <c r="C23" s="290"/>
      <c r="D23"/>
      <c r="E23" s="8">
        <f t="shared" si="0"/>
        <v>0</v>
      </c>
      <c r="G23" s="59" t="s">
        <v>142</v>
      </c>
      <c r="H23" s="78">
        <v>6.1</v>
      </c>
      <c r="I23"/>
      <c r="J23"/>
      <c r="K23" s="8">
        <f t="shared" si="1"/>
        <v>0</v>
      </c>
      <c r="M23" s="59" t="s">
        <v>142</v>
      </c>
      <c r="N23" s="78">
        <v>0</v>
      </c>
      <c r="O23"/>
      <c r="P23"/>
      <c r="Q23" s="8" t="e">
        <f t="shared" si="2"/>
        <v>#DIV/0!</v>
      </c>
      <c r="S23" s="59" t="s">
        <v>142</v>
      </c>
      <c r="T23" s="78"/>
      <c r="U23" s="78"/>
      <c r="V23"/>
      <c r="W23" s="8" t="e">
        <f t="shared" si="3"/>
        <v>#DIV/0!</v>
      </c>
      <c r="Y23" s="59" t="s">
        <v>142</v>
      </c>
      <c r="Z23" s="78"/>
      <c r="AA23"/>
      <c r="AB23"/>
      <c r="AC23" s="8" t="e">
        <f t="shared" si="4"/>
        <v>#DIV/0!</v>
      </c>
    </row>
    <row r="24" spans="1:29" x14ac:dyDescent="0.25">
      <c r="A24" s="59" t="s">
        <v>227</v>
      </c>
      <c r="B24" s="78">
        <v>21.53</v>
      </c>
      <c r="C24" s="290"/>
      <c r="D24"/>
      <c r="E24" s="8">
        <f t="shared" si="0"/>
        <v>0</v>
      </c>
      <c r="G24" s="59" t="s">
        <v>143</v>
      </c>
      <c r="H24" s="78">
        <v>29.28</v>
      </c>
      <c r="I24"/>
      <c r="J24"/>
      <c r="K24" s="8">
        <f t="shared" si="1"/>
        <v>0</v>
      </c>
      <c r="M24" s="59" t="s">
        <v>143</v>
      </c>
      <c r="N24" s="78">
        <v>17.079999999999998</v>
      </c>
      <c r="O24"/>
      <c r="P24"/>
      <c r="Q24" s="8">
        <f t="shared" si="2"/>
        <v>0</v>
      </c>
      <c r="S24" s="59" t="s">
        <v>143</v>
      </c>
      <c r="T24" s="78"/>
      <c r="U24" s="78"/>
      <c r="V24"/>
      <c r="W24" s="8" t="e">
        <f t="shared" si="3"/>
        <v>#DIV/0!</v>
      </c>
      <c r="Y24" s="59" t="s">
        <v>143</v>
      </c>
      <c r="Z24" s="78"/>
      <c r="AA24"/>
      <c r="AB24"/>
      <c r="AC24" s="8" t="e">
        <f t="shared" si="4"/>
        <v>#DIV/0!</v>
      </c>
    </row>
    <row r="25" spans="1:29" x14ac:dyDescent="0.25">
      <c r="A25" s="59" t="s">
        <v>228</v>
      </c>
      <c r="B25" s="78">
        <v>3023.27</v>
      </c>
      <c r="C25" s="290"/>
      <c r="D25"/>
      <c r="E25" s="8">
        <f t="shared" si="0"/>
        <v>0</v>
      </c>
      <c r="G25" s="59" t="s">
        <v>144</v>
      </c>
      <c r="H25" s="78">
        <v>2755.02</v>
      </c>
      <c r="I25"/>
      <c r="J25"/>
      <c r="K25" s="8">
        <f t="shared" si="1"/>
        <v>0</v>
      </c>
      <c r="M25" s="59" t="s">
        <v>144</v>
      </c>
      <c r="N25" s="78">
        <v>2715.87</v>
      </c>
      <c r="O25"/>
      <c r="P25"/>
      <c r="Q25" s="8">
        <f t="shared" si="2"/>
        <v>0</v>
      </c>
      <c r="S25" s="59" t="s">
        <v>144</v>
      </c>
      <c r="T25" s="78"/>
      <c r="U25" s="78"/>
      <c r="V25"/>
      <c r="W25" s="8" t="e">
        <f t="shared" si="3"/>
        <v>#DIV/0!</v>
      </c>
      <c r="Y25" s="59" t="s">
        <v>144</v>
      </c>
      <c r="Z25" s="78"/>
      <c r="AA25"/>
      <c r="AB25"/>
      <c r="AC25" s="8" t="e">
        <f t="shared" si="4"/>
        <v>#DIV/0!</v>
      </c>
    </row>
    <row r="26" spans="1:29" x14ac:dyDescent="0.25">
      <c r="A26" s="59" t="s">
        <v>229</v>
      </c>
      <c r="B26" s="78">
        <v>1768.22</v>
      </c>
      <c r="C26" s="290"/>
      <c r="D26"/>
      <c r="E26" s="8"/>
      <c r="G26" s="59" t="s">
        <v>145</v>
      </c>
      <c r="H26" s="78">
        <v>1690.28</v>
      </c>
      <c r="I26"/>
      <c r="J26"/>
      <c r="K26" s="8"/>
      <c r="M26" s="59" t="s">
        <v>145</v>
      </c>
      <c r="N26" s="78">
        <v>1838.54</v>
      </c>
      <c r="O26"/>
      <c r="P26"/>
      <c r="Q26" s="8"/>
      <c r="S26" s="59" t="s">
        <v>145</v>
      </c>
      <c r="T26" s="78"/>
      <c r="U26" s="78"/>
      <c r="V26"/>
      <c r="W26" s="8"/>
      <c r="Y26" s="59" t="s">
        <v>145</v>
      </c>
      <c r="Z26" s="78"/>
      <c r="AA26"/>
      <c r="AB26"/>
      <c r="AC26" s="8"/>
    </row>
    <row r="27" spans="1:29" x14ac:dyDescent="0.25">
      <c r="A27" s="59" t="s">
        <v>230</v>
      </c>
      <c r="B27" s="78">
        <v>406.26</v>
      </c>
      <c r="C27" s="290"/>
      <c r="D27"/>
      <c r="E27" s="8"/>
      <c r="G27" s="59" t="s">
        <v>146</v>
      </c>
      <c r="H27" s="78">
        <v>452.19</v>
      </c>
      <c r="I27"/>
      <c r="J27"/>
      <c r="K27" s="8"/>
      <c r="M27" s="59" t="s">
        <v>146</v>
      </c>
      <c r="N27" s="78">
        <v>523.45000000000005</v>
      </c>
      <c r="O27"/>
      <c r="P27"/>
      <c r="Q27" s="8"/>
      <c r="S27" s="59" t="s">
        <v>146</v>
      </c>
      <c r="T27" s="78"/>
      <c r="U27" s="78"/>
      <c r="V27"/>
      <c r="W27" s="8"/>
      <c r="Y27" s="59" t="s">
        <v>146</v>
      </c>
      <c r="Z27" s="78"/>
      <c r="AA27"/>
      <c r="AB27"/>
      <c r="AC27" s="8"/>
    </row>
    <row r="28" spans="1:29" x14ac:dyDescent="0.25">
      <c r="A28" s="88" t="s">
        <v>231</v>
      </c>
      <c r="B28" s="78">
        <v>170.12080800000001</v>
      </c>
      <c r="C28" s="290"/>
      <c r="D28"/>
      <c r="E28" s="8"/>
      <c r="G28" s="88" t="s">
        <v>61</v>
      </c>
      <c r="H28" s="78">
        <v>159.989544</v>
      </c>
      <c r="I28"/>
      <c r="J28"/>
      <c r="K28" s="8"/>
      <c r="M28" s="88" t="s">
        <v>61</v>
      </c>
      <c r="N28" s="78">
        <v>109.256472</v>
      </c>
      <c r="O28"/>
      <c r="P28"/>
      <c r="Q28" s="8"/>
      <c r="S28" s="88" t="s">
        <v>61</v>
      </c>
      <c r="T28" s="78"/>
      <c r="U28" s="78"/>
      <c r="V28"/>
      <c r="W28" s="8"/>
      <c r="Y28" s="88" t="s">
        <v>61</v>
      </c>
      <c r="Z28" s="78"/>
      <c r="AA28"/>
      <c r="AB28"/>
      <c r="AC28" s="8"/>
    </row>
    <row r="29" spans="1:29" x14ac:dyDescent="0.25">
      <c r="A29" s="59" t="s">
        <v>232</v>
      </c>
      <c r="B29" s="78">
        <v>791.59454400000004</v>
      </c>
      <c r="C29" s="290"/>
      <c r="D29"/>
      <c r="E29" s="8">
        <f t="shared" si="0"/>
        <v>0</v>
      </c>
      <c r="G29" s="59" t="s">
        <v>60</v>
      </c>
      <c r="H29" s="78">
        <v>787.48831199999995</v>
      </c>
      <c r="I29"/>
      <c r="J29"/>
      <c r="K29" s="8">
        <f t="shared" si="1"/>
        <v>0</v>
      </c>
      <c r="M29" s="59" t="s">
        <v>60</v>
      </c>
      <c r="N29" s="78">
        <v>705.453216</v>
      </c>
      <c r="O29"/>
      <c r="P29"/>
      <c r="Q29" s="8">
        <f t="shared" si="2"/>
        <v>0</v>
      </c>
      <c r="S29" s="59" t="s">
        <v>60</v>
      </c>
      <c r="T29" s="78"/>
      <c r="U29" s="78"/>
      <c r="V29"/>
      <c r="W29" s="8" t="e">
        <f t="shared" si="3"/>
        <v>#DIV/0!</v>
      </c>
      <c r="Y29" s="59" t="s">
        <v>60</v>
      </c>
      <c r="Z29" s="78"/>
      <c r="AA29"/>
      <c r="AB29"/>
      <c r="AC29" s="8" t="e">
        <f t="shared" si="4"/>
        <v>#DIV/0!</v>
      </c>
    </row>
    <row r="30" spans="1:29" x14ac:dyDescent="0.25">
      <c r="A30" s="59" t="s">
        <v>233</v>
      </c>
      <c r="B30" s="78">
        <v>9141.086448</v>
      </c>
      <c r="C30" s="290"/>
      <c r="D30"/>
      <c r="E30" s="8">
        <f t="shared" si="0"/>
        <v>0</v>
      </c>
      <c r="G30" s="59" t="s">
        <v>37</v>
      </c>
      <c r="H30" s="78">
        <v>6907.3090320000001</v>
      </c>
      <c r="I30"/>
      <c r="J30"/>
      <c r="K30" s="8">
        <f t="shared" si="1"/>
        <v>0</v>
      </c>
      <c r="M30" s="59" t="s">
        <v>37</v>
      </c>
      <c r="N30" s="78">
        <v>5401.5882959999999</v>
      </c>
      <c r="O30"/>
      <c r="P30"/>
      <c r="Q30" s="8">
        <f t="shared" si="2"/>
        <v>0</v>
      </c>
      <c r="S30" s="59" t="s">
        <v>37</v>
      </c>
      <c r="T30" s="78"/>
      <c r="U30" s="78"/>
      <c r="V30"/>
      <c r="W30" s="8" t="e">
        <f t="shared" si="3"/>
        <v>#DIV/0!</v>
      </c>
      <c r="Y30" s="59" t="s">
        <v>37</v>
      </c>
      <c r="Z30" s="78"/>
      <c r="AA30"/>
      <c r="AB30"/>
      <c r="AC30" s="8" t="e">
        <f t="shared" si="4"/>
        <v>#DIV/0!</v>
      </c>
    </row>
    <row r="31" spans="1:29" x14ac:dyDescent="0.25">
      <c r="A31" s="59" t="s">
        <v>234</v>
      </c>
      <c r="B31" s="78"/>
      <c r="C31" s="290"/>
      <c r="D31"/>
      <c r="E31" s="8" t="e">
        <f t="shared" si="0"/>
        <v>#DIV/0!</v>
      </c>
      <c r="G31" s="59" t="s">
        <v>147</v>
      </c>
      <c r="H31" s="78">
        <v>0.61</v>
      </c>
      <c r="I31"/>
      <c r="J31"/>
      <c r="K31" s="8">
        <f t="shared" si="1"/>
        <v>0</v>
      </c>
      <c r="M31" s="59" t="s">
        <v>147</v>
      </c>
      <c r="N31" s="78">
        <v>1.83</v>
      </c>
      <c r="O31"/>
      <c r="P31"/>
      <c r="Q31" s="8">
        <f t="shared" si="2"/>
        <v>0</v>
      </c>
      <c r="S31" s="59" t="s">
        <v>147</v>
      </c>
      <c r="T31" s="78"/>
      <c r="U31" s="78"/>
      <c r="V31"/>
      <c r="W31" s="8" t="e">
        <f t="shared" si="3"/>
        <v>#DIV/0!</v>
      </c>
      <c r="Y31" s="59" t="s">
        <v>147</v>
      </c>
      <c r="Z31" s="78"/>
      <c r="AA31"/>
      <c r="AB31"/>
      <c r="AC31" s="8" t="e">
        <f t="shared" si="4"/>
        <v>#DIV/0!</v>
      </c>
    </row>
    <row r="32" spans="1:29" x14ac:dyDescent="0.25">
      <c r="A32" s="59" t="s">
        <v>235</v>
      </c>
      <c r="B32" s="78">
        <v>198.97</v>
      </c>
      <c r="C32" s="290"/>
      <c r="D32"/>
      <c r="E32" s="8">
        <f t="shared" si="0"/>
        <v>0</v>
      </c>
      <c r="G32" s="59" t="s">
        <v>148</v>
      </c>
      <c r="H32" s="78">
        <v>265.89</v>
      </c>
      <c r="I32"/>
      <c r="J32"/>
      <c r="K32" s="8">
        <f t="shared" si="1"/>
        <v>0</v>
      </c>
      <c r="M32" s="59" t="s">
        <v>148</v>
      </c>
      <c r="N32" s="78">
        <v>288.91000000000003</v>
      </c>
      <c r="O32"/>
      <c r="P32"/>
      <c r="Q32" s="8">
        <f t="shared" si="2"/>
        <v>0</v>
      </c>
      <c r="S32" s="59" t="s">
        <v>148</v>
      </c>
      <c r="T32" s="78"/>
      <c r="U32" s="78"/>
      <c r="V32"/>
      <c r="W32" s="8" t="e">
        <f t="shared" si="3"/>
        <v>#DIV/0!</v>
      </c>
      <c r="Y32" s="59" t="s">
        <v>148</v>
      </c>
      <c r="Z32" s="78"/>
      <c r="AA32"/>
      <c r="AB32"/>
      <c r="AC32" s="8" t="e">
        <f t="shared" si="4"/>
        <v>#DIV/0!</v>
      </c>
    </row>
    <row r="33" spans="1:29" x14ac:dyDescent="0.25">
      <c r="A33" s="88" t="s">
        <v>236</v>
      </c>
      <c r="B33" s="78">
        <v>459.4</v>
      </c>
      <c r="C33" s="290"/>
      <c r="D33"/>
      <c r="E33" s="8"/>
      <c r="G33" s="88" t="s">
        <v>149</v>
      </c>
      <c r="H33" s="78">
        <v>480.79</v>
      </c>
      <c r="I33"/>
      <c r="J33"/>
      <c r="K33" s="8"/>
      <c r="M33" s="88" t="s">
        <v>149</v>
      </c>
      <c r="N33" s="78">
        <v>540.82000000000005</v>
      </c>
      <c r="O33"/>
      <c r="P33"/>
      <c r="Q33" s="8"/>
      <c r="S33" s="88" t="s">
        <v>149</v>
      </c>
      <c r="T33" s="78"/>
      <c r="U33" s="78"/>
      <c r="V33"/>
      <c r="W33" s="8"/>
      <c r="Y33" s="88" t="s">
        <v>149</v>
      </c>
      <c r="Z33" s="78"/>
      <c r="AA33"/>
      <c r="AB33"/>
      <c r="AC33" s="8"/>
    </row>
    <row r="34" spans="1:29" x14ac:dyDescent="0.25">
      <c r="A34" s="59" t="s">
        <v>237</v>
      </c>
      <c r="B34" s="78">
        <v>49.16</v>
      </c>
      <c r="C34" s="290"/>
      <c r="D34"/>
      <c r="E34" s="8">
        <f t="shared" si="0"/>
        <v>0</v>
      </c>
      <c r="G34" s="59" t="s">
        <v>150</v>
      </c>
      <c r="H34" s="78">
        <v>65.31</v>
      </c>
      <c r="I34"/>
      <c r="J34"/>
      <c r="K34" s="8">
        <f t="shared" si="1"/>
        <v>0</v>
      </c>
      <c r="M34" s="59" t="s">
        <v>150</v>
      </c>
      <c r="N34" s="78">
        <v>107.97</v>
      </c>
      <c r="O34"/>
      <c r="P34"/>
      <c r="Q34" s="8">
        <f t="shared" si="2"/>
        <v>0</v>
      </c>
      <c r="S34" s="59" t="s">
        <v>150</v>
      </c>
      <c r="T34" s="78"/>
      <c r="U34" s="78"/>
      <c r="V34"/>
      <c r="W34" s="8" t="e">
        <f t="shared" si="3"/>
        <v>#DIV/0!</v>
      </c>
      <c r="Y34" s="59" t="s">
        <v>150</v>
      </c>
      <c r="Z34" s="78"/>
      <c r="AA34"/>
      <c r="AB34"/>
      <c r="AC34" s="8" t="e">
        <f t="shared" si="4"/>
        <v>#DIV/0!</v>
      </c>
    </row>
    <row r="35" spans="1:29" x14ac:dyDescent="0.25">
      <c r="A35" s="59" t="s">
        <v>238</v>
      </c>
      <c r="B35" s="78">
        <v>201.80659199999999</v>
      </c>
      <c r="C35" s="290"/>
      <c r="D35"/>
      <c r="E35" s="8">
        <f t="shared" si="0"/>
        <v>0</v>
      </c>
      <c r="G35" s="59" t="s">
        <v>59</v>
      </c>
      <c r="H35" s="78">
        <v>108.23311200000001</v>
      </c>
      <c r="I35"/>
      <c r="J35"/>
      <c r="K35" s="8">
        <f t="shared" si="1"/>
        <v>0</v>
      </c>
      <c r="M35" s="59" t="s">
        <v>59</v>
      </c>
      <c r="N35" s="78">
        <v>127.13968800000001</v>
      </c>
      <c r="O35"/>
      <c r="P35"/>
      <c r="Q35" s="8">
        <f t="shared" si="2"/>
        <v>0</v>
      </c>
      <c r="S35" s="59" t="s">
        <v>59</v>
      </c>
      <c r="T35" s="78"/>
      <c r="U35" s="78"/>
      <c r="V35"/>
      <c r="W35" s="8" t="e">
        <f t="shared" si="3"/>
        <v>#DIV/0!</v>
      </c>
      <c r="Y35" s="59" t="s">
        <v>59</v>
      </c>
      <c r="Z35" s="78"/>
      <c r="AA35"/>
      <c r="AB35"/>
      <c r="AC35" s="8" t="e">
        <f t="shared" si="4"/>
        <v>#DIV/0!</v>
      </c>
    </row>
    <row r="36" spans="1:29" x14ac:dyDescent="0.25">
      <c r="A36" s="59" t="s">
        <v>239</v>
      </c>
      <c r="B36" s="78">
        <v>1.83</v>
      </c>
      <c r="C36" s="290"/>
      <c r="D36"/>
      <c r="E36" s="8">
        <f t="shared" si="0"/>
        <v>0</v>
      </c>
      <c r="G36" s="59" t="s">
        <v>151</v>
      </c>
      <c r="H36" s="78"/>
      <c r="I36"/>
      <c r="J36"/>
      <c r="K36" s="8" t="e">
        <f t="shared" si="1"/>
        <v>#DIV/0!</v>
      </c>
      <c r="M36" s="59" t="s">
        <v>151</v>
      </c>
      <c r="N36" s="78">
        <v>1.22</v>
      </c>
      <c r="O36"/>
      <c r="P36"/>
      <c r="Q36" s="8">
        <f t="shared" si="2"/>
        <v>0</v>
      </c>
      <c r="S36" s="59" t="s">
        <v>151</v>
      </c>
      <c r="T36" s="78"/>
      <c r="U36" s="78"/>
      <c r="V36"/>
      <c r="W36" s="8" t="e">
        <f t="shared" si="3"/>
        <v>#DIV/0!</v>
      </c>
      <c r="Y36" s="59" t="s">
        <v>151</v>
      </c>
      <c r="Z36" s="78"/>
      <c r="AA36"/>
      <c r="AB36"/>
      <c r="AC36" s="8" t="e">
        <f t="shared" si="4"/>
        <v>#DIV/0!</v>
      </c>
    </row>
    <row r="37" spans="1:29" x14ac:dyDescent="0.25">
      <c r="A37" s="59" t="s">
        <v>240</v>
      </c>
      <c r="B37" s="78">
        <v>912.55569600000001</v>
      </c>
      <c r="C37" s="290"/>
      <c r="D37"/>
      <c r="E37" s="8"/>
      <c r="G37" s="59" t="s">
        <v>38</v>
      </c>
      <c r="H37" s="78">
        <v>942.29709600000001</v>
      </c>
      <c r="I37"/>
      <c r="J37"/>
      <c r="K37" s="8"/>
      <c r="M37" s="59" t="s">
        <v>38</v>
      </c>
      <c r="N37" s="78">
        <v>801.78976799999998</v>
      </c>
      <c r="O37"/>
      <c r="P37"/>
      <c r="Q37" s="8"/>
      <c r="S37" s="59" t="s">
        <v>38</v>
      </c>
      <c r="T37" s="78"/>
      <c r="U37" s="78"/>
      <c r="V37"/>
      <c r="W37" s="8"/>
      <c r="Y37" s="59" t="s">
        <v>38</v>
      </c>
      <c r="Z37" s="78"/>
      <c r="AA37"/>
      <c r="AB37"/>
      <c r="AC37" s="8"/>
    </row>
    <row r="38" spans="1:29" x14ac:dyDescent="0.25">
      <c r="A38" s="88" t="s">
        <v>241</v>
      </c>
      <c r="B38" s="78">
        <v>26143.611624000001</v>
      </c>
      <c r="C38" s="290"/>
      <c r="D38"/>
      <c r="E38" s="8"/>
      <c r="G38" s="88" t="s">
        <v>39</v>
      </c>
      <c r="H38" s="78">
        <v>24289.641479999998</v>
      </c>
      <c r="I38"/>
      <c r="J38"/>
      <c r="K38" s="8"/>
      <c r="M38" s="88" t="s">
        <v>39</v>
      </c>
      <c r="N38" s="78">
        <v>21979.815623999999</v>
      </c>
      <c r="O38"/>
      <c r="P38"/>
      <c r="Q38" s="8"/>
      <c r="S38" s="88" t="s">
        <v>39</v>
      </c>
      <c r="T38" s="78"/>
      <c r="U38" s="78"/>
      <c r="V38"/>
      <c r="W38" s="8"/>
      <c r="Y38" s="88" t="s">
        <v>39</v>
      </c>
      <c r="Z38" s="78"/>
      <c r="AA38"/>
      <c r="AB38"/>
      <c r="AC38" s="8"/>
    </row>
    <row r="39" spans="1:29" x14ac:dyDescent="0.25">
      <c r="A39" s="59" t="s">
        <v>242</v>
      </c>
      <c r="B39" s="78"/>
      <c r="C39" s="290"/>
      <c r="D39"/>
      <c r="E39" s="8" t="e">
        <f t="shared" si="0"/>
        <v>#DIV/0!</v>
      </c>
      <c r="G39" s="59" t="s">
        <v>152</v>
      </c>
      <c r="H39" s="78"/>
      <c r="I39"/>
      <c r="J39"/>
      <c r="K39" s="8" t="e">
        <f t="shared" si="1"/>
        <v>#DIV/0!</v>
      </c>
      <c r="M39" s="59" t="s">
        <v>152</v>
      </c>
      <c r="N39" s="78">
        <v>0</v>
      </c>
      <c r="O39"/>
      <c r="P39"/>
      <c r="Q39" s="8" t="e">
        <f t="shared" si="2"/>
        <v>#DIV/0!</v>
      </c>
      <c r="S39" s="59" t="s">
        <v>152</v>
      </c>
      <c r="T39" s="78"/>
      <c r="U39" s="78"/>
      <c r="V39"/>
      <c r="W39" s="8" t="e">
        <f t="shared" si="3"/>
        <v>#DIV/0!</v>
      </c>
      <c r="Y39" s="59" t="s">
        <v>152</v>
      </c>
      <c r="Z39" s="78"/>
      <c r="AA39"/>
      <c r="AB39"/>
      <c r="AC39" s="8" t="e">
        <f t="shared" si="4"/>
        <v>#DIV/0!</v>
      </c>
    </row>
    <row r="40" spans="1:29" x14ac:dyDescent="0.25">
      <c r="A40" s="88" t="s">
        <v>243</v>
      </c>
      <c r="B40" s="78">
        <v>36560.636112</v>
      </c>
      <c r="C40" s="290"/>
      <c r="D40"/>
      <c r="E40" s="8">
        <f t="shared" si="0"/>
        <v>0</v>
      </c>
      <c r="G40" s="88" t="s">
        <v>40</v>
      </c>
      <c r="H40" s="78">
        <v>32371.703831999999</v>
      </c>
      <c r="I40"/>
      <c r="J40"/>
      <c r="K40" s="8">
        <f t="shared" si="1"/>
        <v>0</v>
      </c>
      <c r="M40" s="88" t="s">
        <v>40</v>
      </c>
      <c r="N40" s="78">
        <v>33611.312592000002</v>
      </c>
      <c r="O40"/>
      <c r="P40"/>
      <c r="Q40" s="8">
        <f t="shared" si="2"/>
        <v>0</v>
      </c>
      <c r="S40" s="88" t="s">
        <v>40</v>
      </c>
      <c r="T40" s="78"/>
      <c r="U40" s="78"/>
      <c r="V40"/>
      <c r="W40" s="8" t="e">
        <f t="shared" si="3"/>
        <v>#DIV/0!</v>
      </c>
      <c r="Y40" s="88" t="s">
        <v>40</v>
      </c>
      <c r="Z40" s="78"/>
      <c r="AA40"/>
      <c r="AB40"/>
      <c r="AC40" s="8" t="e">
        <f t="shared" si="4"/>
        <v>#DIV/0!</v>
      </c>
    </row>
    <row r="41" spans="1:29" x14ac:dyDescent="0.25">
      <c r="A41" s="59" t="s">
        <v>244</v>
      </c>
      <c r="B41" s="78">
        <v>8.5399999999999991</v>
      </c>
      <c r="C41" s="290"/>
      <c r="D41"/>
      <c r="E41" s="8">
        <f t="shared" si="0"/>
        <v>0</v>
      </c>
      <c r="G41" s="59" t="s">
        <v>153</v>
      </c>
      <c r="H41" s="78">
        <v>18.91</v>
      </c>
      <c r="I41"/>
      <c r="J41"/>
      <c r="K41" s="8">
        <f t="shared" si="1"/>
        <v>0</v>
      </c>
      <c r="M41" s="59" t="s">
        <v>153</v>
      </c>
      <c r="N41" s="78">
        <v>27.27</v>
      </c>
      <c r="O41"/>
      <c r="P41"/>
      <c r="Q41" s="8">
        <f t="shared" si="2"/>
        <v>0</v>
      </c>
      <c r="S41" s="59" t="s">
        <v>153</v>
      </c>
      <c r="T41" s="78"/>
      <c r="U41" s="78"/>
      <c r="V41"/>
      <c r="W41" s="8" t="e">
        <f t="shared" si="3"/>
        <v>#DIV/0!</v>
      </c>
      <c r="Y41" s="59" t="s">
        <v>153</v>
      </c>
      <c r="Z41" s="78"/>
      <c r="AA41"/>
      <c r="AB41"/>
      <c r="AC41" s="8" t="e">
        <f t="shared" si="4"/>
        <v>#DIV/0!</v>
      </c>
    </row>
    <row r="42" spans="1:29" ht="16.5" customHeight="1" x14ac:dyDescent="0.25">
      <c r="A42" s="59" t="s">
        <v>245</v>
      </c>
      <c r="B42" s="78">
        <v>1162.421832</v>
      </c>
      <c r="C42" s="290"/>
      <c r="D42"/>
      <c r="E42" s="8">
        <f t="shared" si="0"/>
        <v>0</v>
      </c>
      <c r="G42" s="59" t="s">
        <v>41</v>
      </c>
      <c r="H42" s="78">
        <v>1262.404104</v>
      </c>
      <c r="I42"/>
      <c r="J42"/>
      <c r="K42" s="8">
        <f t="shared" si="1"/>
        <v>0</v>
      </c>
      <c r="M42" s="59" t="s">
        <v>41</v>
      </c>
      <c r="N42" s="78">
        <v>1123.0096799999999</v>
      </c>
      <c r="O42"/>
      <c r="P42"/>
      <c r="Q42" s="8">
        <f t="shared" si="2"/>
        <v>0</v>
      </c>
      <c r="S42" s="59" t="s">
        <v>41</v>
      </c>
      <c r="T42" s="78"/>
      <c r="U42" s="78"/>
      <c r="V42"/>
      <c r="W42" s="8" t="e">
        <f t="shared" si="3"/>
        <v>#DIV/0!</v>
      </c>
      <c r="Y42" s="59" t="s">
        <v>41</v>
      </c>
      <c r="Z42" s="78"/>
      <c r="AA42"/>
      <c r="AB42"/>
      <c r="AC42" s="8" t="e">
        <f t="shared" si="4"/>
        <v>#DIV/0!</v>
      </c>
    </row>
    <row r="43" spans="1:29" ht="16.5" customHeight="1" x14ac:dyDescent="0.25">
      <c r="A43" s="59" t="s">
        <v>246</v>
      </c>
      <c r="B43" s="78">
        <v>0.61</v>
      </c>
      <c r="C43" s="290"/>
      <c r="D43"/>
      <c r="E43" s="8"/>
      <c r="G43" s="59" t="s">
        <v>154</v>
      </c>
      <c r="H43" s="78">
        <v>2.44</v>
      </c>
      <c r="I43"/>
      <c r="J43"/>
      <c r="K43" s="8"/>
      <c r="M43" s="59" t="s">
        <v>154</v>
      </c>
      <c r="N43" s="78">
        <v>0</v>
      </c>
      <c r="O43"/>
      <c r="P43"/>
      <c r="Q43" s="8"/>
      <c r="S43" s="59" t="s">
        <v>154</v>
      </c>
      <c r="T43" s="78"/>
      <c r="U43" s="78"/>
      <c r="V43"/>
      <c r="W43" s="8"/>
      <c r="Y43" s="59" t="s">
        <v>154</v>
      </c>
      <c r="Z43" s="78"/>
      <c r="AA43"/>
      <c r="AB43"/>
      <c r="AC43" s="8"/>
    </row>
    <row r="44" spans="1:29" x14ac:dyDescent="0.25">
      <c r="A44" s="59" t="s">
        <v>247</v>
      </c>
      <c r="B44" s="78">
        <v>226.67</v>
      </c>
      <c r="C44" s="290"/>
      <c r="D44"/>
      <c r="E44" s="8">
        <f t="shared" si="0"/>
        <v>0</v>
      </c>
      <c r="G44" s="59" t="s">
        <v>155</v>
      </c>
      <c r="H44" s="78">
        <v>177.73</v>
      </c>
      <c r="I44"/>
      <c r="J44"/>
      <c r="K44" s="8">
        <f t="shared" si="1"/>
        <v>0</v>
      </c>
      <c r="M44" s="59" t="s">
        <v>155</v>
      </c>
      <c r="N44" s="78">
        <v>248.99</v>
      </c>
      <c r="O44"/>
      <c r="P44"/>
      <c r="Q44" s="8">
        <f t="shared" si="2"/>
        <v>0</v>
      </c>
      <c r="S44" s="59" t="s">
        <v>155</v>
      </c>
      <c r="T44" s="78"/>
      <c r="U44" s="78"/>
      <c r="V44"/>
      <c r="W44" s="8" t="e">
        <f t="shared" si="3"/>
        <v>#DIV/0!</v>
      </c>
      <c r="Y44" s="59" t="s">
        <v>155</v>
      </c>
      <c r="Z44" s="78"/>
      <c r="AA44"/>
      <c r="AB44"/>
      <c r="AC44" s="8" t="e">
        <f t="shared" si="4"/>
        <v>#DIV/0!</v>
      </c>
    </row>
    <row r="45" spans="1:29" x14ac:dyDescent="0.25">
      <c r="A45" s="59" t="s">
        <v>248</v>
      </c>
      <c r="B45" s="78"/>
      <c r="C45" s="290"/>
      <c r="D45"/>
      <c r="E45" s="8"/>
      <c r="G45" s="59" t="s">
        <v>156</v>
      </c>
      <c r="H45" s="78"/>
      <c r="I45"/>
      <c r="J45"/>
      <c r="K45" s="8"/>
      <c r="M45" s="59" t="s">
        <v>156</v>
      </c>
      <c r="N45" s="78">
        <v>0</v>
      </c>
      <c r="O45"/>
      <c r="P45"/>
      <c r="Q45" s="8"/>
      <c r="S45" s="59" t="s">
        <v>156</v>
      </c>
      <c r="T45" s="78"/>
      <c r="U45" s="78"/>
      <c r="V45"/>
      <c r="W45" s="8"/>
      <c r="Y45" s="59" t="s">
        <v>156</v>
      </c>
      <c r="Z45" s="78"/>
      <c r="AA45"/>
      <c r="AB45"/>
      <c r="AC45" s="8"/>
    </row>
    <row r="46" spans="1:29" x14ac:dyDescent="0.25">
      <c r="A46" s="59" t="s">
        <v>249</v>
      </c>
      <c r="B46" s="78">
        <v>75.03</v>
      </c>
      <c r="C46" s="290"/>
      <c r="D46"/>
      <c r="E46" s="8"/>
      <c r="G46" s="59" t="s">
        <v>157</v>
      </c>
      <c r="H46" s="78">
        <v>53.68</v>
      </c>
      <c r="I46"/>
      <c r="J46"/>
      <c r="K46" s="8"/>
      <c r="M46" s="59" t="s">
        <v>157</v>
      </c>
      <c r="N46" s="78">
        <v>125.23</v>
      </c>
      <c r="O46"/>
      <c r="P46"/>
      <c r="Q46" s="8"/>
      <c r="S46" s="59" t="s">
        <v>157</v>
      </c>
      <c r="T46" s="78"/>
      <c r="U46" s="78"/>
      <c r="V46"/>
      <c r="W46" s="8"/>
      <c r="Y46" s="59" t="s">
        <v>157</v>
      </c>
      <c r="Z46" s="78"/>
      <c r="AA46"/>
      <c r="AB46"/>
      <c r="AC46" s="8"/>
    </row>
    <row r="47" spans="1:29" x14ac:dyDescent="0.25">
      <c r="A47" s="59" t="s">
        <v>250</v>
      </c>
      <c r="B47" s="78">
        <v>839.01732500000003</v>
      </c>
      <c r="C47" s="290"/>
      <c r="D47"/>
      <c r="E47" s="8"/>
      <c r="G47" s="59" t="s">
        <v>158</v>
      </c>
      <c r="H47" s="78">
        <v>803.74252899999999</v>
      </c>
      <c r="I47"/>
      <c r="J47"/>
      <c r="K47" s="8"/>
      <c r="M47" s="59" t="s">
        <v>158</v>
      </c>
      <c r="N47" s="78">
        <v>630.60699899999997</v>
      </c>
      <c r="O47"/>
      <c r="P47"/>
      <c r="Q47" s="8"/>
      <c r="S47" s="59" t="s">
        <v>158</v>
      </c>
      <c r="T47" s="78"/>
      <c r="U47" s="78"/>
      <c r="V47"/>
      <c r="W47" s="8"/>
      <c r="Y47" s="59" t="s">
        <v>158</v>
      </c>
      <c r="Z47" s="78"/>
      <c r="AA47"/>
      <c r="AB47"/>
      <c r="AC47" s="8"/>
    </row>
    <row r="48" spans="1:29" x14ac:dyDescent="0.25">
      <c r="A48" s="88" t="s">
        <v>251</v>
      </c>
      <c r="B48" s="78">
        <v>402.05256000000003</v>
      </c>
      <c r="C48" s="290"/>
      <c r="D48"/>
      <c r="E48" s="8"/>
      <c r="G48" s="88" t="s">
        <v>58</v>
      </c>
      <c r="H48" s="78">
        <v>425.67938400000003</v>
      </c>
      <c r="I48"/>
      <c r="J48"/>
      <c r="K48" s="8"/>
      <c r="M48" s="88" t="s">
        <v>58</v>
      </c>
      <c r="N48" s="78">
        <v>405.12263999999999</v>
      </c>
      <c r="O48"/>
      <c r="P48"/>
      <c r="Q48" s="8"/>
      <c r="S48" s="88" t="s">
        <v>58</v>
      </c>
      <c r="T48" s="78"/>
      <c r="U48" s="78"/>
      <c r="V48"/>
      <c r="W48" s="8"/>
      <c r="Y48" s="88" t="s">
        <v>58</v>
      </c>
      <c r="Z48" s="78"/>
      <c r="AA48"/>
      <c r="AB48"/>
      <c r="AC48" s="8"/>
    </row>
    <row r="49" spans="1:29" x14ac:dyDescent="0.25">
      <c r="A49" s="59" t="s">
        <v>252</v>
      </c>
      <c r="B49" s="78">
        <v>1510.4469200000001</v>
      </c>
      <c r="C49" s="290"/>
      <c r="D49"/>
      <c r="E49" s="8">
        <f t="shared" si="0"/>
        <v>0</v>
      </c>
      <c r="G49" s="59" t="s">
        <v>159</v>
      </c>
      <c r="H49" s="78">
        <v>1516.4408060000001</v>
      </c>
      <c r="I49"/>
      <c r="J49"/>
      <c r="K49" s="8">
        <f t="shared" si="1"/>
        <v>0</v>
      </c>
      <c r="M49" s="59" t="s">
        <v>159</v>
      </c>
      <c r="N49" s="78">
        <v>1541.18487</v>
      </c>
      <c r="O49"/>
      <c r="P49"/>
      <c r="Q49" s="8">
        <f t="shared" si="2"/>
        <v>0</v>
      </c>
      <c r="S49" s="59" t="s">
        <v>159</v>
      </c>
      <c r="T49" s="78"/>
      <c r="U49" s="78"/>
      <c r="V49"/>
      <c r="W49" s="8" t="e">
        <f t="shared" si="3"/>
        <v>#DIV/0!</v>
      </c>
      <c r="Y49" s="59" t="s">
        <v>159</v>
      </c>
      <c r="Z49" s="78"/>
      <c r="AA49"/>
      <c r="AB49"/>
      <c r="AC49" s="8" t="e">
        <f t="shared" si="4"/>
        <v>#DIV/0!</v>
      </c>
    </row>
    <row r="50" spans="1:29" x14ac:dyDescent="0.25">
      <c r="A50" s="59" t="s">
        <v>253</v>
      </c>
      <c r="B50" s="78">
        <v>898.27599999999995</v>
      </c>
      <c r="C50" s="290"/>
      <c r="D50"/>
      <c r="E50" s="8">
        <f t="shared" si="0"/>
        <v>0</v>
      </c>
      <c r="G50" s="59" t="s">
        <v>160</v>
      </c>
      <c r="H50" s="78">
        <v>858.52599999999995</v>
      </c>
      <c r="I50"/>
      <c r="J50"/>
      <c r="K50" s="8">
        <f t="shared" si="1"/>
        <v>0</v>
      </c>
      <c r="M50" s="59" t="s">
        <v>160</v>
      </c>
      <c r="N50" s="78">
        <v>939.99599999999998</v>
      </c>
      <c r="O50"/>
      <c r="P50"/>
      <c r="Q50" s="8">
        <f t="shared" si="2"/>
        <v>0</v>
      </c>
      <c r="S50" s="59" t="s">
        <v>160</v>
      </c>
      <c r="T50" s="78"/>
      <c r="U50" s="78"/>
      <c r="V50"/>
      <c r="W50" s="8" t="e">
        <f t="shared" si="3"/>
        <v>#DIV/0!</v>
      </c>
      <c r="Y50" s="59" t="s">
        <v>160</v>
      </c>
      <c r="Z50" s="78"/>
      <c r="AA50"/>
      <c r="AB50"/>
      <c r="AC50" s="8" t="e">
        <f t="shared" si="4"/>
        <v>#DIV/0!</v>
      </c>
    </row>
    <row r="51" spans="1:29" x14ac:dyDescent="0.25">
      <c r="A51" s="59" t="s">
        <v>254</v>
      </c>
      <c r="B51" s="78">
        <v>6205.3352400000003</v>
      </c>
      <c r="C51" s="290"/>
      <c r="D51"/>
      <c r="E51" s="8">
        <f t="shared" si="0"/>
        <v>0</v>
      </c>
      <c r="G51" s="59" t="s">
        <v>42</v>
      </c>
      <c r="H51" s="78">
        <v>5007.0830159999996</v>
      </c>
      <c r="I51"/>
      <c r="J51"/>
      <c r="K51" s="8">
        <f t="shared" si="1"/>
        <v>0</v>
      </c>
      <c r="M51" s="59" t="s">
        <v>42</v>
      </c>
      <c r="N51" s="78">
        <v>4683.2919119999997</v>
      </c>
      <c r="O51"/>
      <c r="P51"/>
      <c r="Q51" s="8">
        <f t="shared" si="2"/>
        <v>0</v>
      </c>
      <c r="S51" s="59" t="s">
        <v>42</v>
      </c>
      <c r="T51" s="78"/>
      <c r="U51" s="78"/>
      <c r="V51"/>
      <c r="W51" s="8" t="e">
        <f t="shared" si="3"/>
        <v>#DIV/0!</v>
      </c>
      <c r="Y51" s="59" t="s">
        <v>42</v>
      </c>
      <c r="Z51" s="78"/>
      <c r="AA51"/>
      <c r="AB51"/>
      <c r="AC51" s="8" t="e">
        <f t="shared" si="4"/>
        <v>#DIV/0!</v>
      </c>
    </row>
    <row r="52" spans="1:29" x14ac:dyDescent="0.25">
      <c r="A52" s="88" t="s">
        <v>255</v>
      </c>
      <c r="B52" s="78">
        <v>1259.420801</v>
      </c>
      <c r="C52" s="290"/>
      <c r="D52"/>
      <c r="E52" s="8"/>
      <c r="G52" s="88" t="s">
        <v>161</v>
      </c>
      <c r="H52" s="78">
        <v>1190.338501</v>
      </c>
      <c r="I52"/>
      <c r="J52"/>
      <c r="K52" s="8"/>
      <c r="M52" s="88" t="s">
        <v>161</v>
      </c>
      <c r="N52" s="78">
        <v>1187.5385160000001</v>
      </c>
      <c r="O52"/>
      <c r="P52"/>
      <c r="Q52" s="8"/>
      <c r="S52" s="88" t="s">
        <v>161</v>
      </c>
      <c r="T52" s="78"/>
      <c r="U52" s="78"/>
      <c r="V52"/>
      <c r="W52" s="8"/>
      <c r="Y52" s="88" t="s">
        <v>161</v>
      </c>
      <c r="Z52" s="78"/>
      <c r="AA52"/>
      <c r="AB52"/>
      <c r="AC52" s="8"/>
    </row>
    <row r="53" spans="1:29" x14ac:dyDescent="0.25">
      <c r="A53" s="59" t="s">
        <v>256</v>
      </c>
      <c r="B53" s="78">
        <v>19496.146487999998</v>
      </c>
      <c r="C53" s="290"/>
      <c r="D53"/>
      <c r="E53" s="8">
        <f t="shared" si="0"/>
        <v>0</v>
      </c>
      <c r="G53" s="59" t="s">
        <v>11</v>
      </c>
      <c r="H53" s="78">
        <v>17784.819936</v>
      </c>
      <c r="I53"/>
      <c r="J53"/>
      <c r="K53" s="8">
        <f t="shared" si="1"/>
        <v>0</v>
      </c>
      <c r="M53" s="59" t="s">
        <v>11</v>
      </c>
      <c r="N53" s="78">
        <v>20649.831384000001</v>
      </c>
      <c r="O53"/>
      <c r="P53"/>
      <c r="Q53" s="8">
        <f t="shared" si="2"/>
        <v>0</v>
      </c>
      <c r="S53" s="59" t="s">
        <v>11</v>
      </c>
      <c r="T53" s="78"/>
      <c r="U53" s="78"/>
      <c r="V53"/>
      <c r="W53" s="8" t="e">
        <f t="shared" si="3"/>
        <v>#DIV/0!</v>
      </c>
      <c r="Y53" s="59" t="s">
        <v>11</v>
      </c>
      <c r="Z53" s="78"/>
      <c r="AA53"/>
      <c r="AB53"/>
      <c r="AC53" s="8" t="e">
        <f t="shared" si="4"/>
        <v>#DIV/0!</v>
      </c>
    </row>
    <row r="54" spans="1:29" x14ac:dyDescent="0.25">
      <c r="A54" s="59" t="s">
        <v>257</v>
      </c>
      <c r="B54" s="78">
        <v>20179.061369999999</v>
      </c>
      <c r="C54" s="290"/>
      <c r="D54"/>
      <c r="E54" s="8">
        <f t="shared" si="0"/>
        <v>0</v>
      </c>
      <c r="G54" s="59" t="s">
        <v>13</v>
      </c>
      <c r="H54" s="78">
        <v>19649.380724999999</v>
      </c>
      <c r="I54"/>
      <c r="J54"/>
      <c r="K54" s="8">
        <f t="shared" si="1"/>
        <v>0</v>
      </c>
      <c r="M54" s="59" t="s">
        <v>13</v>
      </c>
      <c r="N54" s="78">
        <v>19244.281094999998</v>
      </c>
      <c r="O54"/>
      <c r="P54"/>
      <c r="Q54" s="8">
        <f t="shared" si="2"/>
        <v>0</v>
      </c>
      <c r="S54" s="59" t="s">
        <v>13</v>
      </c>
      <c r="T54" s="78"/>
      <c r="U54" s="78"/>
      <c r="V54"/>
      <c r="W54" s="8" t="e">
        <f t="shared" si="3"/>
        <v>#DIV/0!</v>
      </c>
      <c r="Y54" s="59" t="s">
        <v>13</v>
      </c>
      <c r="Z54" s="78"/>
      <c r="AA54"/>
      <c r="AB54"/>
      <c r="AC54" s="8" t="e">
        <f t="shared" si="4"/>
        <v>#DIV/0!</v>
      </c>
    </row>
    <row r="55" spans="1:29" x14ac:dyDescent="0.25">
      <c r="A55" s="59" t="s">
        <v>258</v>
      </c>
      <c r="B55" s="78">
        <v>397.56</v>
      </c>
      <c r="C55" s="290"/>
      <c r="D55"/>
      <c r="E55" s="8">
        <f t="shared" si="0"/>
        <v>0</v>
      </c>
      <c r="G55" s="59" t="s">
        <v>162</v>
      </c>
      <c r="H55" s="78">
        <v>298.44</v>
      </c>
      <c r="I55"/>
      <c r="J55"/>
      <c r="K55" s="8">
        <f t="shared" si="1"/>
        <v>0</v>
      </c>
      <c r="M55" s="59" t="s">
        <v>162</v>
      </c>
      <c r="N55" s="78">
        <v>234.36</v>
      </c>
      <c r="O55"/>
      <c r="P55"/>
      <c r="Q55" s="8">
        <f t="shared" si="2"/>
        <v>0</v>
      </c>
      <c r="S55" s="59" t="s">
        <v>162</v>
      </c>
      <c r="T55" s="78"/>
      <c r="U55" s="78"/>
      <c r="V55"/>
      <c r="W55" s="8" t="e">
        <f t="shared" si="3"/>
        <v>#DIV/0!</v>
      </c>
      <c r="Y55" s="59" t="s">
        <v>162</v>
      </c>
      <c r="Z55" s="78"/>
      <c r="AA55"/>
      <c r="AB55"/>
      <c r="AC55" s="8" t="e">
        <f t="shared" si="4"/>
        <v>#DIV/0!</v>
      </c>
    </row>
    <row r="56" spans="1:29" x14ac:dyDescent="0.25">
      <c r="A56" s="59" t="s">
        <v>259</v>
      </c>
      <c r="B56" s="78">
        <v>120.78</v>
      </c>
      <c r="C56" s="290"/>
      <c r="D56"/>
      <c r="E56" s="8"/>
      <c r="G56" s="59" t="s">
        <v>163</v>
      </c>
      <c r="H56" s="78">
        <v>186.66</v>
      </c>
      <c r="I56"/>
      <c r="J56"/>
      <c r="K56" s="8"/>
      <c r="M56" s="59" t="s">
        <v>163</v>
      </c>
      <c r="N56" s="78">
        <v>158.6</v>
      </c>
      <c r="O56"/>
      <c r="P56"/>
      <c r="Q56" s="8"/>
      <c r="S56" s="59" t="s">
        <v>163</v>
      </c>
      <c r="T56" s="78"/>
      <c r="U56" s="78"/>
      <c r="V56"/>
      <c r="W56" s="8"/>
      <c r="Y56" s="59" t="s">
        <v>163</v>
      </c>
      <c r="Z56" s="78"/>
      <c r="AA56"/>
      <c r="AB56"/>
      <c r="AC56" s="8"/>
    </row>
    <row r="57" spans="1:29" x14ac:dyDescent="0.25">
      <c r="A57" s="59" t="s">
        <v>260</v>
      </c>
      <c r="B57" s="78">
        <v>8.4</v>
      </c>
      <c r="C57" s="290"/>
      <c r="D57"/>
      <c r="E57" s="8">
        <f t="shared" si="0"/>
        <v>0</v>
      </c>
      <c r="G57" s="59" t="s">
        <v>164</v>
      </c>
      <c r="H57" s="78">
        <v>9.18</v>
      </c>
      <c r="I57"/>
      <c r="J57"/>
      <c r="K57" s="8">
        <f t="shared" si="1"/>
        <v>0</v>
      </c>
      <c r="M57" s="59" t="s">
        <v>164</v>
      </c>
      <c r="N57" s="78">
        <v>12</v>
      </c>
      <c r="O57"/>
      <c r="P57"/>
      <c r="Q57" s="8">
        <f t="shared" si="2"/>
        <v>0</v>
      </c>
      <c r="S57" s="59" t="s">
        <v>164</v>
      </c>
      <c r="T57" s="78"/>
      <c r="U57" s="78"/>
      <c r="V57"/>
      <c r="W57" s="8" t="e">
        <f t="shared" si="3"/>
        <v>#DIV/0!</v>
      </c>
      <c r="Y57" s="59" t="s">
        <v>164</v>
      </c>
      <c r="Z57" s="78"/>
      <c r="AA57"/>
      <c r="AB57"/>
      <c r="AC57" s="8" t="e">
        <f t="shared" si="4"/>
        <v>#DIV/0!</v>
      </c>
    </row>
    <row r="58" spans="1:29" x14ac:dyDescent="0.25">
      <c r="A58" s="59" t="s">
        <v>314</v>
      </c>
      <c r="B58" s="78"/>
      <c r="C58" s="290"/>
      <c r="D58"/>
      <c r="E58" s="8"/>
      <c r="G58" s="42" t="s">
        <v>203</v>
      </c>
      <c r="H58" s="78">
        <v>6.2</v>
      </c>
      <c r="I58"/>
      <c r="J58"/>
      <c r="K58" s="8"/>
      <c r="M58" s="42" t="s">
        <v>203</v>
      </c>
      <c r="N58" s="78">
        <v>0</v>
      </c>
      <c r="O58"/>
      <c r="P58"/>
      <c r="Q58" s="8"/>
      <c r="S58" s="42" t="s">
        <v>203</v>
      </c>
      <c r="T58" s="78"/>
      <c r="U58" s="78"/>
      <c r="V58"/>
      <c r="W58" s="8"/>
      <c r="Y58" s="42" t="s">
        <v>203</v>
      </c>
      <c r="Z58" s="78"/>
      <c r="AA58"/>
      <c r="AB58"/>
      <c r="AC58" s="8"/>
    </row>
    <row r="59" spans="1:29" x14ac:dyDescent="0.25">
      <c r="A59" s="88" t="s">
        <v>261</v>
      </c>
      <c r="B59" s="78">
        <v>283.16371199999998</v>
      </c>
      <c r="C59" s="290"/>
      <c r="D59"/>
      <c r="E59" s="8">
        <f t="shared" si="0"/>
        <v>0</v>
      </c>
      <c r="G59" s="59" t="s">
        <v>57</v>
      </c>
      <c r="H59" s="78">
        <v>282.06360000000001</v>
      </c>
      <c r="I59"/>
      <c r="J59"/>
      <c r="K59" s="8">
        <f t="shared" si="1"/>
        <v>0</v>
      </c>
      <c r="M59" s="59" t="s">
        <v>57</v>
      </c>
      <c r="N59" s="78">
        <v>272.52076799999998</v>
      </c>
      <c r="O59"/>
      <c r="P59"/>
      <c r="Q59" s="8">
        <f t="shared" si="2"/>
        <v>0</v>
      </c>
      <c r="S59" s="59" t="s">
        <v>57</v>
      </c>
      <c r="T59" s="78"/>
      <c r="U59" s="78"/>
      <c r="V59"/>
      <c r="W59" s="8" t="e">
        <f t="shared" si="3"/>
        <v>#DIV/0!</v>
      </c>
      <c r="Y59" s="59" t="s">
        <v>57</v>
      </c>
      <c r="Z59" s="78"/>
      <c r="AA59"/>
      <c r="AB59"/>
      <c r="AC59" s="8" t="e">
        <f t="shared" si="4"/>
        <v>#DIV/0!</v>
      </c>
    </row>
    <row r="60" spans="1:29" x14ac:dyDescent="0.25">
      <c r="A60" s="88" t="s">
        <v>262</v>
      </c>
      <c r="B60" s="78">
        <v>62.731968000000002</v>
      </c>
      <c r="C60" s="290"/>
      <c r="D60"/>
      <c r="E60" s="8"/>
      <c r="G60" s="88" t="s">
        <v>56</v>
      </c>
      <c r="H60" s="78">
        <v>96.681935999999993</v>
      </c>
      <c r="I60"/>
      <c r="J60"/>
      <c r="K60" s="8"/>
      <c r="M60" s="88" t="s">
        <v>56</v>
      </c>
      <c r="N60" s="78">
        <v>129.88996800000001</v>
      </c>
      <c r="O60"/>
      <c r="P60"/>
      <c r="Q60" s="8"/>
      <c r="S60" s="88" t="s">
        <v>56</v>
      </c>
      <c r="T60" s="78"/>
      <c r="U60" s="78"/>
      <c r="V60"/>
      <c r="W60" s="8"/>
      <c r="Y60" s="88" t="s">
        <v>56</v>
      </c>
      <c r="Z60" s="78"/>
      <c r="AA60"/>
      <c r="AB60"/>
      <c r="AC60" s="8"/>
    </row>
    <row r="61" spans="1:29" x14ac:dyDescent="0.25">
      <c r="A61" s="59" t="s">
        <v>263</v>
      </c>
      <c r="B61" s="78">
        <v>806.56118400000003</v>
      </c>
      <c r="C61" s="290"/>
      <c r="D61"/>
      <c r="E61" s="8"/>
      <c r="G61" s="88" t="s">
        <v>43</v>
      </c>
      <c r="H61" s="78">
        <v>895.58071199999995</v>
      </c>
      <c r="I61"/>
      <c r="J61"/>
      <c r="K61" s="8"/>
      <c r="M61" s="88" t="s">
        <v>43</v>
      </c>
      <c r="N61" s="78">
        <v>983.14195199999995</v>
      </c>
      <c r="O61"/>
      <c r="P61"/>
      <c r="Q61" s="8"/>
      <c r="S61" s="88" t="s">
        <v>43</v>
      </c>
      <c r="T61" s="78"/>
      <c r="U61" s="78"/>
      <c r="V61"/>
      <c r="W61" s="8"/>
      <c r="Y61" s="88" t="s">
        <v>43</v>
      </c>
      <c r="Z61" s="78"/>
      <c r="AA61"/>
      <c r="AB61"/>
      <c r="AC61" s="8"/>
    </row>
    <row r="62" spans="1:29" x14ac:dyDescent="0.25">
      <c r="A62" s="59" t="s">
        <v>264</v>
      </c>
      <c r="B62" s="78">
        <v>9.92</v>
      </c>
      <c r="C62" s="290"/>
      <c r="D62"/>
      <c r="E62" s="8">
        <f t="shared" si="0"/>
        <v>0</v>
      </c>
      <c r="G62" s="59" t="s">
        <v>165</v>
      </c>
      <c r="H62" s="78">
        <v>11.78</v>
      </c>
      <c r="I62"/>
      <c r="J62"/>
      <c r="K62" s="8">
        <f t="shared" si="1"/>
        <v>0</v>
      </c>
      <c r="M62" s="59" t="s">
        <v>165</v>
      </c>
      <c r="N62" s="78">
        <v>31.62</v>
      </c>
      <c r="O62"/>
      <c r="P62"/>
      <c r="Q62" s="8">
        <f t="shared" si="2"/>
        <v>0</v>
      </c>
      <c r="S62" s="59" t="s">
        <v>165</v>
      </c>
      <c r="T62" s="78"/>
      <c r="U62" s="78"/>
      <c r="V62"/>
      <c r="W62" s="8" t="e">
        <f t="shared" si="3"/>
        <v>#DIV/0!</v>
      </c>
      <c r="Y62" s="59" t="s">
        <v>165</v>
      </c>
      <c r="Z62" s="78"/>
      <c r="AA62"/>
      <c r="AB62"/>
      <c r="AC62" s="8" t="e">
        <f t="shared" si="4"/>
        <v>#DIV/0!</v>
      </c>
    </row>
    <row r="63" spans="1:29" x14ac:dyDescent="0.25">
      <c r="A63" s="59" t="s">
        <v>265</v>
      </c>
      <c r="B63" s="78">
        <v>349.74</v>
      </c>
      <c r="C63" s="290"/>
      <c r="D63"/>
      <c r="E63" s="8">
        <f t="shared" si="0"/>
        <v>0</v>
      </c>
      <c r="G63" s="59" t="s">
        <v>166</v>
      </c>
      <c r="H63" s="78">
        <v>432.36</v>
      </c>
      <c r="I63"/>
      <c r="J63"/>
      <c r="K63" s="8">
        <f t="shared" si="1"/>
        <v>0</v>
      </c>
      <c r="M63" s="59" t="s">
        <v>166</v>
      </c>
      <c r="N63" s="78">
        <v>503.3</v>
      </c>
      <c r="O63"/>
      <c r="P63"/>
      <c r="Q63" s="8">
        <f t="shared" si="2"/>
        <v>0</v>
      </c>
      <c r="S63" s="59" t="s">
        <v>166</v>
      </c>
      <c r="T63" s="78"/>
      <c r="U63" s="78"/>
      <c r="V63"/>
      <c r="W63" s="8" t="e">
        <f t="shared" si="3"/>
        <v>#DIV/0!</v>
      </c>
      <c r="Y63" s="59" t="s">
        <v>166</v>
      </c>
      <c r="Z63" s="78"/>
      <c r="AA63"/>
      <c r="AB63"/>
      <c r="AC63" s="8" t="e">
        <f t="shared" si="4"/>
        <v>#DIV/0!</v>
      </c>
    </row>
    <row r="64" spans="1:29" x14ac:dyDescent="0.25">
      <c r="A64" s="88" t="s">
        <v>266</v>
      </c>
      <c r="B64" s="78">
        <v>113.541792</v>
      </c>
      <c r="C64" s="290"/>
      <c r="D64"/>
      <c r="E64" s="8"/>
      <c r="G64" s="59" t="s">
        <v>55</v>
      </c>
      <c r="H64" s="78">
        <v>41.970551999999998</v>
      </c>
      <c r="I64"/>
      <c r="J64"/>
      <c r="K64" s="8"/>
      <c r="M64" s="59" t="s">
        <v>55</v>
      </c>
      <c r="N64" s="78">
        <v>93.471143999999995</v>
      </c>
      <c r="O64"/>
      <c r="P64"/>
      <c r="Q64" s="8"/>
      <c r="S64" s="59" t="s">
        <v>55</v>
      </c>
      <c r="T64" s="78"/>
      <c r="U64" s="78"/>
      <c r="V64"/>
      <c r="W64" s="8"/>
      <c r="Y64" s="59" t="s">
        <v>55</v>
      </c>
      <c r="Z64" s="78"/>
      <c r="AA64"/>
      <c r="AB64"/>
      <c r="AC64" s="8"/>
    </row>
    <row r="65" spans="1:29" x14ac:dyDescent="0.25">
      <c r="A65" s="88" t="s">
        <v>267</v>
      </c>
      <c r="B65" s="78">
        <v>22.57</v>
      </c>
      <c r="C65" s="290"/>
      <c r="D65"/>
      <c r="E65" s="8"/>
      <c r="G65" s="88" t="s">
        <v>167</v>
      </c>
      <c r="H65" s="78">
        <v>31.18</v>
      </c>
      <c r="I65"/>
      <c r="J65"/>
      <c r="K65" s="8"/>
      <c r="M65" s="88" t="s">
        <v>167</v>
      </c>
      <c r="N65" s="78">
        <v>20.74</v>
      </c>
      <c r="O65"/>
      <c r="P65"/>
      <c r="Q65" s="8"/>
      <c r="S65" s="88" t="s">
        <v>167</v>
      </c>
      <c r="T65" s="78"/>
      <c r="U65" s="78"/>
      <c r="V65"/>
      <c r="W65" s="8"/>
      <c r="Y65" s="88" t="s">
        <v>167</v>
      </c>
      <c r="Z65" s="78"/>
      <c r="AA65"/>
      <c r="AB65"/>
      <c r="AC65" s="8"/>
    </row>
    <row r="66" spans="1:29" x14ac:dyDescent="0.25">
      <c r="A66" s="88" t="s">
        <v>268</v>
      </c>
      <c r="B66" s="78">
        <v>19740.238442000002</v>
      </c>
      <c r="C66" s="290"/>
      <c r="D66"/>
      <c r="E66" s="8"/>
      <c r="G66" s="88" t="s">
        <v>73</v>
      </c>
      <c r="H66" s="78">
        <v>20029.402891999998</v>
      </c>
      <c r="I66"/>
      <c r="J66"/>
      <c r="K66" s="8"/>
      <c r="M66" s="88" t="s">
        <v>73</v>
      </c>
      <c r="N66" s="78">
        <v>20424.784093999999</v>
      </c>
      <c r="O66"/>
      <c r="P66"/>
      <c r="Q66" s="8"/>
      <c r="S66" s="88" t="s">
        <v>73</v>
      </c>
      <c r="T66" s="78"/>
      <c r="U66" s="78"/>
      <c r="V66"/>
      <c r="W66" s="8"/>
      <c r="Y66" s="88" t="s">
        <v>73</v>
      </c>
      <c r="Z66" s="78"/>
      <c r="AA66"/>
      <c r="AB66"/>
      <c r="AC66" s="8"/>
    </row>
    <row r="67" spans="1:29" x14ac:dyDescent="0.25">
      <c r="A67" s="88" t="s">
        <v>269</v>
      </c>
      <c r="B67" s="78"/>
      <c r="C67" s="290"/>
      <c r="D67"/>
      <c r="E67" s="8"/>
      <c r="G67" s="88" t="s">
        <v>168</v>
      </c>
      <c r="H67" s="78"/>
      <c r="I67"/>
      <c r="J67"/>
      <c r="K67" s="8"/>
      <c r="M67" s="88" t="s">
        <v>168</v>
      </c>
      <c r="N67" s="78">
        <v>0</v>
      </c>
      <c r="O67"/>
      <c r="P67"/>
      <c r="Q67" s="8"/>
      <c r="S67" s="88" t="s">
        <v>168</v>
      </c>
      <c r="T67" s="78"/>
      <c r="U67" s="78"/>
      <c r="V67"/>
      <c r="W67" s="8"/>
      <c r="Y67" s="88" t="s">
        <v>168</v>
      </c>
      <c r="Z67" s="78"/>
      <c r="AA67"/>
      <c r="AB67"/>
      <c r="AC67" s="8"/>
    </row>
    <row r="68" spans="1:29" x14ac:dyDescent="0.25">
      <c r="A68" s="88" t="s">
        <v>313</v>
      </c>
      <c r="B68" s="78">
        <v>57.6</v>
      </c>
      <c r="C68" s="290"/>
      <c r="D68"/>
      <c r="E68" s="8"/>
      <c r="G68" s="88" t="s">
        <v>169</v>
      </c>
      <c r="H68" s="78">
        <v>78</v>
      </c>
      <c r="I68"/>
      <c r="J68"/>
      <c r="K68" s="8"/>
      <c r="M68" s="88" t="s">
        <v>169</v>
      </c>
      <c r="N68" s="78">
        <v>37.799999999999997</v>
      </c>
      <c r="O68"/>
      <c r="P68"/>
      <c r="Q68" s="8"/>
      <c r="S68" s="88" t="s">
        <v>169</v>
      </c>
      <c r="T68" s="78"/>
      <c r="U68" s="78"/>
      <c r="V68"/>
      <c r="W68" s="8"/>
      <c r="Y68" s="88" t="s">
        <v>169</v>
      </c>
      <c r="Z68" s="78"/>
      <c r="AA68"/>
      <c r="AB68"/>
      <c r="AC68" s="8"/>
    </row>
    <row r="69" spans="1:29" x14ac:dyDescent="0.25">
      <c r="A69" s="88" t="s">
        <v>270</v>
      </c>
      <c r="B69" s="78">
        <v>3.1</v>
      </c>
      <c r="C69" s="290"/>
      <c r="D69"/>
      <c r="E69" s="8"/>
      <c r="G69" s="88" t="s">
        <v>170</v>
      </c>
      <c r="H69" s="78">
        <v>3.1</v>
      </c>
      <c r="I69"/>
      <c r="J69"/>
      <c r="K69" s="8"/>
      <c r="M69" s="88" t="s">
        <v>170</v>
      </c>
      <c r="N69" s="78">
        <v>6.2</v>
      </c>
      <c r="O69"/>
      <c r="P69"/>
      <c r="Q69" s="8"/>
      <c r="S69" s="88" t="s">
        <v>170</v>
      </c>
      <c r="T69" s="78"/>
      <c r="U69" s="78"/>
      <c r="V69"/>
      <c r="W69" s="8"/>
      <c r="Y69" s="88" t="s">
        <v>170</v>
      </c>
      <c r="Z69" s="78"/>
      <c r="AA69"/>
      <c r="AB69"/>
      <c r="AC69" s="8"/>
    </row>
    <row r="70" spans="1:29" x14ac:dyDescent="0.25">
      <c r="A70" s="88" t="s">
        <v>312</v>
      </c>
      <c r="B70" s="78"/>
      <c r="C70" s="290"/>
      <c r="D70"/>
      <c r="E70" s="8"/>
      <c r="G70" s="42" t="s">
        <v>204</v>
      </c>
      <c r="H70" s="78"/>
      <c r="I70"/>
      <c r="J70"/>
      <c r="K70" s="8"/>
      <c r="M70" s="42" t="s">
        <v>204</v>
      </c>
      <c r="N70" s="78">
        <v>0</v>
      </c>
      <c r="O70"/>
      <c r="P70"/>
      <c r="Q70" s="8"/>
      <c r="S70" s="42" t="s">
        <v>204</v>
      </c>
      <c r="T70" s="78"/>
      <c r="U70" s="78"/>
      <c r="V70"/>
      <c r="W70" s="8"/>
      <c r="Y70" s="42" t="s">
        <v>204</v>
      </c>
      <c r="Z70" s="78"/>
      <c r="AA70"/>
      <c r="AB70"/>
      <c r="AC70" s="8"/>
    </row>
    <row r="71" spans="1:29" x14ac:dyDescent="0.25">
      <c r="A71" s="88" t="s">
        <v>271</v>
      </c>
      <c r="B71" s="78">
        <v>25.01</v>
      </c>
      <c r="C71" s="290"/>
      <c r="D71"/>
      <c r="E71" s="8"/>
      <c r="G71" s="88" t="s">
        <v>171</v>
      </c>
      <c r="H71" s="78">
        <v>36.6</v>
      </c>
      <c r="I71"/>
      <c r="J71"/>
      <c r="K71" s="8"/>
      <c r="M71" s="88" t="s">
        <v>171</v>
      </c>
      <c r="N71" s="78">
        <v>72.2</v>
      </c>
      <c r="O71"/>
      <c r="P71"/>
      <c r="Q71" s="8"/>
      <c r="S71" s="88" t="s">
        <v>171</v>
      </c>
      <c r="T71" s="78"/>
      <c r="U71" s="78"/>
      <c r="V71"/>
      <c r="W71" s="8"/>
      <c r="Y71" s="88" t="s">
        <v>171</v>
      </c>
      <c r="Z71" s="78"/>
      <c r="AA71"/>
      <c r="AB71"/>
      <c r="AC71" s="8"/>
    </row>
    <row r="72" spans="1:29" x14ac:dyDescent="0.25">
      <c r="A72" s="88" t="s">
        <v>94</v>
      </c>
      <c r="B72" s="78">
        <v>70.150000000000006</v>
      </c>
      <c r="C72" s="290"/>
      <c r="D72"/>
      <c r="E72" s="8"/>
      <c r="G72" s="88" t="s">
        <v>172</v>
      </c>
      <c r="H72" s="78">
        <v>50.99</v>
      </c>
      <c r="I72"/>
      <c r="J72"/>
      <c r="K72" s="8"/>
      <c r="M72" s="88" t="s">
        <v>172</v>
      </c>
      <c r="N72" s="78">
        <v>66.099999999999994</v>
      </c>
      <c r="O72"/>
      <c r="P72"/>
      <c r="Q72" s="8"/>
      <c r="S72" s="88" t="s">
        <v>172</v>
      </c>
      <c r="T72" s="78"/>
      <c r="U72" s="78"/>
      <c r="V72"/>
      <c r="W72" s="8"/>
      <c r="Y72" s="88" t="s">
        <v>172</v>
      </c>
      <c r="Z72" s="78"/>
      <c r="AA72"/>
      <c r="AB72"/>
      <c r="AC72" s="8"/>
    </row>
    <row r="73" spans="1:29" x14ac:dyDescent="0.25">
      <c r="A73" s="88" t="s">
        <v>272</v>
      </c>
      <c r="B73" s="78"/>
      <c r="C73" s="290"/>
      <c r="D73"/>
      <c r="E73" s="8"/>
      <c r="G73" s="88" t="s">
        <v>173</v>
      </c>
      <c r="H73" s="78"/>
      <c r="I73"/>
      <c r="J73"/>
      <c r="K73" s="8"/>
      <c r="M73" s="88" t="s">
        <v>173</v>
      </c>
      <c r="N73" s="78">
        <v>0</v>
      </c>
      <c r="O73"/>
      <c r="P73"/>
      <c r="Q73" s="8"/>
      <c r="S73" s="88" t="s">
        <v>173</v>
      </c>
      <c r="T73" s="78"/>
      <c r="U73" s="78"/>
      <c r="V73"/>
      <c r="W73" s="8"/>
      <c r="Y73" s="88" t="s">
        <v>173</v>
      </c>
      <c r="Z73" s="78"/>
      <c r="AA73"/>
      <c r="AB73"/>
      <c r="AC73" s="8"/>
    </row>
    <row r="74" spans="1:29" x14ac:dyDescent="0.25">
      <c r="A74" s="88" t="s">
        <v>273</v>
      </c>
      <c r="B74" s="78">
        <v>5015.4873600000001</v>
      </c>
      <c r="C74" s="290"/>
      <c r="D74"/>
      <c r="E74" s="8"/>
      <c r="G74" s="88" t="s">
        <v>44</v>
      </c>
      <c r="H74" s="78">
        <v>5390.0882879999999</v>
      </c>
      <c r="I74"/>
      <c r="J74"/>
      <c r="K74" s="8"/>
      <c r="M74" s="88" t="s">
        <v>44</v>
      </c>
      <c r="N74" s="78">
        <v>5460.4314960000002</v>
      </c>
      <c r="O74"/>
      <c r="P74"/>
      <c r="Q74" s="8"/>
      <c r="S74" s="88" t="s">
        <v>44</v>
      </c>
      <c r="T74" s="78"/>
      <c r="U74" s="78"/>
      <c r="V74"/>
      <c r="W74" s="8"/>
      <c r="Y74" s="88" t="s">
        <v>44</v>
      </c>
      <c r="Z74" s="78"/>
      <c r="AA74"/>
      <c r="AB74"/>
      <c r="AC74" s="8"/>
    </row>
    <row r="75" spans="1:29" x14ac:dyDescent="0.25">
      <c r="A75" s="88" t="s">
        <v>274</v>
      </c>
      <c r="B75" s="78">
        <v>4922.1310439999997</v>
      </c>
      <c r="C75" s="290"/>
      <c r="D75"/>
      <c r="E75" s="8"/>
      <c r="G75" s="88" t="s">
        <v>45</v>
      </c>
      <c r="H75" s="78">
        <v>4479.0305559999997</v>
      </c>
      <c r="I75"/>
      <c r="J75"/>
      <c r="K75" s="8"/>
      <c r="M75" s="88" t="s">
        <v>45</v>
      </c>
      <c r="N75" s="78">
        <v>4761.1113439999999</v>
      </c>
      <c r="O75"/>
      <c r="P75"/>
      <c r="Q75" s="8"/>
      <c r="S75" s="88" t="s">
        <v>45</v>
      </c>
      <c r="T75" s="78"/>
      <c r="U75" s="78"/>
      <c r="V75"/>
      <c r="W75" s="8"/>
      <c r="Y75" s="88" t="s">
        <v>45</v>
      </c>
      <c r="Z75" s="78"/>
      <c r="AA75"/>
      <c r="AB75"/>
      <c r="AC75" s="8"/>
    </row>
    <row r="76" spans="1:29" x14ac:dyDescent="0.25">
      <c r="A76" s="88" t="s">
        <v>275</v>
      </c>
      <c r="B76" s="78">
        <v>55.51</v>
      </c>
      <c r="C76" s="290"/>
      <c r="D76"/>
      <c r="E76" s="8"/>
      <c r="G76" s="88" t="s">
        <v>174</v>
      </c>
      <c r="H76" s="78">
        <v>36.6</v>
      </c>
      <c r="I76"/>
      <c r="J76"/>
      <c r="K76" s="8"/>
      <c r="M76" s="88" t="s">
        <v>174</v>
      </c>
      <c r="N76" s="78">
        <v>35.130000000000003</v>
      </c>
      <c r="O76"/>
      <c r="P76"/>
      <c r="Q76" s="8"/>
      <c r="S76" s="88" t="s">
        <v>174</v>
      </c>
      <c r="T76" s="78"/>
      <c r="U76" s="78"/>
      <c r="V76"/>
      <c r="W76" s="8"/>
      <c r="Y76" s="88" t="s">
        <v>174</v>
      </c>
      <c r="Z76" s="78"/>
      <c r="AA76"/>
      <c r="AB76"/>
      <c r="AC76" s="8"/>
    </row>
    <row r="77" spans="1:29" x14ac:dyDescent="0.25">
      <c r="A77" s="88" t="s">
        <v>276</v>
      </c>
      <c r="B77" s="78">
        <v>0.61</v>
      </c>
      <c r="C77" s="290"/>
      <c r="D77"/>
      <c r="E77" s="8"/>
      <c r="G77" s="88" t="s">
        <v>175</v>
      </c>
      <c r="H77" s="78"/>
      <c r="I77"/>
      <c r="J77"/>
      <c r="K77" s="8"/>
      <c r="M77" s="88" t="s">
        <v>175</v>
      </c>
      <c r="N77" s="78">
        <v>0</v>
      </c>
      <c r="O77"/>
      <c r="P77"/>
      <c r="Q77" s="8"/>
      <c r="S77" s="88" t="s">
        <v>175</v>
      </c>
      <c r="T77" s="78"/>
      <c r="U77" s="78"/>
      <c r="V77"/>
      <c r="W77" s="8"/>
      <c r="Y77" s="88" t="s">
        <v>175</v>
      </c>
      <c r="Z77" s="78"/>
      <c r="AA77"/>
      <c r="AB77"/>
      <c r="AC77" s="8"/>
    </row>
    <row r="78" spans="1:29" x14ac:dyDescent="0.25">
      <c r="A78" s="88" t="s">
        <v>277</v>
      </c>
      <c r="B78" s="78">
        <v>707.08</v>
      </c>
      <c r="C78" s="290"/>
      <c r="D78"/>
      <c r="E78" s="8"/>
      <c r="G78" s="88" t="s">
        <v>176</v>
      </c>
      <c r="H78" s="78">
        <v>555.36</v>
      </c>
      <c r="I78"/>
      <c r="J78"/>
      <c r="K78" s="8"/>
      <c r="M78" s="88" t="s">
        <v>176</v>
      </c>
      <c r="N78" s="78">
        <v>514.14</v>
      </c>
      <c r="O78"/>
      <c r="P78"/>
      <c r="Q78" s="8"/>
      <c r="S78" s="88" t="s">
        <v>176</v>
      </c>
      <c r="T78" s="78"/>
      <c r="U78" s="78"/>
      <c r="V78"/>
      <c r="W78" s="8"/>
      <c r="Y78" s="88" t="s">
        <v>176</v>
      </c>
      <c r="Z78" s="78"/>
      <c r="AA78"/>
      <c r="AB78"/>
      <c r="AC78" s="8"/>
    </row>
    <row r="79" spans="1:29" x14ac:dyDescent="0.25">
      <c r="A79" s="88" t="s">
        <v>278</v>
      </c>
      <c r="B79" s="78">
        <v>2571.2815439999999</v>
      </c>
      <c r="C79" s="290"/>
      <c r="D79"/>
      <c r="E79" s="8"/>
      <c r="G79" s="88" t="s">
        <v>46</v>
      </c>
      <c r="H79" s="78">
        <v>2676.8027520000001</v>
      </c>
      <c r="I79"/>
      <c r="J79"/>
      <c r="K79" s="8"/>
      <c r="M79" s="88" t="s">
        <v>46</v>
      </c>
      <c r="N79" s="78">
        <v>2614.8766799999999</v>
      </c>
      <c r="O79"/>
      <c r="P79"/>
      <c r="Q79" s="8"/>
      <c r="S79" s="88" t="s">
        <v>46</v>
      </c>
      <c r="T79" s="78"/>
      <c r="U79" s="78"/>
      <c r="V79"/>
      <c r="W79" s="8"/>
      <c r="Y79" s="88" t="s">
        <v>46</v>
      </c>
      <c r="Z79" s="78"/>
      <c r="AA79"/>
      <c r="AB79"/>
      <c r="AC79" s="8"/>
    </row>
    <row r="80" spans="1:29" x14ac:dyDescent="0.25">
      <c r="A80" s="88" t="s">
        <v>279</v>
      </c>
      <c r="B80" s="78">
        <v>168.11</v>
      </c>
      <c r="C80" s="290"/>
      <c r="D80"/>
      <c r="E80" s="8"/>
      <c r="G80" s="88" t="s">
        <v>177</v>
      </c>
      <c r="H80" s="78">
        <v>224.23</v>
      </c>
      <c r="I80"/>
      <c r="J80"/>
      <c r="K80" s="8"/>
      <c r="M80" s="88" t="s">
        <v>177</v>
      </c>
      <c r="N80" s="78">
        <v>191.18</v>
      </c>
      <c r="O80"/>
      <c r="P80"/>
      <c r="Q80" s="8"/>
      <c r="S80" s="88" t="s">
        <v>177</v>
      </c>
      <c r="T80" s="78"/>
      <c r="U80" s="78"/>
      <c r="V80"/>
      <c r="W80" s="8"/>
      <c r="Y80" s="88" t="s">
        <v>177</v>
      </c>
      <c r="Z80" s="78"/>
      <c r="AA80"/>
      <c r="AB80"/>
      <c r="AC80" s="8"/>
    </row>
    <row r="81" spans="1:29" x14ac:dyDescent="0.25">
      <c r="A81" s="88" t="s">
        <v>280</v>
      </c>
      <c r="B81" s="78">
        <v>31.72</v>
      </c>
      <c r="C81" s="290"/>
      <c r="D81"/>
      <c r="E81" s="8"/>
      <c r="G81" s="88" t="s">
        <v>178</v>
      </c>
      <c r="H81" s="78">
        <v>6.1</v>
      </c>
      <c r="I81"/>
      <c r="J81"/>
      <c r="K81" s="8"/>
      <c r="M81" s="88" t="s">
        <v>178</v>
      </c>
      <c r="N81" s="78">
        <v>65.88</v>
      </c>
      <c r="O81"/>
      <c r="P81"/>
      <c r="Q81" s="8"/>
      <c r="S81" s="88" t="s">
        <v>178</v>
      </c>
      <c r="T81" s="78"/>
      <c r="U81" s="78"/>
      <c r="V81"/>
      <c r="W81" s="8"/>
      <c r="Y81" s="88" t="s">
        <v>178</v>
      </c>
      <c r="Z81" s="78"/>
      <c r="AA81"/>
      <c r="AB81"/>
      <c r="AC81" s="8"/>
    </row>
    <row r="82" spans="1:29" x14ac:dyDescent="0.25">
      <c r="A82" s="88" t="s">
        <v>281</v>
      </c>
      <c r="B82" s="78">
        <v>126.45</v>
      </c>
      <c r="C82" s="290"/>
      <c r="D82"/>
      <c r="E82" s="8"/>
      <c r="G82" s="88" t="s">
        <v>179</v>
      </c>
      <c r="H82" s="78">
        <v>109.98</v>
      </c>
      <c r="I82"/>
      <c r="J82"/>
      <c r="K82" s="8"/>
      <c r="M82" s="88" t="s">
        <v>179</v>
      </c>
      <c r="N82" s="78">
        <v>112.78</v>
      </c>
      <c r="O82"/>
      <c r="P82"/>
      <c r="Q82" s="8"/>
      <c r="S82" s="88" t="s">
        <v>179</v>
      </c>
      <c r="T82" s="78"/>
      <c r="U82" s="78"/>
      <c r="V82"/>
      <c r="W82" s="8"/>
      <c r="Y82" s="88" t="s">
        <v>179</v>
      </c>
      <c r="Z82" s="78"/>
      <c r="AA82"/>
      <c r="AB82"/>
      <c r="AC82" s="8"/>
    </row>
    <row r="83" spans="1:29" x14ac:dyDescent="0.25">
      <c r="A83" s="88" t="s">
        <v>282</v>
      </c>
      <c r="B83" s="78">
        <v>934.02</v>
      </c>
      <c r="C83" s="290"/>
      <c r="D83"/>
      <c r="E83" s="8"/>
      <c r="G83" s="88" t="s">
        <v>180</v>
      </c>
      <c r="H83" s="78">
        <v>912.7</v>
      </c>
      <c r="I83"/>
      <c r="J83"/>
      <c r="K83" s="8"/>
      <c r="M83" s="88" t="s">
        <v>180</v>
      </c>
      <c r="N83" s="78">
        <v>1066.79</v>
      </c>
      <c r="O83"/>
      <c r="P83"/>
      <c r="Q83" s="8"/>
      <c r="S83" s="88" t="s">
        <v>180</v>
      </c>
      <c r="T83" s="78"/>
      <c r="U83" s="78"/>
      <c r="V83"/>
      <c r="W83" s="8"/>
      <c r="Y83" s="88" t="s">
        <v>180</v>
      </c>
      <c r="Z83" s="78"/>
      <c r="AA83"/>
      <c r="AB83"/>
      <c r="AC83" s="8"/>
    </row>
    <row r="84" spans="1:29" x14ac:dyDescent="0.25">
      <c r="A84" s="88" t="s">
        <v>283</v>
      </c>
      <c r="B84" s="78">
        <v>1083.03</v>
      </c>
      <c r="C84" s="290"/>
      <c r="D84"/>
      <c r="E84" s="8"/>
      <c r="G84" s="88" t="s">
        <v>181</v>
      </c>
      <c r="H84" s="78">
        <v>1712.93</v>
      </c>
      <c r="I84"/>
      <c r="J84"/>
      <c r="K84" s="8"/>
      <c r="M84" s="88" t="s">
        <v>181</v>
      </c>
      <c r="N84" s="78">
        <v>1427.58</v>
      </c>
      <c r="O84"/>
      <c r="P84"/>
      <c r="Q84" s="8"/>
      <c r="S84" s="88" t="s">
        <v>181</v>
      </c>
      <c r="T84" s="78"/>
      <c r="U84" s="78"/>
      <c r="V84"/>
      <c r="W84" s="8"/>
      <c r="Y84" s="88" t="s">
        <v>181</v>
      </c>
      <c r="Z84" s="78"/>
      <c r="AA84"/>
      <c r="AB84"/>
      <c r="AC84" s="8"/>
    </row>
    <row r="85" spans="1:29" x14ac:dyDescent="0.25">
      <c r="A85" s="88" t="s">
        <v>284</v>
      </c>
      <c r="B85" s="78">
        <v>1378.862472</v>
      </c>
      <c r="C85" s="290"/>
      <c r="D85"/>
      <c r="E85" s="8"/>
      <c r="G85" s="88" t="s">
        <v>54</v>
      </c>
      <c r="H85" s="78">
        <v>1417.1105520000001</v>
      </c>
      <c r="I85"/>
      <c r="J85"/>
      <c r="K85" s="8"/>
      <c r="M85" s="88" t="s">
        <v>54</v>
      </c>
      <c r="N85" s="78">
        <v>1178.744424</v>
      </c>
      <c r="O85"/>
      <c r="P85"/>
      <c r="Q85" s="8"/>
      <c r="S85" s="88" t="s">
        <v>54</v>
      </c>
      <c r="T85" s="78"/>
      <c r="U85" s="78"/>
      <c r="V85"/>
      <c r="W85" s="8"/>
      <c r="Y85" s="88" t="s">
        <v>54</v>
      </c>
      <c r="Z85" s="78"/>
      <c r="AA85"/>
      <c r="AB85"/>
      <c r="AC85" s="8"/>
    </row>
    <row r="86" spans="1:29" x14ac:dyDescent="0.25">
      <c r="A86" s="88" t="s">
        <v>285</v>
      </c>
      <c r="B86" s="78">
        <v>2594.5629840000001</v>
      </c>
      <c r="C86" s="290"/>
      <c r="D86"/>
      <c r="E86" s="8"/>
      <c r="G86" s="88" t="s">
        <v>47</v>
      </c>
      <c r="H86" s="78">
        <v>2702.3227919999999</v>
      </c>
      <c r="I86"/>
      <c r="J86"/>
      <c r="K86" s="8"/>
      <c r="M86" s="88" t="s">
        <v>47</v>
      </c>
      <c r="N86" s="78">
        <v>2717.890656</v>
      </c>
      <c r="O86"/>
      <c r="P86"/>
      <c r="Q86" s="8"/>
      <c r="S86" s="88" t="s">
        <v>47</v>
      </c>
      <c r="T86" s="78"/>
      <c r="U86" s="78"/>
      <c r="V86"/>
      <c r="W86" s="8"/>
      <c r="Y86" s="88" t="s">
        <v>47</v>
      </c>
      <c r="Z86" s="78"/>
      <c r="AA86"/>
      <c r="AB86"/>
      <c r="AC86" s="8"/>
    </row>
    <row r="87" spans="1:29" x14ac:dyDescent="0.25">
      <c r="A87" s="88" t="s">
        <v>286</v>
      </c>
      <c r="B87" s="78">
        <v>319.966296</v>
      </c>
      <c r="C87" s="290"/>
      <c r="D87"/>
      <c r="E87" s="8"/>
      <c r="G87" s="88" t="s">
        <v>53</v>
      </c>
      <c r="H87" s="78">
        <v>398.57313599999998</v>
      </c>
      <c r="I87"/>
      <c r="J87"/>
      <c r="K87" s="8"/>
      <c r="M87" s="88" t="s">
        <v>53</v>
      </c>
      <c r="N87" s="78">
        <v>344.14317599999998</v>
      </c>
      <c r="O87"/>
      <c r="P87"/>
      <c r="Q87" s="8"/>
      <c r="S87" s="88" t="s">
        <v>53</v>
      </c>
      <c r="T87" s="78"/>
      <c r="U87" s="78"/>
      <c r="V87"/>
      <c r="W87" s="8"/>
      <c r="Y87" s="88" t="s">
        <v>53</v>
      </c>
      <c r="Z87" s="78"/>
      <c r="AA87"/>
      <c r="AB87"/>
      <c r="AC87" s="8"/>
    </row>
    <row r="88" spans="1:29" x14ac:dyDescent="0.25">
      <c r="A88" s="88" t="s">
        <v>311</v>
      </c>
      <c r="B88" s="78">
        <v>26825.461987999999</v>
      </c>
      <c r="C88" s="290"/>
      <c r="D88"/>
      <c r="E88" s="8"/>
      <c r="G88" s="88" t="s">
        <v>182</v>
      </c>
      <c r="H88" s="78">
        <v>25997.972393</v>
      </c>
      <c r="I88"/>
      <c r="J88"/>
      <c r="K88" s="8"/>
      <c r="M88" s="88" t="s">
        <v>182</v>
      </c>
      <c r="N88" s="78">
        <v>24720.778880999998</v>
      </c>
      <c r="O88"/>
      <c r="P88"/>
      <c r="Q88" s="8"/>
      <c r="S88" s="88" t="s">
        <v>182</v>
      </c>
      <c r="T88" s="78"/>
      <c r="U88" s="78"/>
      <c r="V88"/>
      <c r="W88" s="8"/>
      <c r="Y88" s="88" t="s">
        <v>182</v>
      </c>
      <c r="Z88" s="78"/>
      <c r="AA88"/>
      <c r="AB88"/>
      <c r="AC88" s="8"/>
    </row>
    <row r="89" spans="1:29" x14ac:dyDescent="0.25">
      <c r="A89" s="88" t="s">
        <v>287</v>
      </c>
      <c r="B89" s="78">
        <v>1.83</v>
      </c>
      <c r="C89" s="290"/>
      <c r="D89"/>
      <c r="E89" s="8"/>
      <c r="G89" s="88" t="s">
        <v>183</v>
      </c>
      <c r="H89" s="78">
        <v>10.119999999999999</v>
      </c>
      <c r="I89"/>
      <c r="J89"/>
      <c r="K89" s="8"/>
      <c r="M89" s="88" t="s">
        <v>183</v>
      </c>
      <c r="N89" s="78">
        <v>9.33</v>
      </c>
      <c r="O89"/>
      <c r="P89"/>
      <c r="Q89" s="8"/>
      <c r="S89" s="88" t="s">
        <v>183</v>
      </c>
      <c r="T89" s="78"/>
      <c r="U89" s="78"/>
      <c r="V89"/>
      <c r="W89" s="8"/>
      <c r="Y89" s="88" t="s">
        <v>183</v>
      </c>
      <c r="Z89" s="78"/>
      <c r="AA89"/>
      <c r="AB89"/>
      <c r="AC89" s="8"/>
    </row>
    <row r="90" spans="1:29" x14ac:dyDescent="0.25">
      <c r="A90" s="88" t="s">
        <v>288</v>
      </c>
      <c r="B90" s="78">
        <v>878.41384700000003</v>
      </c>
      <c r="C90" s="290"/>
      <c r="D90"/>
      <c r="E90" s="8"/>
      <c r="G90" s="88" t="s">
        <v>184</v>
      </c>
      <c r="H90" s="78">
        <v>1159.8601200000001</v>
      </c>
      <c r="I90"/>
      <c r="J90"/>
      <c r="K90" s="8"/>
      <c r="M90" s="88" t="s">
        <v>184</v>
      </c>
      <c r="N90" s="78">
        <v>1132.0061969999999</v>
      </c>
      <c r="O90"/>
      <c r="P90"/>
      <c r="Q90" s="8"/>
      <c r="S90" s="88" t="s">
        <v>184</v>
      </c>
      <c r="T90" s="78"/>
      <c r="U90" s="78"/>
      <c r="V90"/>
      <c r="W90" s="8"/>
      <c r="Y90" s="88" t="s">
        <v>184</v>
      </c>
      <c r="Z90" s="78"/>
      <c r="AA90"/>
      <c r="AB90"/>
      <c r="AC90" s="8"/>
    </row>
    <row r="91" spans="1:29" x14ac:dyDescent="0.25">
      <c r="A91" s="88" t="s">
        <v>289</v>
      </c>
      <c r="B91" s="78">
        <v>310.87118400000003</v>
      </c>
      <c r="C91" s="290"/>
      <c r="D91"/>
      <c r="E91" s="8"/>
      <c r="G91" s="88" t="s">
        <v>52</v>
      </c>
      <c r="H91" s="78">
        <v>210.97845599999999</v>
      </c>
      <c r="I91"/>
      <c r="J91"/>
      <c r="K91" s="8"/>
      <c r="M91" s="88" t="s">
        <v>52</v>
      </c>
      <c r="N91" s="78">
        <v>215.22540000000001</v>
      </c>
      <c r="O91"/>
      <c r="P91"/>
      <c r="Q91" s="8"/>
      <c r="S91" s="88" t="s">
        <v>52</v>
      </c>
      <c r="T91" s="78"/>
      <c r="U91" s="78"/>
      <c r="V91"/>
      <c r="W91" s="8"/>
      <c r="Y91" s="88" t="s">
        <v>52</v>
      </c>
      <c r="Z91" s="78"/>
      <c r="AA91"/>
      <c r="AB91"/>
      <c r="AC91" s="8"/>
    </row>
    <row r="92" spans="1:29" x14ac:dyDescent="0.25">
      <c r="A92" s="88" t="s">
        <v>290</v>
      </c>
      <c r="B92" s="78">
        <v>113.106864</v>
      </c>
      <c r="C92" s="290"/>
      <c r="D92"/>
      <c r="E92" s="8"/>
      <c r="G92" s="88" t="s">
        <v>90</v>
      </c>
      <c r="H92" s="78">
        <v>107.51676</v>
      </c>
      <c r="I92"/>
      <c r="J92"/>
      <c r="K92" s="8"/>
      <c r="M92" s="88" t="s">
        <v>90</v>
      </c>
      <c r="N92" s="78">
        <v>121.66471199999999</v>
      </c>
      <c r="O92"/>
      <c r="P92"/>
      <c r="Q92" s="8"/>
      <c r="S92" s="88" t="s">
        <v>90</v>
      </c>
      <c r="T92" s="78"/>
      <c r="U92" s="78"/>
      <c r="V92"/>
      <c r="W92" s="8"/>
      <c r="Y92" s="88" t="s">
        <v>90</v>
      </c>
      <c r="Z92" s="78"/>
      <c r="AA92"/>
      <c r="AB92"/>
      <c r="AC92" s="8"/>
    </row>
    <row r="93" spans="1:29" x14ac:dyDescent="0.25">
      <c r="A93" s="88" t="s">
        <v>291</v>
      </c>
      <c r="B93" s="78">
        <v>4224.826</v>
      </c>
      <c r="C93" s="290"/>
      <c r="D93"/>
      <c r="E93" s="8"/>
      <c r="G93" s="88" t="s">
        <v>185</v>
      </c>
      <c r="H93" s="78">
        <v>4236.3940000000002</v>
      </c>
      <c r="I93"/>
      <c r="J93"/>
      <c r="K93" s="8"/>
      <c r="M93" s="88" t="s">
        <v>185</v>
      </c>
      <c r="N93" s="78">
        <v>4170.9679999999998</v>
      </c>
      <c r="O93"/>
      <c r="P93"/>
      <c r="Q93" s="8"/>
      <c r="S93" s="88" t="s">
        <v>185</v>
      </c>
      <c r="T93" s="78"/>
      <c r="U93" s="78"/>
      <c r="V93"/>
      <c r="W93" s="8"/>
      <c r="Y93" s="88" t="s">
        <v>185</v>
      </c>
      <c r="Z93" s="78"/>
      <c r="AA93"/>
      <c r="AB93"/>
      <c r="AC93" s="8"/>
    </row>
    <row r="94" spans="1:29" x14ac:dyDescent="0.25">
      <c r="A94" s="88" t="s">
        <v>292</v>
      </c>
      <c r="B94" s="78">
        <v>10381.9872</v>
      </c>
      <c r="C94" s="290"/>
      <c r="D94"/>
      <c r="E94" s="8"/>
      <c r="G94" s="88" t="s">
        <v>48</v>
      </c>
      <c r="H94" s="78">
        <v>11636.2428</v>
      </c>
      <c r="I94"/>
      <c r="J94"/>
      <c r="K94" s="8"/>
      <c r="M94" s="88" t="s">
        <v>48</v>
      </c>
      <c r="N94" s="78">
        <v>11662.312895999999</v>
      </c>
      <c r="O94"/>
      <c r="P94"/>
      <c r="Q94" s="8"/>
      <c r="S94" s="88" t="s">
        <v>48</v>
      </c>
      <c r="T94" s="78"/>
      <c r="U94" s="78"/>
      <c r="V94"/>
      <c r="W94" s="8"/>
      <c r="Y94" s="88" t="s">
        <v>48</v>
      </c>
      <c r="Z94" s="78"/>
      <c r="AA94"/>
      <c r="AB94"/>
      <c r="AC94" s="8"/>
    </row>
    <row r="95" spans="1:29" x14ac:dyDescent="0.25">
      <c r="A95" s="88" t="s">
        <v>293</v>
      </c>
      <c r="B95" s="78">
        <v>71.3</v>
      </c>
      <c r="C95" s="290"/>
      <c r="D95"/>
      <c r="E95" s="8"/>
      <c r="G95" s="88" t="s">
        <v>186</v>
      </c>
      <c r="H95" s="78">
        <v>96.1</v>
      </c>
      <c r="I95"/>
      <c r="J95"/>
      <c r="K95" s="8"/>
      <c r="M95" s="88" t="s">
        <v>186</v>
      </c>
      <c r="N95" s="78">
        <v>40.299999999999997</v>
      </c>
      <c r="O95"/>
      <c r="P95"/>
      <c r="Q95" s="8"/>
      <c r="S95" s="88" t="s">
        <v>186</v>
      </c>
      <c r="T95" s="78"/>
      <c r="U95" s="78"/>
      <c r="V95"/>
      <c r="W95" s="8"/>
      <c r="Y95" s="88" t="s">
        <v>186</v>
      </c>
      <c r="Z95" s="78"/>
      <c r="AA95"/>
      <c r="AB95"/>
      <c r="AC95" s="8"/>
    </row>
    <row r="96" spans="1:29" x14ac:dyDescent="0.25">
      <c r="A96" s="88" t="s">
        <v>294</v>
      </c>
      <c r="B96" s="78"/>
      <c r="C96" s="290"/>
      <c r="D96"/>
      <c r="E96" s="8"/>
      <c r="G96" s="88" t="s">
        <v>187</v>
      </c>
      <c r="H96" s="78"/>
      <c r="I96"/>
      <c r="J96"/>
      <c r="K96" s="8"/>
      <c r="M96" s="88" t="s">
        <v>187</v>
      </c>
      <c r="N96" s="78">
        <v>0</v>
      </c>
      <c r="O96"/>
      <c r="P96"/>
      <c r="Q96" s="8"/>
      <c r="S96" s="88" t="s">
        <v>187</v>
      </c>
      <c r="T96" s="78"/>
      <c r="U96" s="78"/>
      <c r="V96"/>
      <c r="W96" s="8"/>
      <c r="Y96" s="88" t="s">
        <v>187</v>
      </c>
      <c r="Z96" s="78"/>
      <c r="AA96"/>
      <c r="AB96"/>
      <c r="AC96" s="8"/>
    </row>
    <row r="97" spans="1:29" x14ac:dyDescent="0.25">
      <c r="A97" s="88" t="s">
        <v>295</v>
      </c>
      <c r="B97" s="78">
        <v>2237.3975519999999</v>
      </c>
      <c r="C97" s="290"/>
      <c r="D97"/>
      <c r="E97" s="8"/>
      <c r="G97" s="88" t="s">
        <v>49</v>
      </c>
      <c r="H97" s="78">
        <v>1995.3473280000001</v>
      </c>
      <c r="I97"/>
      <c r="J97"/>
      <c r="K97" s="8"/>
      <c r="M97" s="88" t="s">
        <v>49</v>
      </c>
      <c r="N97" s="78">
        <v>2163.2295359999998</v>
      </c>
      <c r="O97"/>
      <c r="P97"/>
      <c r="Q97" s="8"/>
      <c r="S97" s="88" t="s">
        <v>49</v>
      </c>
      <c r="T97" s="78"/>
      <c r="U97" s="78"/>
      <c r="V97"/>
      <c r="W97" s="8"/>
      <c r="Y97" s="88" t="s">
        <v>49</v>
      </c>
      <c r="Z97" s="78"/>
      <c r="AA97"/>
      <c r="AB97"/>
      <c r="AC97" s="8"/>
    </row>
    <row r="98" spans="1:29" x14ac:dyDescent="0.25">
      <c r="A98" s="88" t="s">
        <v>296</v>
      </c>
      <c r="B98" s="78">
        <v>12778.299768000001</v>
      </c>
      <c r="C98" s="290"/>
      <c r="D98"/>
      <c r="E98" s="8"/>
      <c r="G98" s="88" t="s">
        <v>50</v>
      </c>
      <c r="H98" s="78">
        <v>12347.439624000001</v>
      </c>
      <c r="I98"/>
      <c r="J98"/>
      <c r="K98" s="8"/>
      <c r="M98" s="88" t="s">
        <v>50</v>
      </c>
      <c r="N98" s="78">
        <v>12271.250472</v>
      </c>
      <c r="O98"/>
      <c r="P98"/>
      <c r="Q98" s="8"/>
      <c r="S98" s="88" t="s">
        <v>50</v>
      </c>
      <c r="T98" s="78"/>
      <c r="U98" s="78"/>
      <c r="V98"/>
      <c r="W98" s="8"/>
      <c r="Y98" s="88" t="s">
        <v>50</v>
      </c>
      <c r="Z98" s="78"/>
      <c r="AA98"/>
      <c r="AB98"/>
      <c r="AC98" s="8"/>
    </row>
    <row r="99" spans="1:29" x14ac:dyDescent="0.25">
      <c r="A99" s="88" t="s">
        <v>297</v>
      </c>
      <c r="B99" s="78">
        <v>439.72963199999998</v>
      </c>
      <c r="C99" s="290"/>
      <c r="D99"/>
      <c r="E99" s="8"/>
      <c r="G99" s="88" t="s">
        <v>188</v>
      </c>
      <c r="H99" s="78">
        <v>517.25055999999995</v>
      </c>
      <c r="I99"/>
      <c r="J99"/>
      <c r="K99" s="8"/>
      <c r="M99" s="88" t="s">
        <v>188</v>
      </c>
      <c r="N99" s="78">
        <v>519.08360000000005</v>
      </c>
      <c r="O99"/>
      <c r="P99"/>
      <c r="Q99" s="8"/>
      <c r="S99" s="88" t="s">
        <v>188</v>
      </c>
      <c r="T99" s="78"/>
      <c r="U99" s="78"/>
      <c r="V99"/>
      <c r="W99" s="8"/>
      <c r="Y99" s="88" t="s">
        <v>188</v>
      </c>
      <c r="Z99" s="78"/>
      <c r="AA99"/>
      <c r="AB99"/>
      <c r="AC99" s="8"/>
    </row>
    <row r="100" spans="1:29" x14ac:dyDescent="0.25">
      <c r="A100" s="88" t="s">
        <v>298</v>
      </c>
      <c r="B100" s="78"/>
      <c r="C100" s="290"/>
      <c r="D100"/>
      <c r="E100" s="8"/>
      <c r="G100" s="88" t="s">
        <v>189</v>
      </c>
      <c r="H100" s="78">
        <v>0.6</v>
      </c>
      <c r="I100"/>
      <c r="J100"/>
      <c r="K100" s="8"/>
      <c r="M100" s="88" t="s">
        <v>189</v>
      </c>
      <c r="N100" s="78">
        <v>2.4</v>
      </c>
      <c r="O100"/>
      <c r="P100"/>
      <c r="Q100" s="8"/>
      <c r="S100" s="88" t="s">
        <v>189</v>
      </c>
      <c r="T100" s="78"/>
      <c r="U100" s="78"/>
      <c r="V100"/>
      <c r="W100" s="8"/>
      <c r="Y100" s="88" t="s">
        <v>189</v>
      </c>
      <c r="Z100" s="78"/>
      <c r="AA100"/>
      <c r="AB100"/>
      <c r="AC100" s="8"/>
    </row>
    <row r="101" spans="1:29" x14ac:dyDescent="0.25">
      <c r="A101" s="88" t="s">
        <v>299</v>
      </c>
      <c r="B101" s="78">
        <v>602.12</v>
      </c>
      <c r="C101" s="290"/>
      <c r="D101"/>
      <c r="E101" s="8"/>
      <c r="G101" s="88" t="s">
        <v>190</v>
      </c>
      <c r="H101" s="78">
        <v>561.53</v>
      </c>
      <c r="I101"/>
      <c r="J101"/>
      <c r="K101" s="8"/>
      <c r="M101" s="88" t="s">
        <v>190</v>
      </c>
      <c r="N101" s="78">
        <v>550.61</v>
      </c>
      <c r="O101"/>
      <c r="P101"/>
      <c r="Q101" s="8"/>
      <c r="S101" s="88" t="s">
        <v>190</v>
      </c>
      <c r="T101" s="78"/>
      <c r="U101" s="78"/>
      <c r="V101"/>
      <c r="W101" s="8"/>
      <c r="Y101" s="88" t="s">
        <v>190</v>
      </c>
      <c r="Z101" s="78"/>
      <c r="AA101"/>
      <c r="AB101"/>
      <c r="AC101" s="8"/>
    </row>
    <row r="102" spans="1:29" x14ac:dyDescent="0.25">
      <c r="A102" s="88" t="s">
        <v>300</v>
      </c>
      <c r="B102" s="78">
        <v>59.72</v>
      </c>
      <c r="C102" s="290"/>
      <c r="D102"/>
      <c r="E102" s="8"/>
      <c r="G102" s="88" t="s">
        <v>191</v>
      </c>
      <c r="H102" s="78">
        <v>42.78</v>
      </c>
      <c r="I102"/>
      <c r="J102"/>
      <c r="K102" s="8"/>
      <c r="M102" s="88" t="s">
        <v>191</v>
      </c>
      <c r="N102" s="78">
        <v>33.770000000000003</v>
      </c>
      <c r="O102"/>
      <c r="P102"/>
      <c r="Q102" s="8"/>
      <c r="S102" s="88" t="s">
        <v>191</v>
      </c>
      <c r="T102" s="78"/>
      <c r="U102" s="78"/>
      <c r="V102"/>
      <c r="W102" s="8"/>
      <c r="Y102" s="88" t="s">
        <v>191</v>
      </c>
      <c r="Z102" s="78"/>
      <c r="AA102"/>
      <c r="AB102"/>
      <c r="AC102" s="8"/>
    </row>
    <row r="103" spans="1:29" x14ac:dyDescent="0.25">
      <c r="A103" s="88" t="s">
        <v>301</v>
      </c>
      <c r="B103" s="78">
        <v>7945.2070569999996</v>
      </c>
      <c r="C103" s="290"/>
      <c r="D103"/>
      <c r="E103" s="8"/>
      <c r="G103" s="88" t="s">
        <v>192</v>
      </c>
      <c r="H103" s="78">
        <v>8587.7112969999998</v>
      </c>
      <c r="I103"/>
      <c r="J103"/>
      <c r="K103" s="8"/>
      <c r="M103" s="88" t="s">
        <v>192</v>
      </c>
      <c r="N103" s="78">
        <v>9069.4734239999998</v>
      </c>
      <c r="O103"/>
      <c r="P103"/>
      <c r="Q103" s="8"/>
      <c r="S103" s="88" t="s">
        <v>192</v>
      </c>
      <c r="T103" s="78"/>
      <c r="U103" s="78"/>
      <c r="V103"/>
      <c r="W103" s="8"/>
      <c r="Y103" s="88" t="s">
        <v>192</v>
      </c>
      <c r="Z103" s="78"/>
      <c r="AA103"/>
      <c r="AB103"/>
      <c r="AC103" s="8"/>
    </row>
    <row r="104" spans="1:29" x14ac:dyDescent="0.25">
      <c r="A104" s="88" t="s">
        <v>302</v>
      </c>
      <c r="B104" s="78">
        <v>0.6</v>
      </c>
      <c r="C104" s="290"/>
      <c r="D104"/>
      <c r="E104" s="8"/>
      <c r="G104" s="88" t="s">
        <v>193</v>
      </c>
      <c r="H104" s="78">
        <v>1.2</v>
      </c>
      <c r="I104"/>
      <c r="J104"/>
      <c r="K104" s="8"/>
      <c r="M104" s="88" t="s">
        <v>193</v>
      </c>
      <c r="N104" s="78">
        <v>1.8</v>
      </c>
      <c r="O104"/>
      <c r="P104"/>
      <c r="Q104" s="8"/>
      <c r="S104" s="88" t="s">
        <v>193</v>
      </c>
      <c r="T104" s="78"/>
      <c r="U104" s="78"/>
      <c r="V104"/>
      <c r="W104" s="8"/>
      <c r="Y104" s="88" t="s">
        <v>193</v>
      </c>
      <c r="Z104" s="78"/>
      <c r="AA104"/>
      <c r="AB104"/>
      <c r="AC104" s="8"/>
    </row>
    <row r="105" spans="1:29" x14ac:dyDescent="0.25">
      <c r="A105" s="88" t="s">
        <v>303</v>
      </c>
      <c r="B105" s="78">
        <v>3.05</v>
      </c>
      <c r="C105" s="290"/>
      <c r="D105"/>
      <c r="E105" s="8"/>
      <c r="G105" s="88" t="s">
        <v>194</v>
      </c>
      <c r="H105" s="78">
        <v>6.1</v>
      </c>
      <c r="I105"/>
      <c r="J105"/>
      <c r="K105" s="8"/>
      <c r="M105" s="88" t="s">
        <v>194</v>
      </c>
      <c r="N105" s="78">
        <v>14.03</v>
      </c>
      <c r="O105"/>
      <c r="P105"/>
      <c r="Q105" s="8"/>
      <c r="S105" s="88" t="s">
        <v>194</v>
      </c>
      <c r="T105" s="78"/>
      <c r="U105" s="78"/>
      <c r="V105"/>
      <c r="W105" s="8"/>
      <c r="Y105" s="88" t="s">
        <v>194</v>
      </c>
      <c r="Z105" s="78"/>
      <c r="AA105"/>
      <c r="AB105"/>
      <c r="AC105" s="8"/>
    </row>
    <row r="106" spans="1:29" x14ac:dyDescent="0.25">
      <c r="A106" s="88" t="s">
        <v>304</v>
      </c>
      <c r="B106" s="78">
        <v>448.38</v>
      </c>
      <c r="C106" s="290"/>
      <c r="D106"/>
      <c r="E106" s="8"/>
      <c r="G106" s="88" t="s">
        <v>195</v>
      </c>
      <c r="H106" s="78">
        <v>595.38</v>
      </c>
      <c r="I106"/>
      <c r="J106"/>
      <c r="K106" s="8"/>
      <c r="M106" s="88" t="s">
        <v>195</v>
      </c>
      <c r="N106" s="78">
        <v>371.58</v>
      </c>
      <c r="O106"/>
      <c r="P106"/>
      <c r="Q106" s="8"/>
      <c r="S106" s="88" t="s">
        <v>195</v>
      </c>
      <c r="T106" s="78"/>
      <c r="U106" s="78"/>
      <c r="V106"/>
      <c r="W106" s="8"/>
      <c r="Y106" s="88" t="s">
        <v>195</v>
      </c>
      <c r="Z106" s="78"/>
      <c r="AA106"/>
      <c r="AB106"/>
      <c r="AC106" s="8"/>
    </row>
    <row r="107" spans="1:29" x14ac:dyDescent="0.25">
      <c r="A107" s="88" t="s">
        <v>305</v>
      </c>
      <c r="B107" s="78">
        <v>86780.86404</v>
      </c>
      <c r="C107" s="290"/>
      <c r="D107"/>
      <c r="E107" s="8"/>
      <c r="G107" s="88" t="s">
        <v>72</v>
      </c>
      <c r="H107" s="78">
        <v>88365.473039999997</v>
      </c>
      <c r="I107"/>
      <c r="J107"/>
      <c r="K107" s="8"/>
      <c r="M107" s="88" t="s">
        <v>72</v>
      </c>
      <c r="N107" s="78">
        <v>83651.864088000002</v>
      </c>
      <c r="O107"/>
      <c r="P107"/>
      <c r="Q107" s="8"/>
      <c r="S107" s="88" t="s">
        <v>72</v>
      </c>
      <c r="T107" s="78"/>
      <c r="U107" s="78"/>
      <c r="V107"/>
      <c r="W107" s="8"/>
      <c r="Y107" s="88" t="s">
        <v>72</v>
      </c>
      <c r="Z107" s="78"/>
      <c r="AA107"/>
      <c r="AB107"/>
      <c r="AC107" s="8"/>
    </row>
    <row r="108" spans="1:29" x14ac:dyDescent="0.25">
      <c r="A108" s="88" t="s">
        <v>51</v>
      </c>
      <c r="B108" s="78">
        <f>476700.56+2677.99</f>
        <v>479378.55</v>
      </c>
      <c r="C108" s="290"/>
      <c r="D108"/>
      <c r="E108" s="8"/>
      <c r="G108" s="88" t="s">
        <v>201</v>
      </c>
      <c r="H108" s="78">
        <f>459143.3+3124.8</f>
        <v>462268.1</v>
      </c>
      <c r="I108"/>
      <c r="J108"/>
      <c r="K108" s="8"/>
      <c r="M108" s="88" t="s">
        <v>201</v>
      </c>
      <c r="N108" s="78">
        <f>460494.09+3705.8</f>
        <v>464199.89</v>
      </c>
      <c r="O108"/>
      <c r="P108"/>
      <c r="Q108" s="8"/>
      <c r="S108" s="88" t="s">
        <v>201</v>
      </c>
      <c r="T108" s="78"/>
      <c r="U108" s="78"/>
      <c r="V108"/>
      <c r="W108" s="8"/>
      <c r="Y108" s="88" t="s">
        <v>201</v>
      </c>
      <c r="Z108" s="78"/>
      <c r="AA108"/>
      <c r="AB108"/>
      <c r="AC108" s="8"/>
    </row>
    <row r="109" spans="1:29" x14ac:dyDescent="0.25">
      <c r="A109" s="88" t="s">
        <v>306</v>
      </c>
      <c r="B109" s="78">
        <v>22.2</v>
      </c>
      <c r="C109" s="290"/>
      <c r="D109"/>
      <c r="E109" s="8"/>
      <c r="G109" s="88" t="s">
        <v>196</v>
      </c>
      <c r="H109" s="78">
        <v>11.4</v>
      </c>
      <c r="I109"/>
      <c r="J109"/>
      <c r="K109" s="8"/>
      <c r="M109" s="88" t="s">
        <v>196</v>
      </c>
      <c r="N109" s="78">
        <v>3.6</v>
      </c>
      <c r="O109"/>
      <c r="P109"/>
      <c r="Q109" s="8"/>
      <c r="S109" s="88" t="s">
        <v>196</v>
      </c>
      <c r="T109" s="78"/>
      <c r="U109" s="78"/>
      <c r="V109"/>
      <c r="W109" s="8"/>
      <c r="Y109" s="88" t="s">
        <v>196</v>
      </c>
      <c r="Z109" s="78"/>
      <c r="AA109"/>
      <c r="AB109"/>
      <c r="AC109" s="8"/>
    </row>
    <row r="110" spans="1:29" x14ac:dyDescent="0.25">
      <c r="A110" s="88" t="s">
        <v>307</v>
      </c>
      <c r="B110" s="78">
        <v>185.62</v>
      </c>
      <c r="C110" s="290"/>
      <c r="D110"/>
      <c r="E110" s="8"/>
      <c r="G110" s="88" t="s">
        <v>197</v>
      </c>
      <c r="H110" s="78">
        <v>78.08</v>
      </c>
      <c r="I110"/>
      <c r="J110"/>
      <c r="K110" s="8"/>
      <c r="M110" s="88" t="s">
        <v>197</v>
      </c>
      <c r="N110" s="78">
        <v>206.36</v>
      </c>
      <c r="O110"/>
      <c r="P110"/>
      <c r="Q110" s="8"/>
      <c r="S110" s="88" t="s">
        <v>197</v>
      </c>
      <c r="T110" s="78"/>
      <c r="U110" s="78"/>
      <c r="V110"/>
      <c r="W110" s="8"/>
      <c r="Y110" s="88" t="s">
        <v>197</v>
      </c>
      <c r="Z110" s="78"/>
      <c r="AA110"/>
      <c r="AB110"/>
      <c r="AC110" s="8"/>
    </row>
    <row r="111" spans="1:29" x14ac:dyDescent="0.25">
      <c r="A111" s="88" t="s">
        <v>308</v>
      </c>
      <c r="B111" s="78">
        <v>21.08</v>
      </c>
      <c r="C111" s="290"/>
      <c r="D111"/>
      <c r="E111" s="8"/>
      <c r="G111" s="88" t="s">
        <v>198</v>
      </c>
      <c r="H111" s="78">
        <v>94.86</v>
      </c>
      <c r="I111"/>
      <c r="J111"/>
      <c r="K111" s="8"/>
      <c r="M111" s="88" t="s">
        <v>198</v>
      </c>
      <c r="N111" s="78">
        <v>89.9</v>
      </c>
      <c r="O111"/>
      <c r="P111"/>
      <c r="Q111" s="8"/>
      <c r="S111" s="88" t="s">
        <v>198</v>
      </c>
      <c r="T111" s="78"/>
      <c r="U111" s="78"/>
      <c r="V111"/>
      <c r="W111" s="8"/>
      <c r="Y111" s="88" t="s">
        <v>198</v>
      </c>
      <c r="Z111" s="78"/>
      <c r="AA111"/>
      <c r="AB111"/>
      <c r="AC111" s="8"/>
    </row>
    <row r="112" spans="1:29" x14ac:dyDescent="0.25">
      <c r="A112" s="88" t="s">
        <v>310</v>
      </c>
      <c r="B112" s="78">
        <v>3.05</v>
      </c>
      <c r="C112" s="290"/>
      <c r="D112"/>
      <c r="E112" s="8"/>
      <c r="G112" s="88" t="s">
        <v>199</v>
      </c>
      <c r="H112" s="78">
        <v>10.98</v>
      </c>
      <c r="I112"/>
      <c r="J112"/>
      <c r="K112" s="8"/>
      <c r="M112" s="88" t="s">
        <v>199</v>
      </c>
      <c r="N112" s="78">
        <v>0.61</v>
      </c>
      <c r="O112"/>
      <c r="P112"/>
      <c r="Q112" s="8"/>
      <c r="S112" s="88" t="s">
        <v>199</v>
      </c>
      <c r="T112" s="78"/>
      <c r="U112" s="78"/>
      <c r="V112"/>
      <c r="W112" s="8"/>
      <c r="Y112" s="88" t="s">
        <v>199</v>
      </c>
      <c r="Z112" s="78"/>
      <c r="AA112"/>
      <c r="AB112"/>
      <c r="AC112" s="8"/>
    </row>
    <row r="113" spans="1:29" x14ac:dyDescent="0.25">
      <c r="A113" s="88" t="s">
        <v>309</v>
      </c>
      <c r="B113" s="78">
        <v>10.37</v>
      </c>
      <c r="C113" s="290"/>
      <c r="D113"/>
      <c r="E113" s="8"/>
      <c r="G113" s="88" t="s">
        <v>200</v>
      </c>
      <c r="H113" s="78">
        <v>31.72</v>
      </c>
      <c r="I113"/>
      <c r="J113"/>
      <c r="K113" s="8"/>
      <c r="M113" s="88" t="s">
        <v>200</v>
      </c>
      <c r="N113" s="78">
        <v>12.2</v>
      </c>
      <c r="O113"/>
      <c r="P113"/>
      <c r="Q113" s="8"/>
      <c r="S113" s="88" t="s">
        <v>200</v>
      </c>
      <c r="T113" s="78"/>
      <c r="U113" s="78"/>
      <c r="V113"/>
      <c r="W113" s="8"/>
      <c r="Y113" s="88" t="s">
        <v>200</v>
      </c>
      <c r="Z113" s="78"/>
      <c r="AA113"/>
      <c r="AB113"/>
      <c r="AC113" s="8"/>
    </row>
    <row r="114" spans="1:29" x14ac:dyDescent="0.25">
      <c r="A114" s="11" t="s">
        <v>21</v>
      </c>
      <c r="B114" s="90">
        <f>SUM(B2:B113)</f>
        <v>927159.85846899997</v>
      </c>
      <c r="C114" s="90">
        <f>SUM(C3:C113)</f>
        <v>0</v>
      </c>
      <c r="D114" s="90">
        <f>SUM(D2:D113)</f>
        <v>0</v>
      </c>
      <c r="E114" s="8">
        <f>IF(C114 &gt; 0, C114/B114, 0)</f>
        <v>0</v>
      </c>
      <c r="G114" s="12" t="s">
        <v>21</v>
      </c>
      <c r="H114" s="90">
        <f>SUM(H2:H113)</f>
        <v>904241.49049099977</v>
      </c>
      <c r="I114" s="90">
        <f>SUM(I2:I113)</f>
        <v>0</v>
      </c>
      <c r="J114" s="90">
        <f>SUM(J2:J113)</f>
        <v>0</v>
      </c>
      <c r="K114" s="8">
        <f>IF(I114 &gt; 0, I114/H114, 0)</f>
        <v>0</v>
      </c>
      <c r="M114" s="11" t="s">
        <v>21</v>
      </c>
      <c r="N114" s="90">
        <f>SUM(N2:N113)</f>
        <v>901507.59928299987</v>
      </c>
      <c r="O114" s="90">
        <f>SUM(O2:O113)</f>
        <v>0</v>
      </c>
      <c r="P114" s="90">
        <f>SUM(P2:P113)</f>
        <v>0</v>
      </c>
      <c r="Q114" s="8">
        <f>IF(O114 &gt; 0, O114/N114, 0)</f>
        <v>0</v>
      </c>
      <c r="S114" s="11" t="s">
        <v>21</v>
      </c>
      <c r="T114" s="90">
        <f>SUM(T2:T113)</f>
        <v>0</v>
      </c>
      <c r="U114" s="90">
        <f>SUM(U2:U113)</f>
        <v>0</v>
      </c>
      <c r="V114" s="90">
        <f>SUM(V2:V113)</f>
        <v>0</v>
      </c>
      <c r="W114" s="8" t="e">
        <f>U114/T114</f>
        <v>#DIV/0!</v>
      </c>
      <c r="Y114" s="14" t="s">
        <v>22</v>
      </c>
      <c r="Z114" s="90">
        <f>SUM(Z2:Z113)</f>
        <v>0</v>
      </c>
      <c r="AA114" s="90">
        <f>SUM(AA2:AA113)</f>
        <v>0</v>
      </c>
      <c r="AB114" s="90">
        <f>SUM(AB2:AB113)</f>
        <v>0</v>
      </c>
      <c r="AC114" s="8">
        <f>IF(AA114 &gt; 0, AA114/Z114, 0)</f>
        <v>0</v>
      </c>
    </row>
    <row r="116" spans="1:29" x14ac:dyDescent="0.25">
      <c r="A116" s="16" t="s">
        <v>9</v>
      </c>
      <c r="B116" s="17">
        <f>SUM(B22,B66,B108)</f>
        <v>550505.14426099998</v>
      </c>
      <c r="C116" s="17">
        <f>SUM(C22,C66,C108)</f>
        <v>0</v>
      </c>
      <c r="D116" s="17">
        <f>SUM(D22,D66,D108)</f>
        <v>0</v>
      </c>
      <c r="E116" s="18">
        <f>IF(C116 &gt; 0, C116/B116, 0)</f>
        <v>0</v>
      </c>
      <c r="G116" s="16" t="s">
        <v>9</v>
      </c>
      <c r="H116" s="17">
        <f>SUM(H22,H66,H108)</f>
        <v>533636.59290799999</v>
      </c>
      <c r="I116" s="17">
        <f>SUM(I22,I66,I108)</f>
        <v>0</v>
      </c>
      <c r="J116" s="17">
        <f>SUM(J22,J66,J108)</f>
        <v>0</v>
      </c>
      <c r="K116" s="18">
        <f>IF(I116 &gt; 0, I116/H116, 0)</f>
        <v>0</v>
      </c>
      <c r="M116" s="16" t="s">
        <v>9</v>
      </c>
      <c r="N116" s="17">
        <f>SUM(N22,N66,N108)</f>
        <v>536679.07538100006</v>
      </c>
      <c r="O116" s="17">
        <f>SUM(O22,O66,O108)</f>
        <v>0</v>
      </c>
      <c r="P116" s="17">
        <f>SUM(P22,P66,P108)</f>
        <v>0</v>
      </c>
      <c r="Q116" s="18">
        <f>IF(O116 &gt; 0, O116/N116, 0)</f>
        <v>0</v>
      </c>
      <c r="S116" s="16" t="s">
        <v>9</v>
      </c>
      <c r="T116" s="222">
        <f>SUM(T22,T66,T108)</f>
        <v>0</v>
      </c>
      <c r="U116" s="17">
        <f>SUM(U22,U66,U108)</f>
        <v>0</v>
      </c>
      <c r="V116" s="17">
        <f>SUM(V22,V66,V108)</f>
        <v>0</v>
      </c>
      <c r="W116" s="18">
        <f>IF(U116 &gt; 0, U116/T116, 0)</f>
        <v>0</v>
      </c>
      <c r="Y116" s="16" t="s">
        <v>9</v>
      </c>
      <c r="Z116" s="17">
        <f>SUM(Z22,Z66,Z108)</f>
        <v>0</v>
      </c>
      <c r="AA116" s="17">
        <f>AA11+AA63+AA40</f>
        <v>0</v>
      </c>
      <c r="AB116" s="17">
        <f>AB11+AB63+AB40</f>
        <v>0</v>
      </c>
      <c r="AC116" s="18">
        <f>IF(AA116 &gt; 0, AA116/Z116, 0)</f>
        <v>0</v>
      </c>
    </row>
    <row r="117" spans="1:29" x14ac:dyDescent="0.25">
      <c r="E117" s="10" t="str">
        <f>IF(C117 &gt; 0, C117/B117, "")</f>
        <v/>
      </c>
      <c r="K117" s="10" t="str">
        <f>IF(I117 &gt; 0, I117/H117, "")</f>
        <v/>
      </c>
      <c r="Q117" s="10" t="str">
        <f>IF(O117 &gt; 0, O117/N117, "")</f>
        <v/>
      </c>
      <c r="W117" s="10" t="str">
        <f>IF(U117 &gt; 0, U117/T117, "")</f>
        <v/>
      </c>
      <c r="AC117" s="10" t="str">
        <f>IF(AA117 &gt; 0, AA117/Z117, "")</f>
        <v/>
      </c>
    </row>
    <row r="118" spans="1:29" x14ac:dyDescent="0.25">
      <c r="A118" s="19" t="s">
        <v>23</v>
      </c>
      <c r="B118" s="20">
        <f>B107</f>
        <v>86780.86404</v>
      </c>
      <c r="C118" s="20">
        <f>C107</f>
        <v>0</v>
      </c>
      <c r="D118" s="20">
        <f>D107</f>
        <v>0</v>
      </c>
      <c r="E118" s="8">
        <f t="shared" ref="E118:E125" si="5">IF(C118 &gt; 0, C118/B118, 0)</f>
        <v>0</v>
      </c>
      <c r="G118" s="19" t="s">
        <v>23</v>
      </c>
      <c r="H118" s="20">
        <f>H107</f>
        <v>88365.473039999997</v>
      </c>
      <c r="I118" s="20">
        <f>I107</f>
        <v>0</v>
      </c>
      <c r="J118" s="20">
        <f>J107</f>
        <v>0</v>
      </c>
      <c r="K118" s="8">
        <f t="shared" ref="K118:K125" si="6">IF(I118 &gt; 0, I118/H118, 0)</f>
        <v>0</v>
      </c>
      <c r="M118" s="19" t="s">
        <v>23</v>
      </c>
      <c r="N118" s="20">
        <f>N107</f>
        <v>83651.864088000002</v>
      </c>
      <c r="O118" s="20">
        <f>O107</f>
        <v>0</v>
      </c>
      <c r="P118" s="20">
        <f>P107</f>
        <v>0</v>
      </c>
      <c r="Q118" s="8">
        <f t="shared" ref="Q118:Q125" si="7">IF(O118 &gt; 0, O118/N118, 0)</f>
        <v>0</v>
      </c>
      <c r="S118" s="19" t="s">
        <v>23</v>
      </c>
      <c r="T118" s="142">
        <f>T107</f>
        <v>0</v>
      </c>
      <c r="U118" s="20">
        <f>U107</f>
        <v>0</v>
      </c>
      <c r="V118" s="20">
        <f>V107</f>
        <v>0</v>
      </c>
      <c r="W118" s="8">
        <f t="shared" ref="W118:W125" si="8">IF(U118 &gt; 0, U118/T118, 0)</f>
        <v>0</v>
      </c>
      <c r="Y118" s="19" t="s">
        <v>23</v>
      </c>
      <c r="Z118" s="20">
        <f>Z107</f>
        <v>0</v>
      </c>
      <c r="AA118" s="20">
        <f>AA107</f>
        <v>0</v>
      </c>
      <c r="AB118" s="20">
        <f>AB107</f>
        <v>0</v>
      </c>
      <c r="AC118" s="8">
        <f t="shared" ref="AC118:AC125" si="9">IF(AA118 &gt; 0, AA118/Z118, 0)</f>
        <v>0</v>
      </c>
    </row>
    <row r="119" spans="1:29" x14ac:dyDescent="0.25">
      <c r="A119" s="26" t="s">
        <v>93</v>
      </c>
      <c r="B119" s="20">
        <f>SUM(B12,B38,B61,B74)</f>
        <v>38766.335088</v>
      </c>
      <c r="C119" s="20">
        <f>SUM(C12,C38,C61,C74)</f>
        <v>0</v>
      </c>
      <c r="D119" s="20">
        <f>SUM(D12,D38,D61,D74)</f>
        <v>0</v>
      </c>
      <c r="E119" s="8">
        <f t="shared" si="5"/>
        <v>0</v>
      </c>
      <c r="G119" s="26" t="s">
        <v>93</v>
      </c>
      <c r="H119" s="20">
        <f>SUM(H12,H38,H61,H74)</f>
        <v>37370.843015999999</v>
      </c>
      <c r="I119" s="20">
        <f>SUM(I12,I38,I61,I74)</f>
        <v>0</v>
      </c>
      <c r="J119" s="20">
        <f>SUM(J12,J38,J61,J74)</f>
        <v>0</v>
      </c>
      <c r="K119" s="8">
        <f t="shared" si="6"/>
        <v>0</v>
      </c>
      <c r="M119" s="26" t="s">
        <v>93</v>
      </c>
      <c r="N119" s="20">
        <f>SUM(N12,N38,N61,N74)</f>
        <v>35029.292999999998</v>
      </c>
      <c r="O119" s="20">
        <f>SUM(O12,O38,O61,O74)</f>
        <v>0</v>
      </c>
      <c r="P119" s="20">
        <f>SUM(P12,P38,P61,P74)</f>
        <v>0</v>
      </c>
      <c r="Q119" s="8">
        <f t="shared" si="7"/>
        <v>0</v>
      </c>
      <c r="S119" s="26" t="s">
        <v>93</v>
      </c>
      <c r="T119" s="142">
        <f>SUM(T12,T38,T61,T74)</f>
        <v>0</v>
      </c>
      <c r="U119" s="20">
        <f>SUM(U12,U38,U61,U74)</f>
        <v>0</v>
      </c>
      <c r="V119" s="20">
        <f>SUM(V12,V38,V61,V74)</f>
        <v>0</v>
      </c>
      <c r="W119" s="8">
        <f t="shared" si="8"/>
        <v>0</v>
      </c>
      <c r="Y119" s="26" t="s">
        <v>93</v>
      </c>
      <c r="Z119" s="20">
        <f>SUM(Z12,Z38,Z61,Z74)</f>
        <v>0</v>
      </c>
      <c r="AA119" s="20">
        <f>SUM(AA12,AA38,AA61,AA74)</f>
        <v>0</v>
      </c>
      <c r="AB119" s="20">
        <f>SUM(AB12,AB38,AB61,AB74)</f>
        <v>0</v>
      </c>
      <c r="AC119" s="8">
        <f t="shared" si="9"/>
        <v>0</v>
      </c>
    </row>
    <row r="120" spans="1:29" x14ac:dyDescent="0.25">
      <c r="A120" s="26" t="s">
        <v>87</v>
      </c>
      <c r="B120" s="20">
        <f>SUM(B7,B40,B98)</f>
        <v>53283.643295999995</v>
      </c>
      <c r="C120" s="20">
        <f>SUM(C7,C40,C98)</f>
        <v>0</v>
      </c>
      <c r="D120" s="20">
        <f>SUM(D7,D40,D98)</f>
        <v>0</v>
      </c>
      <c r="E120" s="8">
        <f t="shared" si="5"/>
        <v>0</v>
      </c>
      <c r="G120" s="26" t="s">
        <v>87</v>
      </c>
      <c r="H120" s="20">
        <f>SUM(H7,H40,H98)</f>
        <v>48306.135384000001</v>
      </c>
      <c r="I120" s="20">
        <f>SUM(I7,I40,I98)</f>
        <v>0</v>
      </c>
      <c r="J120" s="20">
        <f>SUM(J7,J40,J98)</f>
        <v>0</v>
      </c>
      <c r="K120" s="8">
        <f t="shared" si="6"/>
        <v>0</v>
      </c>
      <c r="M120" s="26" t="s">
        <v>87</v>
      </c>
      <c r="N120" s="20">
        <f>SUM(N7,N40,N98)</f>
        <v>49772.699808000005</v>
      </c>
      <c r="O120" s="20">
        <f>SUM(O7,O40,O98)</f>
        <v>0</v>
      </c>
      <c r="P120" s="20">
        <f>SUM(P7,P40,P98)</f>
        <v>0</v>
      </c>
      <c r="Q120" s="8">
        <f t="shared" si="7"/>
        <v>0</v>
      </c>
      <c r="S120" s="26" t="s">
        <v>87</v>
      </c>
      <c r="T120" s="142">
        <f>SUM(T7,T40,T98)</f>
        <v>0</v>
      </c>
      <c r="U120" s="20">
        <f>SUM(U7,U40,U98)</f>
        <v>0</v>
      </c>
      <c r="V120" s="20">
        <f>SUM(V7,V40,V98)</f>
        <v>0</v>
      </c>
      <c r="W120" s="8">
        <f t="shared" si="8"/>
        <v>0</v>
      </c>
      <c r="Y120" s="26" t="s">
        <v>87</v>
      </c>
      <c r="Z120" s="20">
        <f>SUM(Z7,Z40,Z98)</f>
        <v>0</v>
      </c>
      <c r="AA120" s="20">
        <f>SUM(AA7,AA40,AA98)</f>
        <v>0</v>
      </c>
      <c r="AB120" s="20">
        <f>SUM(AB7,AB40,AB98)</f>
        <v>0</v>
      </c>
      <c r="AC120" s="8">
        <f t="shared" si="9"/>
        <v>0</v>
      </c>
    </row>
    <row r="121" spans="1:29" x14ac:dyDescent="0.25">
      <c r="A121" s="26" t="s">
        <v>75</v>
      </c>
      <c r="B121" s="20">
        <f>SUM(B94,B86,B53)</f>
        <v>32472.696671999998</v>
      </c>
      <c r="C121" s="20">
        <f>SUM(C94,C86,C53)</f>
        <v>0</v>
      </c>
      <c r="D121" s="20">
        <f>SUM(D94,D86,D53)</f>
        <v>0</v>
      </c>
      <c r="E121" s="8">
        <f>IF(C121 &gt; 0, C121/B121, 0)</f>
        <v>0</v>
      </c>
      <c r="G121" s="26" t="s">
        <v>75</v>
      </c>
      <c r="H121" s="20">
        <f>SUM(H94,H86,H53)</f>
        <v>32123.385527999999</v>
      </c>
      <c r="I121" s="20">
        <f>SUM(I94,I86,I53)</f>
        <v>0</v>
      </c>
      <c r="J121" s="20">
        <f>SUM(J94,J86,J53)</f>
        <v>0</v>
      </c>
      <c r="K121" s="8">
        <f t="shared" si="6"/>
        <v>0</v>
      </c>
      <c r="M121" s="26" t="s">
        <v>75</v>
      </c>
      <c r="N121" s="20">
        <f>SUM(N94,N86,N53)</f>
        <v>35030.034935999996</v>
      </c>
      <c r="O121" s="20">
        <f>SUM(O94,O86,O53)</f>
        <v>0</v>
      </c>
      <c r="P121" s="20">
        <f>SUM(P94,P86,P53)</f>
        <v>0</v>
      </c>
      <c r="Q121" s="8">
        <f t="shared" si="7"/>
        <v>0</v>
      </c>
      <c r="S121" s="26" t="s">
        <v>75</v>
      </c>
      <c r="T121" s="142">
        <f>SUM(T94,T86,T53)</f>
        <v>0</v>
      </c>
      <c r="U121" s="20">
        <f>SUM(U94,U86,U53)</f>
        <v>0</v>
      </c>
      <c r="V121" s="20">
        <f>SUM(V94,V86,V53)</f>
        <v>0</v>
      </c>
      <c r="W121" s="8">
        <f t="shared" si="8"/>
        <v>0</v>
      </c>
      <c r="Y121" s="26" t="s">
        <v>75</v>
      </c>
      <c r="Z121" s="20">
        <f>SUM(Z94,Z86,Z53)</f>
        <v>0</v>
      </c>
      <c r="AA121" s="20">
        <f>SUM(AA94,AA86,AA53)</f>
        <v>0</v>
      </c>
      <c r="AB121" s="20">
        <f>SUM(AB94,AB86,AB53)</f>
        <v>0</v>
      </c>
      <c r="AC121" s="8">
        <f t="shared" si="9"/>
        <v>0</v>
      </c>
    </row>
    <row r="122" spans="1:29" x14ac:dyDescent="0.25">
      <c r="A122" s="26" t="s">
        <v>97</v>
      </c>
      <c r="B122" s="20">
        <f>SUM(B97,B30,B37,B79)</f>
        <v>14862.321239999999</v>
      </c>
      <c r="C122" s="20">
        <f>SUM(C97,C30,C37,C79)</f>
        <v>0</v>
      </c>
      <c r="D122" s="20">
        <f>SUM(D97,D30,D37,D79)</f>
        <v>0</v>
      </c>
      <c r="E122" s="8"/>
      <c r="G122" s="26" t="s">
        <v>97</v>
      </c>
      <c r="H122" s="20">
        <f>SUM(H97,H30,H37,H79)</f>
        <v>12521.756208000001</v>
      </c>
      <c r="I122" s="20">
        <f>SUM(I97,I30,I37,I79)</f>
        <v>0</v>
      </c>
      <c r="J122" s="20">
        <f>SUM(J97,J30,J37,J79)</f>
        <v>0</v>
      </c>
      <c r="K122" s="8"/>
      <c r="M122" s="26" t="s">
        <v>97</v>
      </c>
      <c r="N122" s="20">
        <f>SUM(N97,N30,N37,N79)</f>
        <v>10981.484279999999</v>
      </c>
      <c r="O122" s="20">
        <f>SUM(O97,O30,O37,O79)</f>
        <v>0</v>
      </c>
      <c r="P122" s="20">
        <f>SUM(P97,P30,P37,P79)</f>
        <v>0</v>
      </c>
      <c r="Q122" s="8"/>
      <c r="S122" s="26" t="s">
        <v>97</v>
      </c>
      <c r="T122" s="142">
        <f>SUM(T97,T30,T37,T79)</f>
        <v>0</v>
      </c>
      <c r="U122" s="20">
        <f>SUM(U97,U30,U37,U79)</f>
        <v>0</v>
      </c>
      <c r="V122" s="20">
        <f>SUM(V97,V30,V37,V79)</f>
        <v>0</v>
      </c>
      <c r="W122" s="8"/>
      <c r="Y122" s="26" t="s">
        <v>97</v>
      </c>
      <c r="Z122" s="20">
        <f>SUM(Z97,Z30,Z37,Z79)</f>
        <v>0</v>
      </c>
      <c r="AA122" s="20">
        <f>SUM(AA97,AA30,AA37,AA79)</f>
        <v>0</v>
      </c>
      <c r="AB122" s="20">
        <f>SUM(AB97,AB30,AB37,AB79)</f>
        <v>0</v>
      </c>
      <c r="AC122" s="8"/>
    </row>
    <row r="123" spans="1:29" x14ac:dyDescent="0.25">
      <c r="A123" s="26" t="s">
        <v>64</v>
      </c>
      <c r="B123" s="20">
        <f>SUM(B51,B42)</f>
        <v>7367.7570720000003</v>
      </c>
      <c r="C123" s="20">
        <f>SUM(C51,C42)</f>
        <v>0</v>
      </c>
      <c r="D123" s="20">
        <f>SUM(D51,D42)</f>
        <v>0</v>
      </c>
      <c r="E123" s="8">
        <f t="shared" si="5"/>
        <v>0</v>
      </c>
      <c r="G123" s="26" t="s">
        <v>64</v>
      </c>
      <c r="H123" s="20">
        <f>SUM(H51,H42)</f>
        <v>6269.4871199999998</v>
      </c>
      <c r="I123" s="20">
        <f>SUM(I51,I42)</f>
        <v>0</v>
      </c>
      <c r="J123" s="20">
        <f>SUM(J51,J42)</f>
        <v>0</v>
      </c>
      <c r="K123" s="8">
        <f t="shared" si="6"/>
        <v>0</v>
      </c>
      <c r="M123" s="26" t="s">
        <v>64</v>
      </c>
      <c r="N123" s="20">
        <f>SUM(N51,N42)</f>
        <v>5806.3015919999998</v>
      </c>
      <c r="O123" s="20">
        <f>SUM(O51,O42)</f>
        <v>0</v>
      </c>
      <c r="P123" s="20">
        <f>SUM(P51,P42)</f>
        <v>0</v>
      </c>
      <c r="Q123" s="8">
        <f t="shared" si="7"/>
        <v>0</v>
      </c>
      <c r="S123" s="26" t="s">
        <v>64</v>
      </c>
      <c r="T123" s="142">
        <f>SUM(T51,T42)</f>
        <v>0</v>
      </c>
      <c r="U123" s="20">
        <f>SUM(U51,U42)</f>
        <v>0</v>
      </c>
      <c r="V123" s="20">
        <f>SUM(V51,V42)</f>
        <v>0</v>
      </c>
      <c r="W123" s="8">
        <f t="shared" si="8"/>
        <v>0</v>
      </c>
      <c r="Y123" s="26" t="s">
        <v>64</v>
      </c>
      <c r="Z123" s="20">
        <f>SUM(Z51,Z42)</f>
        <v>0</v>
      </c>
      <c r="AA123" s="20">
        <f>SUM(AA51,AA42)</f>
        <v>0</v>
      </c>
      <c r="AB123" s="20">
        <f>SUM(AB51,AB42)</f>
        <v>0</v>
      </c>
      <c r="AC123" s="8">
        <f t="shared" si="9"/>
        <v>0</v>
      </c>
    </row>
    <row r="124" spans="1:29" x14ac:dyDescent="0.25">
      <c r="A124" s="26" t="s">
        <v>89</v>
      </c>
      <c r="B124" s="20">
        <f>SUM(B19,B28:B29,B35,B48,B59,B60,B64,B85,B87,B91:B92)</f>
        <v>4297.8433680000007</v>
      </c>
      <c r="C124" s="20">
        <f>SUM(C19,C28:C29,C35,C48,C59,C60,C64,C85,C87,C91:C92)</f>
        <v>0</v>
      </c>
      <c r="D124" s="20">
        <f>SUM(D19,D28:D29,D35,D48,D59,D60,D64,D85,D87,D91:D92)</f>
        <v>0</v>
      </c>
      <c r="E124" s="8"/>
      <c r="G124" s="26" t="s">
        <v>89</v>
      </c>
      <c r="H124" s="20">
        <f>SUM(H19,H28:H29,H35,H48,H59,H60,H64,H85,H87,H91:H92)</f>
        <v>4174.2982320000001</v>
      </c>
      <c r="I124" s="20">
        <f>SUM(I19,I28:I29,I35,I48,I59,I60,I64,I85,I87,I91:I92)</f>
        <v>0</v>
      </c>
      <c r="J124" s="20">
        <f>SUM(J19,J28:J29,J35,J48,J59,J60,J64,J85,J87,J91:J92)</f>
        <v>0</v>
      </c>
      <c r="K124" s="8"/>
      <c r="M124" s="26" t="s">
        <v>89</v>
      </c>
      <c r="N124" s="20">
        <f>SUM(N19,N28:N29,N35,N48,N59,N60,N64,N85,N87,N91:N92)</f>
        <v>3859.3975679999999</v>
      </c>
      <c r="O124" s="20">
        <f>SUM(O19,O28:O29,O35,O48,O59,O60,O64,O85,O87,O91:O92)</f>
        <v>0</v>
      </c>
      <c r="P124" s="20">
        <f>SUM(P19,P28:P29,P35,P48,P59,P60,P64,P85,P87,P91:P92)</f>
        <v>0</v>
      </c>
      <c r="Q124" s="8"/>
      <c r="S124" s="26" t="s">
        <v>89</v>
      </c>
      <c r="T124" s="142">
        <f>SUM(T19,T28:T29,T35,T48,T59,T60,T64,T85,T87,T91:T92)</f>
        <v>0</v>
      </c>
      <c r="U124" s="20">
        <f>SUM(U19,U28:U29,U35,U48,U59,U60,U64,U85,U87,U91:U92)</f>
        <v>0</v>
      </c>
      <c r="V124" s="20">
        <f>SUM(V19,V28:V29,V35,V48,V59,V60,V64,V85,V87,V91:V92)</f>
        <v>0</v>
      </c>
      <c r="W124" s="8"/>
      <c r="Y124" s="26" t="s">
        <v>89</v>
      </c>
      <c r="Z124" s="20">
        <f>SUM(Z19,Z28:Z29,Z35,Z48,Z59,Z60,Z64,Z85,Z87,Z91:Z92)</f>
        <v>0</v>
      </c>
      <c r="AA124" s="20">
        <f>SUM(AA19,AA28:AA29,AA35,AA48,AA59,AA60,AA64,AA85,AA87,AA91:AA92)</f>
        <v>0</v>
      </c>
      <c r="AB124" s="20">
        <f>SUM(AB19,AB28:AB29,AB35,AB48,AB59,AB60,AB64,AB85,AB87,AB91:AB92)</f>
        <v>0</v>
      </c>
      <c r="AC124" s="8"/>
    </row>
    <row r="125" spans="1:29" x14ac:dyDescent="0.25">
      <c r="A125" s="16" t="s">
        <v>24</v>
      </c>
      <c r="B125" s="17">
        <f>SUM(B118:B124)</f>
        <v>237831.46077599999</v>
      </c>
      <c r="C125" s="17">
        <f>SUM(C118:C124)</f>
        <v>0</v>
      </c>
      <c r="D125" s="17">
        <f>SUM(D118:D124)</f>
        <v>0</v>
      </c>
      <c r="E125" s="18">
        <f t="shared" si="5"/>
        <v>0</v>
      </c>
      <c r="G125" s="16" t="s">
        <v>24</v>
      </c>
      <c r="H125" s="17">
        <f>SUM(H118:H124)</f>
        <v>229131.378528</v>
      </c>
      <c r="I125" s="17">
        <f>SUM(I118:I124)</f>
        <v>0</v>
      </c>
      <c r="J125" s="17">
        <f>SUM(J118:J124)</f>
        <v>0</v>
      </c>
      <c r="K125" s="18">
        <f t="shared" si="6"/>
        <v>0</v>
      </c>
      <c r="M125" s="16" t="s">
        <v>24</v>
      </c>
      <c r="N125" s="17">
        <f>SUM(N118:N124)</f>
        <v>224131.07527199999</v>
      </c>
      <c r="O125" s="17">
        <f>SUM(O118:O124)</f>
        <v>0</v>
      </c>
      <c r="P125" s="17">
        <f>SUM(P118:P124)</f>
        <v>0</v>
      </c>
      <c r="Q125" s="18">
        <f t="shared" si="7"/>
        <v>0</v>
      </c>
      <c r="S125" s="16" t="s">
        <v>24</v>
      </c>
      <c r="T125" s="222">
        <f>SUM(T118:T124)</f>
        <v>0</v>
      </c>
      <c r="U125" s="17">
        <f>SUM(U118:U124)</f>
        <v>0</v>
      </c>
      <c r="V125" s="17">
        <f>SUM(V118:V124)</f>
        <v>0</v>
      </c>
      <c r="W125" s="18">
        <f t="shared" si="8"/>
        <v>0</v>
      </c>
      <c r="Y125" s="16" t="s">
        <v>24</v>
      </c>
      <c r="Z125" s="17">
        <f>SUM(Z118:Z124)</f>
        <v>0</v>
      </c>
      <c r="AA125" s="17">
        <f>SUM(AA118:AA124)</f>
        <v>0</v>
      </c>
      <c r="AB125" s="17">
        <f>SUM(AB118:AB124)</f>
        <v>0</v>
      </c>
      <c r="AC125" s="18">
        <f t="shared" si="9"/>
        <v>0</v>
      </c>
    </row>
    <row r="126" spans="1:29" x14ac:dyDescent="0.25">
      <c r="E126" s="10" t="str">
        <f>IF(C126 &gt; 0, C126/B126, "")</f>
        <v/>
      </c>
      <c r="K126" s="10" t="str">
        <f>IF(I126 &gt; 0, I126/H126, "")</f>
        <v/>
      </c>
      <c r="Q126" s="10" t="str">
        <f>IF(O126 &gt; 0, O126/N126, "")</f>
        <v/>
      </c>
      <c r="W126" s="10" t="str">
        <f>IF(U126 &gt; 0, U126/T126, "")</f>
        <v/>
      </c>
      <c r="AC126" s="10" t="str">
        <f>IF(AA126 &gt; 0, AA126/Z126, "")</f>
        <v/>
      </c>
    </row>
    <row r="127" spans="1:29" x14ac:dyDescent="0.25">
      <c r="A127" s="19" t="s">
        <v>65</v>
      </c>
      <c r="B127" s="20">
        <f>SUM(B75,B6)</f>
        <v>51185.052492000003</v>
      </c>
      <c r="C127" s="20">
        <f>SUM(C75,C6)</f>
        <v>0</v>
      </c>
      <c r="D127" s="20">
        <f>SUM(D75,D6)</f>
        <v>0</v>
      </c>
      <c r="E127" s="8">
        <f>IF(C127 &gt; 0, C127/B127, 0)</f>
        <v>0</v>
      </c>
      <c r="G127" s="19" t="s">
        <v>65</v>
      </c>
      <c r="H127" s="20">
        <f>SUM(H75,H6)</f>
        <v>52409.482123999995</v>
      </c>
      <c r="I127" s="20">
        <f>SUM(I75,I6)</f>
        <v>0</v>
      </c>
      <c r="J127" s="20">
        <f>SUM(J75,J6)</f>
        <v>0</v>
      </c>
      <c r="K127" s="8">
        <f>IF(I127 &gt; 0, I127/H127, 0)</f>
        <v>0</v>
      </c>
      <c r="M127" s="19" t="s">
        <v>65</v>
      </c>
      <c r="N127" s="20">
        <f>SUM(N75,N6)</f>
        <v>52135.891047999998</v>
      </c>
      <c r="O127" s="20">
        <f>SUM(O75,O6)</f>
        <v>0</v>
      </c>
      <c r="P127" s="20">
        <f>SUM(P75,P6)</f>
        <v>0</v>
      </c>
      <c r="Q127" s="8">
        <f>IF(O127 &gt; 0, O127/N127, 0)</f>
        <v>0</v>
      </c>
      <c r="S127" s="19" t="s">
        <v>65</v>
      </c>
      <c r="T127" s="142">
        <f>SUM(T75,T6)</f>
        <v>0</v>
      </c>
      <c r="U127" s="20">
        <f>SUM(U75,U6)</f>
        <v>0</v>
      </c>
      <c r="V127" s="20">
        <f>SUM(V75,V6)</f>
        <v>0</v>
      </c>
      <c r="W127" s="8">
        <f>IF(U127 &gt; 0, U127/T127, 0)</f>
        <v>0</v>
      </c>
      <c r="Y127" s="19" t="s">
        <v>65</v>
      </c>
      <c r="Z127" s="20">
        <f>SUM(Z75,Z6)</f>
        <v>0</v>
      </c>
      <c r="AA127" s="20">
        <f>SUM(AA75,AA6)</f>
        <v>0</v>
      </c>
      <c r="AB127" s="20">
        <f>SUM(AB75,AB6)</f>
        <v>0</v>
      </c>
      <c r="AC127" s="8">
        <f>IF(AA127 &gt; 0, AA127/Z127, 0)</f>
        <v>0</v>
      </c>
    </row>
    <row r="128" spans="1:29" x14ac:dyDescent="0.25">
      <c r="A128" s="19" t="s">
        <v>25</v>
      </c>
      <c r="B128" s="20">
        <f>B54</f>
        <v>20179.061369999999</v>
      </c>
      <c r="C128" s="20">
        <f>C54</f>
        <v>0</v>
      </c>
      <c r="D128" s="20">
        <f>D54</f>
        <v>0</v>
      </c>
      <c r="E128" s="8">
        <f>IF(C128 &gt; 0, C128/B128, 0)</f>
        <v>0</v>
      </c>
      <c r="G128" s="19" t="s">
        <v>25</v>
      </c>
      <c r="H128" s="20">
        <f>H54</f>
        <v>19649.380724999999</v>
      </c>
      <c r="I128" s="20">
        <f>I54</f>
        <v>0</v>
      </c>
      <c r="J128" s="20">
        <f>J54</f>
        <v>0</v>
      </c>
      <c r="K128" s="8">
        <f>IF(I128 &gt; 0, I128/H128, 0)</f>
        <v>0</v>
      </c>
      <c r="M128" s="19" t="s">
        <v>25</v>
      </c>
      <c r="N128" s="20">
        <f>N54</f>
        <v>19244.281094999998</v>
      </c>
      <c r="O128" s="20">
        <f>O54</f>
        <v>0</v>
      </c>
      <c r="P128" s="20">
        <f>P54</f>
        <v>0</v>
      </c>
      <c r="Q128" s="8">
        <f>IF(O128 &gt; 0, O128/N128, 0)</f>
        <v>0</v>
      </c>
      <c r="S128" s="19" t="s">
        <v>25</v>
      </c>
      <c r="T128" s="142">
        <f>T54</f>
        <v>0</v>
      </c>
      <c r="U128" s="20">
        <f>U54</f>
        <v>0</v>
      </c>
      <c r="V128" s="20">
        <f>V54</f>
        <v>0</v>
      </c>
      <c r="W128" s="8">
        <f>IF(U128 &gt; 0, U128/T128, 0)</f>
        <v>0</v>
      </c>
      <c r="Y128" s="19" t="s">
        <v>25</v>
      </c>
      <c r="Z128" s="20">
        <f>Z54</f>
        <v>0</v>
      </c>
      <c r="AA128" s="20">
        <f>AA54</f>
        <v>0</v>
      </c>
      <c r="AB128" s="20">
        <f>AB54</f>
        <v>0</v>
      </c>
      <c r="AC128" s="8">
        <f>IF(AA128 &gt; 0, AA128/Z128, 0)</f>
        <v>0</v>
      </c>
    </row>
    <row r="129" spans="1:29" x14ac:dyDescent="0.25">
      <c r="A129" s="19" t="s">
        <v>96</v>
      </c>
      <c r="B129" s="20">
        <f>SUM(B83,B82,B80,B76,B46,B44,B32,B34,B25,B26,B27,B17,B4,B15,B33,B110,B13)</f>
        <v>18032.36</v>
      </c>
      <c r="C129" s="20">
        <f>SUM(C83,C82,C80,C76,C46,C44,C32,C34,C25,C26,C27,C17,C4,C15,C33,C110)</f>
        <v>0</v>
      </c>
      <c r="D129" s="20">
        <f>SUM(D83,D82,D80,D76,D46,D44,D32,D34,D25,D26,D27,D17,D4,D15,D33,D110)</f>
        <v>0</v>
      </c>
      <c r="E129" s="8"/>
      <c r="G129" s="19" t="s">
        <v>96</v>
      </c>
      <c r="H129" s="20">
        <f>SUM(H83,H82,H80,H76,H46,H44,H32,H34,H25,H26,H27,H17,H4,H15,H33,H110,H13)</f>
        <v>19179.050000000003</v>
      </c>
      <c r="I129" s="20">
        <f>SUM(I83,I82,I80,I76,I46,I44,I32,I34,I25,I26,I27,I17,I4,I15,I33,I110)</f>
        <v>0</v>
      </c>
      <c r="J129" s="20">
        <f>SUM(J83,J82,J80,J76,J46,J44,J32,J34,J25,J26,J27,J17,J4,J15,J33,J110)</f>
        <v>0</v>
      </c>
      <c r="K129" s="8"/>
      <c r="M129" s="19" t="s">
        <v>96</v>
      </c>
      <c r="N129" s="20">
        <f>SUM(N83,N82,N80,N76,N46,N44,N32,N34,N25,N26,N27,N17,N4,N15,N33,N110,N13)</f>
        <v>20791.390000000003</v>
      </c>
      <c r="O129" s="20">
        <f>SUM(O83,O82,O80,O76,O46,O44,O32,O34,O25,O26,O27,O17,O4,O15,O33,O110)</f>
        <v>0</v>
      </c>
      <c r="P129" s="20">
        <f>SUM(P83,P82,P80,P76,P46,P44,P32,P34,P25,P26,P27,P17,P4,P15,P33,P110)</f>
        <v>0</v>
      </c>
      <c r="Q129" s="8"/>
      <c r="S129" s="19" t="s">
        <v>96</v>
      </c>
      <c r="T129" s="20">
        <f>SUM(T83,T82,T80,T76,T46,T44,T32,T34,T25,T26,T27,T17,T4,T15,T33,T110,T13)</f>
        <v>0</v>
      </c>
      <c r="U129" s="20">
        <f>SUM(U83,U82,U80,U76,U46,U44,U32,U34,U25,U26,U27,U17,U4,U15,U33,U110)</f>
        <v>0</v>
      </c>
      <c r="V129" s="20">
        <f>SUM(V83,V82,V80,V76,V46,V44,V32,V34,V25,V26,V27,V17,V4,V15,V33,V110)</f>
        <v>0</v>
      </c>
      <c r="W129" s="8"/>
      <c r="Y129" s="19" t="s">
        <v>96</v>
      </c>
      <c r="Z129" s="20">
        <f>SUM(Z83,Z82,Z80,Z76,Z46,Z44,Z32,Z34,Z25,Z26,Z27,Z17,Z4,Z15,Z33,Z110,Z13)</f>
        <v>0</v>
      </c>
      <c r="AA129" s="20">
        <f>SUM(AA83,AA82,AA80,AA76,AA46,AA44,AA32,AA34,AA25,AA26,AA27,AA17,AA4,AA15,AA33,AA110)</f>
        <v>0</v>
      </c>
      <c r="AB129" s="20">
        <f>SUM(AB83,AB82,AB80,AB76,AB46,AB44,AB32,AB34,AB25,AB26,AB27,AB17,AB4,AB15,AB33,AB110)</f>
        <v>0</v>
      </c>
      <c r="AC129" s="8"/>
    </row>
    <row r="130" spans="1:29" x14ac:dyDescent="0.25">
      <c r="A130" s="26" t="s">
        <v>99</v>
      </c>
      <c r="B130" s="20">
        <f>SUM(B18,B21,B47,B62,B63,B69,B84,B90,B99,B101,B111,B95,B58)</f>
        <v>4320.3908040000006</v>
      </c>
      <c r="C130" s="20">
        <f>SUM(C18,C21,C47,C62,C63,C69,C84,C90,C99,C101,C111,C95,C58)</f>
        <v>0</v>
      </c>
      <c r="D130" s="20">
        <f>SUM(D18,D21,D47,D62,D63,D69,D84,D90,D99,D101,D111,D95,D58)</f>
        <v>0</v>
      </c>
      <c r="E130" s="8"/>
      <c r="G130" s="26" t="s">
        <v>99</v>
      </c>
      <c r="H130" s="20">
        <f>SUM(H18,H21,H47,H62,H63,H69,H84,H90,H99,H101,H111,H95,H58)</f>
        <v>5444.9732089999989</v>
      </c>
      <c r="I130" s="20">
        <f>SUM(I18,I21,I47,I62,I63,I69,I84,I90,I99,I101,I111,I95,I58)</f>
        <v>0</v>
      </c>
      <c r="J130" s="20">
        <f>SUM(J18,J21,J47,J62,J63,J69,J84,J90,J99,J101,J111,J95,J58)</f>
        <v>0</v>
      </c>
      <c r="K130" s="8"/>
      <c r="M130" s="26" t="s">
        <v>99</v>
      </c>
      <c r="N130" s="20">
        <f>SUM(N18,N21,N47,N62,N63,N69,N84,N90,N99,N101,N111,N95,N58)</f>
        <v>4950.2867959999994</v>
      </c>
      <c r="O130" s="20">
        <f>SUM(O18,O21,O47,O62,O63,O69,O84,O90,O99,O101,O111,O95,O58)</f>
        <v>0</v>
      </c>
      <c r="P130" s="20">
        <f>SUM(P18,P21,P47,P62,P63,P69,P84,P90,P99,P101,P111,P95,P58)</f>
        <v>0</v>
      </c>
      <c r="Q130" s="8"/>
      <c r="S130" s="26" t="s">
        <v>99</v>
      </c>
      <c r="T130" s="142">
        <f>SUM(T18,T21,T47,T62,T63,T69,T84,T90,T99,T101,T111,T95,T58)</f>
        <v>0</v>
      </c>
      <c r="U130" s="20">
        <f>SUM(U18,U21,U47,U62,U63,U69,U84,U90,U99,U101,U111,U95,U58)</f>
        <v>0</v>
      </c>
      <c r="V130" s="20">
        <f>SUM(V18,V21,V47,V62,V63,V69,V84,V90,V99,V101,V111,V95,V58)</f>
        <v>0</v>
      </c>
      <c r="W130" s="8"/>
      <c r="Y130" s="26" t="s">
        <v>99</v>
      </c>
      <c r="Z130" s="20">
        <f>SUM(Z18,Z21,Z47,Z62,Z63,Z69,Z84,Z90,Z99,Z101,Z111,Z95,Z58)</f>
        <v>0</v>
      </c>
      <c r="AA130" s="20">
        <f>SUM(AA18,AA21,AA47,AA62,AA63,AA69,AA84,AA90,AA99,AA101,AA111,AA95,AA58)</f>
        <v>0</v>
      </c>
      <c r="AB130" s="20">
        <f>SUM(AB18,AB21,AB47,AB62,AB63,AB69,AB84,AB90,AB99,AB101,AB111,AB95,AB58)</f>
        <v>0</v>
      </c>
      <c r="AC130" s="8"/>
    </row>
    <row r="131" spans="1:29" x14ac:dyDescent="0.25">
      <c r="A131" s="26" t="s">
        <v>202</v>
      </c>
      <c r="B131" s="20">
        <f>B112+B113+B109+B106+B105+B104+B102+B100+B96+B89+B81+B77+B78+B71+B72+B73+B67+B68+B65+B55+B56+B57+B52+B50+B49+B45+B43+B41+B39+B36+B31+B24+B23+B20+B16+B14+B11+B10+B9+B8+B5+B3+B2+B93+B70</f>
        <v>10335.719720999999</v>
      </c>
      <c r="C131" s="20">
        <f>C112+C113+C109+C106+C105+C104+C102+C100+C96+C89+C81+C77+C78+C71+C72+C73+C67+C68+C65+C55+C56+C57+C52+C50+C49+C45+C43+C41+C39+C36+C31+C24+C23+C20+C16+C14+C11+C10+C9+C8+C5+C3+'IODA iTunes data'!C2+C93+C13+C70</f>
        <v>0</v>
      </c>
      <c r="D131" s="20">
        <f>D112+D113+D109+D106+D105+D104+D102+D100+D96+D89+D81+D77+D78+D71+D72+D73+D67+D68+D65+D55+D56+D57+D52+D50+D49+D45+D43+D41+D39+D36+D31+D24+D23+D20+D16+D14+D11+D10+D9+D8+D5+D3+D2+D93+D13+D70</f>
        <v>0</v>
      </c>
      <c r="E131" s="8"/>
      <c r="G131" s="93" t="s">
        <v>202</v>
      </c>
      <c r="H131" s="20">
        <f>H112+H113+H109+H106+H105+H104+H102+H100+H96+H89+H81+H77+H78+H71+H72+H73+H67+H68+H65+H55+H56+H57+H52+H50+H49+H45+H43+H41+H39+H36+H31+H24+H23+H20+H16+H14+H11+H10+H9+H8+H5+H3+H2+H93+H70</f>
        <v>10204.949307000001</v>
      </c>
      <c r="I131" s="20">
        <f t="shared" ref="I131:J131" si="10">I112+I113+I109+I106+I105+I104+I102+I100+I96+I89+I81+I77+I78+I71+I72+I73+I67+I68+I65+I55+I56+I57+I52+I50+I49+I45+I43+I41+I39+I36+I31+I24+I23+I20+I16+I14+I11+I10+I9+I8+I5+I3+I2+I93+I13+I70</f>
        <v>0</v>
      </c>
      <c r="J131" s="20">
        <f t="shared" si="10"/>
        <v>0</v>
      </c>
      <c r="K131" s="8"/>
      <c r="M131" s="93" t="s">
        <v>202</v>
      </c>
      <c r="N131" s="20">
        <f>N112+N113+N109+N106+N105+N104+N102+N100+N96+N89+N81+N77+N78+N71+N72+N73+N67+N68+N65+N55+N56+N57+N52+N50+N49+N45+N43+N41+N39+N36+N31+N24+N23+N20+N16+N14+N11+N10+N9+N8+N5+N3+N2+N93+N70</f>
        <v>9785.3473860000013</v>
      </c>
      <c r="O131" s="20">
        <f t="shared" ref="O131:P131" si="11">O112+O113+O109+O106+O105+O104+O102+O100+O96+O89+O81+O77+O78+O71+O72+O73+O67+O68+O65+O55+O56+O57+O52+O50+O49+O45+O43+O41+O39+O36+O31+O24+O23+O20+O16+O14+O11+O10+O9+O8+O5+O3+O2+O93+O13+O70</f>
        <v>0</v>
      </c>
      <c r="P131" s="20">
        <f t="shared" si="11"/>
        <v>0</v>
      </c>
      <c r="Q131" s="8"/>
      <c r="S131" s="93" t="s">
        <v>202</v>
      </c>
      <c r="T131" s="20">
        <f>T112+T113+T109+T106+T105+T104+T102+T100+T96+T89+T81+T77+T78+T71+T72+T73+T67+T68+T65+T55+T56+T57+T52+T50+T49+T45+T43+T41+T39+T36+T31+T24+T23+T20+T16+T14+T11+T10+T9+T8+T5+T3+T2+T93+T70</f>
        <v>0</v>
      </c>
      <c r="U131" s="20">
        <f t="shared" ref="U131:V131" si="12">U112+U113+U109+U106+U105+U104+U102+U100+U96+U89+U81+U77+U78+U71+U72+U73+U67+U68+U65+U55+U56+U57+U52+U50+U49+U45+U43+U41+U39+U36+U31+U24+U23+U20+U16+U14+U11+U10+U9+U8+U5+U3+U2+U93+U13+U70</f>
        <v>0</v>
      </c>
      <c r="V131" s="20">
        <f t="shared" si="12"/>
        <v>0</v>
      </c>
      <c r="W131" s="8"/>
      <c r="Y131" s="93" t="s">
        <v>202</v>
      </c>
      <c r="Z131" s="20">
        <f>Z112+Z113+Z109+Z106+Z105+Z104+Z102+Z100+Z96+Z89+Z81+Z77+Z78+Z71+Z72+Z73+Z67+Z68+Z65+Z55+Z56+Z57+Z52+Z50+Z49+Z45+Z43+Z41+Z39+Z36+Z31+Z24+Z23+Z20+Z16+Z14+Z11+Z10+Z9+Z8+Z5+Z3+Z2+Z93+Z70</f>
        <v>0</v>
      </c>
      <c r="AA131" s="20">
        <f t="shared" ref="AA131:AB131" si="13">AA112+AA113+AA109+AA106+AA105+AA104+AA102+AA100+AA96+AA89+AA81+AA77+AA78+AA71+AA72+AA73+AA67+AA68+AA65+AA55+AA56+AA57+AA52+AA50+AA49+AA45+AA43+AA41+AA39+AA36+AA31+AA24+AA23+AA20+AA16+AA14+AA11+AA10+AA9+AA8+AA5+AA3+AA2+AA93+AA13+AA70</f>
        <v>0</v>
      </c>
      <c r="AB131" s="20">
        <f t="shared" si="13"/>
        <v>0</v>
      </c>
      <c r="AC131" s="8"/>
    </row>
    <row r="132" spans="1:29" x14ac:dyDescent="0.25">
      <c r="A132" s="26" t="s">
        <v>182</v>
      </c>
      <c r="B132" s="20">
        <f>B88</f>
        <v>26825.461987999999</v>
      </c>
      <c r="C132" s="20">
        <f t="shared" ref="C132:D132" si="14">C88</f>
        <v>0</v>
      </c>
      <c r="D132" s="20">
        <f t="shared" si="14"/>
        <v>0</v>
      </c>
      <c r="E132" s="8"/>
      <c r="G132" s="26" t="s">
        <v>182</v>
      </c>
      <c r="H132" s="20">
        <f t="shared" ref="H132:J132" si="15">H88</f>
        <v>25997.972393</v>
      </c>
      <c r="I132" s="20">
        <f t="shared" si="15"/>
        <v>0</v>
      </c>
      <c r="J132" s="20">
        <f t="shared" si="15"/>
        <v>0</v>
      </c>
      <c r="K132" s="8"/>
      <c r="M132" s="26" t="s">
        <v>182</v>
      </c>
      <c r="N132" s="20">
        <f t="shared" ref="N132:P132" si="16">N88</f>
        <v>24720.778880999998</v>
      </c>
      <c r="O132" s="20">
        <f t="shared" si="16"/>
        <v>0</v>
      </c>
      <c r="P132" s="20">
        <f t="shared" si="16"/>
        <v>0</v>
      </c>
      <c r="Q132" s="8"/>
      <c r="S132" s="26" t="s">
        <v>182</v>
      </c>
      <c r="T132" s="20">
        <f t="shared" ref="T132:V132" si="17">T88</f>
        <v>0</v>
      </c>
      <c r="U132" s="20">
        <f t="shared" si="17"/>
        <v>0</v>
      </c>
      <c r="V132" s="20">
        <f t="shared" si="17"/>
        <v>0</v>
      </c>
      <c r="W132" s="8"/>
      <c r="Y132" s="26" t="s">
        <v>182</v>
      </c>
      <c r="Z132" s="20">
        <f t="shared" ref="Z132:AB132" si="18">Z88</f>
        <v>0</v>
      </c>
      <c r="AA132" s="20">
        <f t="shared" si="18"/>
        <v>0</v>
      </c>
      <c r="AB132" s="20">
        <f t="shared" si="18"/>
        <v>0</v>
      </c>
      <c r="AC132" s="8"/>
    </row>
    <row r="133" spans="1:29" x14ac:dyDescent="0.25">
      <c r="A133" s="26" t="s">
        <v>192</v>
      </c>
      <c r="B133" s="20">
        <f>B103</f>
        <v>7945.2070569999996</v>
      </c>
      <c r="C133" s="20">
        <f t="shared" ref="C133:D133" si="19">C103</f>
        <v>0</v>
      </c>
      <c r="D133" s="20">
        <f t="shared" si="19"/>
        <v>0</v>
      </c>
      <c r="E133" s="8"/>
      <c r="G133" s="26" t="s">
        <v>192</v>
      </c>
      <c r="H133" s="20">
        <f t="shared" ref="H133:J133" si="20">H103</f>
        <v>8587.7112969999998</v>
      </c>
      <c r="I133" s="20">
        <f t="shared" si="20"/>
        <v>0</v>
      </c>
      <c r="J133" s="20">
        <f t="shared" si="20"/>
        <v>0</v>
      </c>
      <c r="K133" s="8"/>
      <c r="M133" s="26" t="s">
        <v>192</v>
      </c>
      <c r="N133" s="20">
        <f t="shared" ref="N133:P133" si="21">N103</f>
        <v>9069.4734239999998</v>
      </c>
      <c r="O133" s="20">
        <f t="shared" si="21"/>
        <v>0</v>
      </c>
      <c r="P133" s="20">
        <f t="shared" si="21"/>
        <v>0</v>
      </c>
      <c r="Q133" s="8"/>
      <c r="S133" s="26" t="s">
        <v>192</v>
      </c>
      <c r="T133" s="20">
        <f t="shared" ref="T133:V133" si="22">T103</f>
        <v>0</v>
      </c>
      <c r="U133" s="20">
        <f t="shared" si="22"/>
        <v>0</v>
      </c>
      <c r="V133" s="20">
        <f t="shared" si="22"/>
        <v>0</v>
      </c>
      <c r="W133" s="8"/>
      <c r="Y133" s="26" t="s">
        <v>192</v>
      </c>
      <c r="Z133" s="20">
        <f t="shared" ref="Z133:AB133" si="23">Z103</f>
        <v>0</v>
      </c>
      <c r="AA133" s="20">
        <f t="shared" si="23"/>
        <v>0</v>
      </c>
      <c r="AB133" s="20">
        <f t="shared" si="23"/>
        <v>0</v>
      </c>
      <c r="AC133" s="8"/>
    </row>
    <row r="134" spans="1:29" x14ac:dyDescent="0.25">
      <c r="A134" s="16" t="s">
        <v>26</v>
      </c>
      <c r="B134" s="92">
        <f>SUM(B127:B131)</f>
        <v>104052.584387</v>
      </c>
      <c r="C134" s="92">
        <f>SUM(C127:C129)</f>
        <v>0</v>
      </c>
      <c r="D134" s="92">
        <f>SUM(D127:D129)</f>
        <v>0</v>
      </c>
      <c r="E134" s="18">
        <f>IF(C134 &gt; 0, C134/B134, 0)</f>
        <v>0</v>
      </c>
      <c r="G134" s="16" t="s">
        <v>26</v>
      </c>
      <c r="H134" s="92">
        <f>SUM(H127:H131)</f>
        <v>106887.83536500001</v>
      </c>
      <c r="I134" s="92">
        <f>SUM(I127:I129)</f>
        <v>0</v>
      </c>
      <c r="J134" s="92">
        <f>SUM(J127:J129)</f>
        <v>0</v>
      </c>
      <c r="K134" s="18">
        <f>IF(I134 &gt; 0, I134/H134, 0)</f>
        <v>0</v>
      </c>
      <c r="M134" s="16" t="s">
        <v>26</v>
      </c>
      <c r="N134" s="92">
        <f>SUM(N127:N131)</f>
        <v>106907.196325</v>
      </c>
      <c r="O134" s="92">
        <f>SUM(O127:O129)</f>
        <v>0</v>
      </c>
      <c r="P134" s="92">
        <f>SUM(P127:P129)</f>
        <v>0</v>
      </c>
      <c r="Q134" s="18">
        <f>IF(O134 &gt; 0, O134/N134, 0)</f>
        <v>0</v>
      </c>
      <c r="S134" s="16" t="s">
        <v>26</v>
      </c>
      <c r="T134" s="223">
        <f>SUM(T127:T131)</f>
        <v>0</v>
      </c>
      <c r="U134" s="92">
        <f>SUM(U127:U129)</f>
        <v>0</v>
      </c>
      <c r="V134" s="92">
        <f>SUM(V127:V129)</f>
        <v>0</v>
      </c>
      <c r="W134" s="18">
        <f>IF(U134 &gt; 0, U134/T134, 0)</f>
        <v>0</v>
      </c>
      <c r="Y134" s="16" t="s">
        <v>26</v>
      </c>
      <c r="Z134" s="92">
        <f>SUM(Z127:Z131)</f>
        <v>0</v>
      </c>
      <c r="AA134" s="92">
        <f>SUM(AA127:AA129)</f>
        <v>0</v>
      </c>
      <c r="AB134" s="92">
        <f>SUM(AB127:AB129)</f>
        <v>0</v>
      </c>
      <c r="AC134" s="18">
        <f>IF(AA134 &gt; 0, AA134/Z134, 0)</f>
        <v>0</v>
      </c>
    </row>
    <row r="135" spans="1:29" x14ac:dyDescent="0.25">
      <c r="E135" s="8" t="str">
        <f>IF(C135 &gt; 0, C135/B135, "")</f>
        <v/>
      </c>
      <c r="K135" s="8" t="str">
        <f>IF(I135 &gt; 0, I135/H135, "")</f>
        <v/>
      </c>
      <c r="Q135" s="8" t="str">
        <f>IF(O135 &gt; 0, O135/N135, "")</f>
        <v/>
      </c>
      <c r="W135" s="8" t="str">
        <f>IF(U135 &gt; 0, U135/T135, "")</f>
        <v/>
      </c>
      <c r="AC135" s="8" t="str">
        <f>IF(AA135 &gt; 0, AA135/Z135, "")</f>
        <v/>
      </c>
    </row>
    <row r="136" spans="1:29" x14ac:dyDescent="0.25">
      <c r="A136" s="21" t="s">
        <v>27</v>
      </c>
      <c r="B136" s="22">
        <f>B116+B125+B134</f>
        <v>892389.18942399998</v>
      </c>
      <c r="C136" s="22">
        <f>C116+C125+C134</f>
        <v>0</v>
      </c>
      <c r="D136" s="22">
        <f>D116+D125+D134</f>
        <v>0</v>
      </c>
      <c r="E136" s="23">
        <f>IF(C136 &gt; 0, C136/B136, 0)</f>
        <v>0</v>
      </c>
      <c r="G136" s="21" t="s">
        <v>28</v>
      </c>
      <c r="H136" s="22">
        <f>H116+H125+H134</f>
        <v>869655.80680099991</v>
      </c>
      <c r="I136" s="22">
        <f>I116+I125+I134</f>
        <v>0</v>
      </c>
      <c r="J136" s="22">
        <f>J116+J125+J134</f>
        <v>0</v>
      </c>
      <c r="K136" s="23">
        <f>IF(I136 &gt; 0, I136/H136, 0)</f>
        <v>0</v>
      </c>
      <c r="M136" s="21" t="s">
        <v>29</v>
      </c>
      <c r="N136" s="22">
        <f>N116+N125+N134</f>
        <v>867717.34697800002</v>
      </c>
      <c r="O136" s="22">
        <f>O116+O125+O134</f>
        <v>0</v>
      </c>
      <c r="P136" s="22">
        <f>P116+P125+P134</f>
        <v>0</v>
      </c>
      <c r="Q136" s="24">
        <f>IF(O136 &gt; 0, O136/N136, 0)</f>
        <v>0</v>
      </c>
      <c r="S136" s="21" t="s">
        <v>30</v>
      </c>
      <c r="T136" s="224">
        <f>T116+T125+T134</f>
        <v>0</v>
      </c>
      <c r="U136" s="22">
        <f>U116+U125+U134</f>
        <v>0</v>
      </c>
      <c r="V136" s="22">
        <f>V116+V125+V134</f>
        <v>0</v>
      </c>
      <c r="W136" s="23">
        <f>IF(U136 &gt; 0, U136/T136, 0)</f>
        <v>0</v>
      </c>
      <c r="Y136" s="21" t="s">
        <v>31</v>
      </c>
      <c r="Z136" s="22">
        <f>Z116+Z125+Z134</f>
        <v>0</v>
      </c>
      <c r="AA136" s="22">
        <f>AA116+AA125+AA134</f>
        <v>0</v>
      </c>
      <c r="AB136" s="22">
        <f>AB116+AB125+AB134</f>
        <v>0</v>
      </c>
      <c r="AC136" s="23">
        <f>IF(AA136 &gt; 0, AA136/Z136, 0)</f>
        <v>0</v>
      </c>
    </row>
    <row r="139" spans="1:29" x14ac:dyDescent="0.25">
      <c r="A139" s="25" t="s">
        <v>32</v>
      </c>
      <c r="B139" s="9"/>
      <c r="C139" s="9"/>
      <c r="D139" s="9"/>
      <c r="E139" s="9"/>
      <c r="G139" s="9"/>
      <c r="H139" s="9"/>
      <c r="I139" s="9"/>
      <c r="J139" s="9"/>
      <c r="K139" s="9"/>
      <c r="M139" s="9"/>
      <c r="N139" s="9"/>
      <c r="O139" s="9"/>
      <c r="P139" s="9"/>
      <c r="Q139" s="9"/>
      <c r="S139" s="9"/>
      <c r="T139" s="225"/>
      <c r="U139" s="9"/>
      <c r="V139" s="9"/>
      <c r="W139" s="9"/>
      <c r="Y139" s="9"/>
      <c r="Z139" s="9"/>
      <c r="AA139" s="9"/>
      <c r="AB139" s="9"/>
      <c r="AC139" s="9"/>
    </row>
    <row r="140" spans="1:29" x14ac:dyDescent="0.25">
      <c r="A140" s="9"/>
      <c r="B140" s="9"/>
      <c r="C140" s="9"/>
      <c r="D140" s="9"/>
      <c r="E140" s="9"/>
      <c r="G140" s="9"/>
      <c r="H140" s="9"/>
      <c r="I140" s="9"/>
      <c r="J140" s="9"/>
      <c r="K140" s="9"/>
      <c r="M140" s="9"/>
      <c r="N140" s="9"/>
      <c r="O140" s="9"/>
      <c r="P140" s="9"/>
      <c r="Q140" s="9"/>
      <c r="S140" s="9"/>
      <c r="T140" s="225"/>
      <c r="U140" s="9"/>
      <c r="V140" s="9"/>
      <c r="W140" s="9"/>
      <c r="Y140" s="9"/>
      <c r="Z140" s="9"/>
      <c r="AA140" s="9"/>
      <c r="AB140" s="9"/>
      <c r="AC140" s="9"/>
    </row>
    <row r="141" spans="1:29" x14ac:dyDescent="0.25">
      <c r="A141" s="6" t="s">
        <v>33</v>
      </c>
      <c r="B141" s="7">
        <f>IF(B3+D3&gt;0, B3+D3, "")</f>
        <v>9.15</v>
      </c>
      <c r="C141" s="7">
        <f>IFERROR(C3+(C3/B3)*D3, "")</f>
        <v>0</v>
      </c>
      <c r="D141" s="7"/>
      <c r="E141" s="8">
        <f>E3</f>
        <v>0</v>
      </c>
      <c r="G141" s="6" t="s">
        <v>33</v>
      </c>
      <c r="H141" s="7">
        <f>IF(H3+J3&gt;0, H3+J3, "")</f>
        <v>20.74</v>
      </c>
      <c r="I141" s="7">
        <f>IFERROR(I3+(I3/H3)*J3, "")</f>
        <v>0</v>
      </c>
      <c r="J141" s="7"/>
      <c r="K141" s="8">
        <f>K3</f>
        <v>0</v>
      </c>
      <c r="M141" s="6" t="s">
        <v>33</v>
      </c>
      <c r="N141" s="7">
        <f>IF(N3+P3&gt;0, N3+P3, "")</f>
        <v>2.44</v>
      </c>
      <c r="O141" s="7">
        <f>IFERROR(O3+(O3/N3)*P3, "")</f>
        <v>0</v>
      </c>
      <c r="P141" s="7"/>
      <c r="Q141" s="8">
        <f>Q3</f>
        <v>0</v>
      </c>
      <c r="S141" s="6" t="s">
        <v>33</v>
      </c>
      <c r="T141" s="226" t="str">
        <f>IF(T3+V3&gt;0, T3+V3, "")</f>
        <v/>
      </c>
      <c r="U141" s="7" t="str">
        <f>IFERROR(U3+(U3/T3)*V3, "")</f>
        <v/>
      </c>
      <c r="V141" s="7"/>
      <c r="W141" s="8" t="e">
        <f>W3</f>
        <v>#DIV/0!</v>
      </c>
      <c r="Y141" s="6" t="s">
        <v>33</v>
      </c>
      <c r="Z141" s="7" t="str">
        <f>IF(Z3+AB3&gt;0, Z3+AB3, "")</f>
        <v/>
      </c>
      <c r="AA141" s="7" t="str">
        <f>IFERROR(AA3+(AA3/Z3)*AB3, "")</f>
        <v/>
      </c>
      <c r="AB141" s="7"/>
      <c r="AC141" s="8" t="e">
        <f>AC3</f>
        <v>#DIV/0!</v>
      </c>
    </row>
    <row r="142" spans="1:29" x14ac:dyDescent="0.25">
      <c r="A142" s="6" t="s">
        <v>34</v>
      </c>
      <c r="B142" s="7">
        <f>IF(B4+D4&gt;0, B4+D4, "")</f>
        <v>1441.92</v>
      </c>
      <c r="C142" s="7">
        <f>IFERROR(C4+(C4/B4)*D4, "")</f>
        <v>0</v>
      </c>
      <c r="D142" s="7"/>
      <c r="E142" s="8">
        <f>E4</f>
        <v>0</v>
      </c>
      <c r="G142" s="6" t="s">
        <v>34</v>
      </c>
      <c r="H142" s="7">
        <f>IF(H4+J4&gt;0, H4+J4, "")</f>
        <v>1612.61</v>
      </c>
      <c r="I142" s="7">
        <f>IFERROR(I4+(I4/H4)*J4, "")</f>
        <v>0</v>
      </c>
      <c r="J142" s="7"/>
      <c r="K142" s="8">
        <f>K4</f>
        <v>0</v>
      </c>
      <c r="M142" s="6" t="s">
        <v>34</v>
      </c>
      <c r="N142" s="7">
        <f>IF(N4+P4&gt;0, N4+P4, "")</f>
        <v>1452.72</v>
      </c>
      <c r="O142" s="7">
        <f>IFERROR(O4+(O4/N4)*P4, "")</f>
        <v>0</v>
      </c>
      <c r="P142" s="7"/>
      <c r="Q142" s="8">
        <f>Q4</f>
        <v>0</v>
      </c>
      <c r="S142" s="6" t="s">
        <v>34</v>
      </c>
      <c r="T142" s="226" t="str">
        <f>IF(T4+V4&gt;0, T4+V4, "")</f>
        <v/>
      </c>
      <c r="U142" s="7" t="str">
        <f>IFERROR(U4+(U4/T4)*V4, "")</f>
        <v/>
      </c>
      <c r="V142" s="7"/>
      <c r="W142" s="8" t="e">
        <f>W4</f>
        <v>#DIV/0!</v>
      </c>
      <c r="Y142" s="6" t="s">
        <v>34</v>
      </c>
      <c r="Z142" s="7" t="str">
        <f>IF(Z4+AB4&gt;0, Z4+AB4, "")</f>
        <v/>
      </c>
      <c r="AA142" s="7" t="str">
        <f>IFERROR(AA4+(AA4/Z4)*AB4, "")</f>
        <v/>
      </c>
      <c r="AB142" s="7"/>
      <c r="AC142" s="8" t="e">
        <f>AC4</f>
        <v>#DIV/0!</v>
      </c>
    </row>
    <row r="143" spans="1:29" x14ac:dyDescent="0.25">
      <c r="A143" s="6" t="s">
        <v>35</v>
      </c>
      <c r="B143" s="7">
        <f>IF(B5+D5&gt;0, B5+D5, "")</f>
        <v>24.18</v>
      </c>
      <c r="C143" s="7">
        <f>IFERROR(C5+(C5/B5)*D5, "")</f>
        <v>0</v>
      </c>
      <c r="D143" s="7"/>
      <c r="E143" s="8">
        <f>E5</f>
        <v>0</v>
      </c>
      <c r="G143" s="6" t="s">
        <v>35</v>
      </c>
      <c r="H143" s="7">
        <f>IF(H5+J5&gt;0, H5+J5, "")</f>
        <v>24.6</v>
      </c>
      <c r="I143" s="7">
        <f>IFERROR(I5+(I5/H5)*J5, "")</f>
        <v>0</v>
      </c>
      <c r="J143" s="7"/>
      <c r="K143" s="8">
        <f>K5</f>
        <v>0</v>
      </c>
      <c r="M143" s="6" t="s">
        <v>35</v>
      </c>
      <c r="N143" s="7">
        <f>IF(N5+P5&gt;0, N5+P5, "")</f>
        <v>14.58</v>
      </c>
      <c r="O143" s="7">
        <f>IFERROR(O5+(O5/N5)*P5, "")</f>
        <v>0</v>
      </c>
      <c r="P143" s="7"/>
      <c r="Q143" s="8">
        <f>Q5</f>
        <v>0</v>
      </c>
      <c r="S143" s="6" t="s">
        <v>35</v>
      </c>
      <c r="T143" s="226" t="str">
        <f>IF(T5+V5&gt;0, T5+V5, "")</f>
        <v/>
      </c>
      <c r="U143" s="7" t="str">
        <f>IFERROR(U5+(U5/T5)*V5, "")</f>
        <v/>
      </c>
      <c r="V143" s="7"/>
      <c r="W143" s="8" t="e">
        <f>W5</f>
        <v>#DIV/0!</v>
      </c>
      <c r="Y143" s="6" t="s">
        <v>35</v>
      </c>
      <c r="Z143" s="7" t="str">
        <f>IF(Z5+AB5&gt;0, Z5+AB5, "")</f>
        <v/>
      </c>
      <c r="AA143" s="7" t="str">
        <f>IFERROR(AA5+(AA5/Z5)*AB5, "")</f>
        <v/>
      </c>
      <c r="AB143" s="7"/>
      <c r="AC143" s="8" t="e">
        <f>AC5</f>
        <v>#DIV/0!</v>
      </c>
    </row>
    <row r="144" spans="1:29" x14ac:dyDescent="0.25">
      <c r="A144" s="6" t="s">
        <v>62</v>
      </c>
      <c r="B144" s="7"/>
      <c r="C144" s="7"/>
      <c r="D144" s="7"/>
      <c r="E144" s="8">
        <f>E9</f>
        <v>0</v>
      </c>
      <c r="G144" s="6" t="s">
        <v>62</v>
      </c>
      <c r="H144" s="7"/>
      <c r="I144" s="7"/>
      <c r="J144" s="7"/>
      <c r="K144" s="8">
        <f>K9</f>
        <v>0</v>
      </c>
      <c r="M144" s="6" t="s">
        <v>62</v>
      </c>
      <c r="N144" s="7"/>
      <c r="O144" s="7"/>
      <c r="P144" s="7"/>
      <c r="Q144" s="8">
        <f>Q9</f>
        <v>0</v>
      </c>
      <c r="S144" s="6" t="s">
        <v>62</v>
      </c>
      <c r="T144" s="226"/>
      <c r="U144" s="7"/>
      <c r="V144" s="7"/>
      <c r="W144" s="8" t="e">
        <f>W9</f>
        <v>#DIV/0!</v>
      </c>
      <c r="Y144" s="6" t="s">
        <v>62</v>
      </c>
      <c r="Z144" s="7"/>
      <c r="AA144" s="7"/>
      <c r="AB144" s="7"/>
      <c r="AC144" s="8" t="e">
        <f>AC9</f>
        <v>#DIV/0!</v>
      </c>
    </row>
    <row r="145" spans="1:29" x14ac:dyDescent="0.25">
      <c r="A145" s="6" t="s">
        <v>36</v>
      </c>
      <c r="B145" s="7">
        <f>IF(B11+D11&gt;0, B11+D11, "")</f>
        <v>69</v>
      </c>
      <c r="C145" s="7">
        <f>IFERROR(C11+(C11/B11)*D11, "")</f>
        <v>0</v>
      </c>
      <c r="D145" s="7"/>
      <c r="E145" s="8">
        <f>E11</f>
        <v>0</v>
      </c>
      <c r="G145" s="6" t="s">
        <v>36</v>
      </c>
      <c r="H145" s="7">
        <f>IF(H11+J11&gt;0, H11+J11, "")</f>
        <v>49.38</v>
      </c>
      <c r="I145" s="7">
        <f>IFERROR(I11+(I11/H11)*J11, "")</f>
        <v>0</v>
      </c>
      <c r="J145" s="7"/>
      <c r="K145" s="8">
        <f>K11</f>
        <v>0</v>
      </c>
      <c r="M145" s="6" t="s">
        <v>36</v>
      </c>
      <c r="N145" s="7">
        <f>IF(N11+P11&gt;0, N11+P11, "")</f>
        <v>55.14</v>
      </c>
      <c r="O145" s="7">
        <f>IFERROR(O11+(O11/N11)*P11, "")</f>
        <v>0</v>
      </c>
      <c r="P145" s="7"/>
      <c r="Q145" s="8">
        <f>Q11</f>
        <v>0</v>
      </c>
      <c r="S145" s="6" t="s">
        <v>36</v>
      </c>
      <c r="T145" s="226" t="str">
        <f>IF(T11+V11&gt;0, T11+V11, "")</f>
        <v/>
      </c>
      <c r="U145" s="7" t="str">
        <f>IFERROR(U11+(U11/T11)*V11, "")</f>
        <v/>
      </c>
      <c r="V145" s="7"/>
      <c r="W145" s="8" t="e">
        <f>W11</f>
        <v>#DIV/0!</v>
      </c>
      <c r="Y145" s="6" t="s">
        <v>36</v>
      </c>
      <c r="Z145" s="7" t="str">
        <f>IF(Z11+AB11&gt;0, Z11+AB11, "")</f>
        <v/>
      </c>
      <c r="AA145" s="7" t="str">
        <f>IFERROR(AA11+(AA11/Z11)*AB11, "")</f>
        <v/>
      </c>
      <c r="AB145" s="7"/>
      <c r="AC145" s="8" t="e">
        <f>AC11</f>
        <v>#DIV/0!</v>
      </c>
    </row>
    <row r="146" spans="1:29" x14ac:dyDescent="0.25">
      <c r="A146" s="6" t="s">
        <v>61</v>
      </c>
      <c r="B146" s="7"/>
      <c r="C146" s="7"/>
      <c r="D146" s="7"/>
      <c r="E146" s="8">
        <f>E15</f>
        <v>0</v>
      </c>
      <c r="G146" s="6" t="s">
        <v>61</v>
      </c>
      <c r="H146" s="7"/>
      <c r="I146" s="7"/>
      <c r="J146" s="7"/>
      <c r="K146" s="8">
        <f>K15</f>
        <v>0</v>
      </c>
      <c r="M146" s="6" t="s">
        <v>61</v>
      </c>
      <c r="N146" s="7"/>
      <c r="O146" s="7"/>
      <c r="P146" s="7"/>
      <c r="Q146" s="8">
        <f>Q15</f>
        <v>0</v>
      </c>
      <c r="S146" s="6" t="s">
        <v>61</v>
      </c>
      <c r="T146" s="226"/>
      <c r="U146" s="7"/>
      <c r="V146" s="7"/>
      <c r="W146" s="8" t="e">
        <f>W15</f>
        <v>#DIV/0!</v>
      </c>
      <c r="Y146" s="6" t="s">
        <v>61</v>
      </c>
      <c r="Z146" s="7"/>
      <c r="AA146" s="7"/>
      <c r="AB146" s="7"/>
      <c r="AC146" s="8" t="e">
        <f>AC15</f>
        <v>#DIV/0!</v>
      </c>
    </row>
    <row r="147" spans="1:29" x14ac:dyDescent="0.25">
      <c r="A147" s="6" t="s">
        <v>60</v>
      </c>
      <c r="B147" s="7"/>
      <c r="C147" s="7"/>
      <c r="D147" s="7"/>
      <c r="E147" s="8">
        <f>E16</f>
        <v>0</v>
      </c>
      <c r="G147" s="6" t="s">
        <v>60</v>
      </c>
      <c r="H147" s="7"/>
      <c r="I147" s="7"/>
      <c r="J147" s="7"/>
      <c r="K147" s="8">
        <f>K16</f>
        <v>0</v>
      </c>
      <c r="M147" s="6" t="s">
        <v>60</v>
      </c>
      <c r="N147" s="7"/>
      <c r="O147" s="7"/>
      <c r="P147" s="7"/>
      <c r="Q147" s="8">
        <f>Q16</f>
        <v>0</v>
      </c>
      <c r="S147" s="6" t="s">
        <v>60</v>
      </c>
      <c r="T147" s="226"/>
      <c r="U147" s="7"/>
      <c r="V147" s="7"/>
      <c r="W147" s="8" t="e">
        <f>W16</f>
        <v>#DIV/0!</v>
      </c>
      <c r="Y147" s="6" t="s">
        <v>60</v>
      </c>
      <c r="Z147" s="7"/>
      <c r="AA147" s="7"/>
      <c r="AB147" s="7"/>
      <c r="AC147" s="8" t="e">
        <f>AC16</f>
        <v>#DIV/0!</v>
      </c>
    </row>
    <row r="148" spans="1:29" x14ac:dyDescent="0.25">
      <c r="A148" s="6" t="s">
        <v>37</v>
      </c>
      <c r="B148" s="7">
        <f>IF(B17+D17&gt;0, B17+D17, "")</f>
        <v>8877.76</v>
      </c>
      <c r="C148" s="7">
        <f>IFERROR(C17+(C17/B17)*D17, "")</f>
        <v>0</v>
      </c>
      <c r="D148" s="7"/>
      <c r="E148" s="8">
        <f>E17</f>
        <v>0</v>
      </c>
      <c r="G148" s="6" t="s">
        <v>37</v>
      </c>
      <c r="H148" s="7">
        <f>IF(H17+J17&gt;0, H17+J17, "")</f>
        <v>10210.280000000001</v>
      </c>
      <c r="I148" s="7">
        <f>IFERROR(I17+(I17/H17)*J17, "")</f>
        <v>0</v>
      </c>
      <c r="J148" s="7"/>
      <c r="K148" s="8">
        <f>K17</f>
        <v>0</v>
      </c>
      <c r="M148" s="6" t="s">
        <v>37</v>
      </c>
      <c r="N148" s="7">
        <f>IF(N17+P17&gt;0, N17+P17, "")</f>
        <v>11309.81</v>
      </c>
      <c r="O148" s="7">
        <f>IFERROR(O17+(O17/N17)*P17, "")</f>
        <v>0</v>
      </c>
      <c r="P148" s="7"/>
      <c r="Q148" s="8">
        <f>Q17</f>
        <v>0</v>
      </c>
      <c r="S148" s="6" t="s">
        <v>37</v>
      </c>
      <c r="T148" s="226" t="str">
        <f>IF(T17+V17&gt;0, T17+V17, "")</f>
        <v/>
      </c>
      <c r="U148" s="7" t="str">
        <f>IFERROR(U17+(U17/T17)*V17, "")</f>
        <v/>
      </c>
      <c r="V148" s="7"/>
      <c r="W148" s="8" t="e">
        <f>W17</f>
        <v>#DIV/0!</v>
      </c>
      <c r="Y148" s="6" t="s">
        <v>37</v>
      </c>
      <c r="Z148" s="7" t="str">
        <f>IF(Z17+AB17&gt;0, Z17+AB17, "")</f>
        <v/>
      </c>
      <c r="AA148" s="7" t="str">
        <f>IFERROR(AA17+(AA17/Z17)*AB17, "")</f>
        <v/>
      </c>
      <c r="AB148" s="7"/>
      <c r="AC148" s="8" t="e">
        <f>AC17</f>
        <v>#DIV/0!</v>
      </c>
    </row>
    <row r="149" spans="1:29" x14ac:dyDescent="0.25">
      <c r="A149" s="6" t="s">
        <v>59</v>
      </c>
      <c r="B149" s="7"/>
      <c r="C149" s="7"/>
      <c r="D149" s="7"/>
      <c r="E149" s="8">
        <f>E21</f>
        <v>0</v>
      </c>
      <c r="G149" s="6" t="s">
        <v>59</v>
      </c>
      <c r="H149" s="7"/>
      <c r="I149" s="7"/>
      <c r="J149" s="7"/>
      <c r="K149" s="8">
        <f>K21</f>
        <v>0</v>
      </c>
      <c r="M149" s="6" t="s">
        <v>59</v>
      </c>
      <c r="N149" s="7"/>
      <c r="O149" s="7"/>
      <c r="P149" s="7"/>
      <c r="Q149" s="8">
        <f>Q21</f>
        <v>0</v>
      </c>
      <c r="S149" s="6" t="s">
        <v>59</v>
      </c>
      <c r="T149" s="226"/>
      <c r="U149" s="7"/>
      <c r="V149" s="7"/>
      <c r="W149" s="8" t="e">
        <f>W21</f>
        <v>#DIV/0!</v>
      </c>
      <c r="Y149" s="6" t="s">
        <v>59</v>
      </c>
      <c r="Z149" s="7"/>
      <c r="AA149" s="7"/>
      <c r="AB149" s="7"/>
      <c r="AC149" s="8" t="e">
        <f>AC21</f>
        <v>#DIV/0!</v>
      </c>
    </row>
    <row r="150" spans="1:29" x14ac:dyDescent="0.25">
      <c r="A150" s="6" t="s">
        <v>38</v>
      </c>
      <c r="B150" s="7">
        <f>IF(B22+D22&gt;0, B22+D22, "")</f>
        <v>51386.355818999997</v>
      </c>
      <c r="C150" s="7">
        <f>IFERROR(C22+(C22/B22)*D22, "")</f>
        <v>0</v>
      </c>
      <c r="D150" s="7"/>
      <c r="E150" s="8">
        <f>E22</f>
        <v>0</v>
      </c>
      <c r="G150" s="6" t="s">
        <v>38</v>
      </c>
      <c r="H150" s="7">
        <f>IF(H22+J22&gt;0, H22+J22, "")</f>
        <v>51339.090016000002</v>
      </c>
      <c r="I150" s="7">
        <f>IFERROR(I22+(I22/H22)*J22, "")</f>
        <v>0</v>
      </c>
      <c r="J150" s="7"/>
      <c r="K150" s="8">
        <f>K22</f>
        <v>0</v>
      </c>
      <c r="M150" s="6" t="s">
        <v>38</v>
      </c>
      <c r="N150" s="7">
        <f>IF(N22+P22&gt;0, N22+P22, "")</f>
        <v>52054.401287000001</v>
      </c>
      <c r="O150" s="7">
        <f>IFERROR(O22+(O22/N22)*P22, "")</f>
        <v>0</v>
      </c>
      <c r="P150" s="7"/>
      <c r="Q150" s="8">
        <f>Q22</f>
        <v>0</v>
      </c>
      <c r="S150" s="6" t="s">
        <v>38</v>
      </c>
      <c r="T150" s="226" t="str">
        <f>IF(T22+V22&gt;0, T22+V22, "")</f>
        <v/>
      </c>
      <c r="U150" s="7" t="str">
        <f>IFERROR(U22+(U22/T22)*V22, "")</f>
        <v/>
      </c>
      <c r="V150" s="7"/>
      <c r="W150" s="8" t="e">
        <f>W22</f>
        <v>#DIV/0!</v>
      </c>
      <c r="Y150" s="6" t="s">
        <v>38</v>
      </c>
      <c r="Z150" s="7" t="str">
        <f>IF(Z22+AB22&gt;0, Z22+AB22, "")</f>
        <v/>
      </c>
      <c r="AA150" s="7" t="str">
        <f>IFERROR(AA22+(AA22/Z22)*AB22, "")</f>
        <v/>
      </c>
      <c r="AB150" s="7"/>
      <c r="AC150" s="8" t="e">
        <f>AC22</f>
        <v>#DIV/0!</v>
      </c>
    </row>
    <row r="151" spans="1:29" x14ac:dyDescent="0.25">
      <c r="A151" s="6" t="s">
        <v>39</v>
      </c>
      <c r="B151" s="7">
        <f>IF(B23+D23&gt;0, B23+D23, "")</f>
        <v>1.83</v>
      </c>
      <c r="C151" s="7">
        <f>IFERROR(C23+(C23/B23)*D23, "")</f>
        <v>0</v>
      </c>
      <c r="D151" s="7"/>
      <c r="E151" s="8">
        <f>E23</f>
        <v>0</v>
      </c>
      <c r="G151" s="6" t="s">
        <v>39</v>
      </c>
      <c r="H151" s="7">
        <f>IF(H23+J23&gt;0, H23+J23, "")</f>
        <v>6.1</v>
      </c>
      <c r="I151" s="7">
        <f>IFERROR(I23+(I23/H23)*J23, "")</f>
        <v>0</v>
      </c>
      <c r="J151" s="7"/>
      <c r="K151" s="8">
        <f>K23</f>
        <v>0</v>
      </c>
      <c r="M151" s="6" t="s">
        <v>39</v>
      </c>
      <c r="N151" s="7" t="str">
        <f>IF(N23+P23&gt;0, N23+P23, "")</f>
        <v/>
      </c>
      <c r="O151" s="7" t="str">
        <f>IFERROR(O23+(O23/N23)*P23, "")</f>
        <v/>
      </c>
      <c r="P151" s="7"/>
      <c r="Q151" s="8" t="e">
        <f>Q23</f>
        <v>#DIV/0!</v>
      </c>
      <c r="S151" s="6" t="s">
        <v>39</v>
      </c>
      <c r="T151" s="226" t="str">
        <f>IF(T23+V23&gt;0, T23+V23, "")</f>
        <v/>
      </c>
      <c r="U151" s="7" t="str">
        <f>IFERROR(U23+(U23/T23)*V23, "")</f>
        <v/>
      </c>
      <c r="V151" s="7"/>
      <c r="W151" s="8" t="e">
        <f>W23</f>
        <v>#DIV/0!</v>
      </c>
      <c r="Y151" s="6" t="s">
        <v>39</v>
      </c>
      <c r="Z151" s="7" t="str">
        <f>IF(Z23+AB23&gt;0, Z23+AB23, "")</f>
        <v/>
      </c>
      <c r="AA151" s="7" t="str">
        <f>IFERROR(AA23+(AA23/Z23)*AB23, "")</f>
        <v/>
      </c>
      <c r="AB151" s="7"/>
      <c r="AC151" s="8" t="e">
        <f>AC23</f>
        <v>#DIV/0!</v>
      </c>
    </row>
    <row r="152" spans="1:29" x14ac:dyDescent="0.25">
      <c r="A152" s="6" t="s">
        <v>40</v>
      </c>
      <c r="B152" s="7">
        <f>IF(B24+D24&gt;0, B24+D24, "")</f>
        <v>21.53</v>
      </c>
      <c r="C152" s="7">
        <f>IFERROR(C24+(C24/B24)*D24, "")</f>
        <v>0</v>
      </c>
      <c r="D152" s="7"/>
      <c r="E152" s="8">
        <f>E24</f>
        <v>0</v>
      </c>
      <c r="G152" s="6" t="s">
        <v>40</v>
      </c>
      <c r="H152" s="7">
        <f>IF(H24+J24&gt;0, H24+J24, "")</f>
        <v>29.28</v>
      </c>
      <c r="I152" s="7">
        <f>IFERROR(I24+(I24/H24)*J24, "")</f>
        <v>0</v>
      </c>
      <c r="J152" s="7"/>
      <c r="K152" s="8">
        <f>K24</f>
        <v>0</v>
      </c>
      <c r="M152" s="6" t="s">
        <v>40</v>
      </c>
      <c r="N152" s="7">
        <f>IF(N24+P24&gt;0, N24+P24, "")</f>
        <v>17.079999999999998</v>
      </c>
      <c r="O152" s="7">
        <f>IFERROR(O24+(O24/N24)*P24, "")</f>
        <v>0</v>
      </c>
      <c r="P152" s="7"/>
      <c r="Q152" s="8">
        <f>Q24</f>
        <v>0</v>
      </c>
      <c r="S152" s="6" t="s">
        <v>40</v>
      </c>
      <c r="T152" s="226" t="str">
        <f>IF(T24+V24&gt;0, T24+V24, "")</f>
        <v/>
      </c>
      <c r="U152" s="7" t="str">
        <f>IFERROR(U24+(U24/T24)*V24, "")</f>
        <v/>
      </c>
      <c r="V152" s="7"/>
      <c r="W152" s="8" t="e">
        <f>W24</f>
        <v>#DIV/0!</v>
      </c>
      <c r="Y152" s="6" t="s">
        <v>40</v>
      </c>
      <c r="Z152" s="7" t="str">
        <f>IF(Z24+AB24&gt;0, Z24+AB24, "")</f>
        <v/>
      </c>
      <c r="AA152" s="7" t="str">
        <f>IFERROR(AA24+(AA24/Z24)*AB24, "")</f>
        <v/>
      </c>
      <c r="AB152" s="7"/>
      <c r="AC152" s="8" t="e">
        <f>AC24</f>
        <v>#DIV/0!</v>
      </c>
    </row>
    <row r="153" spans="1:29" x14ac:dyDescent="0.25">
      <c r="A153" s="6" t="s">
        <v>41</v>
      </c>
      <c r="B153" s="7">
        <f>IF(B25+D25&gt;0, B25+D25, "")</f>
        <v>3023.27</v>
      </c>
      <c r="C153" s="7">
        <f>IFERROR(C25+(C25/B25)*D25, "")</f>
        <v>0</v>
      </c>
      <c r="D153" s="7"/>
      <c r="E153" s="8">
        <f>E25</f>
        <v>0</v>
      </c>
      <c r="G153" s="6" t="s">
        <v>41</v>
      </c>
      <c r="H153" s="7">
        <f>IF(H25+J25&gt;0, H25+J25, "")</f>
        <v>2755.02</v>
      </c>
      <c r="I153" s="7">
        <f>IFERROR(I25+(I25/H25)*J25, "")</f>
        <v>0</v>
      </c>
      <c r="J153" s="7"/>
      <c r="K153" s="8">
        <f>K25</f>
        <v>0</v>
      </c>
      <c r="M153" s="6" t="s">
        <v>41</v>
      </c>
      <c r="N153" s="7">
        <f>IF(N25+P25&gt;0, N25+P25, "")</f>
        <v>2715.87</v>
      </c>
      <c r="O153" s="7">
        <f>IFERROR(O25+(O25/N25)*P25, "")</f>
        <v>0</v>
      </c>
      <c r="P153" s="7"/>
      <c r="Q153" s="8">
        <f>Q25</f>
        <v>0</v>
      </c>
      <c r="S153" s="6" t="s">
        <v>41</v>
      </c>
      <c r="T153" s="226" t="str">
        <f>IF(T25+V25&gt;0, T25+V25, "")</f>
        <v/>
      </c>
      <c r="U153" s="7" t="str">
        <f>IFERROR(U25+(U25/T25)*V25, "")</f>
        <v/>
      </c>
      <c r="V153" s="7"/>
      <c r="W153" s="8" t="e">
        <f>W25</f>
        <v>#DIV/0!</v>
      </c>
      <c r="Y153" s="6" t="s">
        <v>41</v>
      </c>
      <c r="Z153" s="7" t="str">
        <f>IF(Z25+AB25&gt;0, Z25+AB25, "")</f>
        <v/>
      </c>
      <c r="AA153" s="7" t="str">
        <f>IFERROR(AA25+(AA25/Z25)*AB25, "")</f>
        <v/>
      </c>
      <c r="AB153" s="7"/>
      <c r="AC153" s="8" t="e">
        <f>AC25</f>
        <v>#DIV/0!</v>
      </c>
    </row>
    <row r="154" spans="1:29" x14ac:dyDescent="0.25">
      <c r="A154" s="6" t="s">
        <v>58</v>
      </c>
      <c r="B154" s="7"/>
      <c r="C154" s="7"/>
      <c r="D154" s="7"/>
      <c r="E154" s="8">
        <f>E29</f>
        <v>0</v>
      </c>
      <c r="G154" s="6" t="s">
        <v>58</v>
      </c>
      <c r="H154" s="7"/>
      <c r="I154" s="7"/>
      <c r="J154" s="7"/>
      <c r="K154" s="8">
        <f>K29</f>
        <v>0</v>
      </c>
      <c r="M154" s="6" t="s">
        <v>58</v>
      </c>
      <c r="N154" s="7"/>
      <c r="O154" s="7"/>
      <c r="P154" s="7"/>
      <c r="Q154" s="8">
        <f>Q29</f>
        <v>0</v>
      </c>
      <c r="S154" s="6" t="s">
        <v>58</v>
      </c>
      <c r="T154" s="226"/>
      <c r="U154" s="7"/>
      <c r="V154" s="7"/>
      <c r="W154" s="8" t="e">
        <f>W29</f>
        <v>#DIV/0!</v>
      </c>
      <c r="Y154" s="6" t="s">
        <v>58</v>
      </c>
      <c r="Z154" s="7"/>
      <c r="AA154" s="7"/>
      <c r="AB154" s="7"/>
      <c r="AC154" s="8" t="e">
        <f>AC29</f>
        <v>#DIV/0!</v>
      </c>
    </row>
    <row r="155" spans="1:29" x14ac:dyDescent="0.25">
      <c r="A155" s="6" t="s">
        <v>42</v>
      </c>
      <c r="B155" s="7">
        <f>IF(B30+D30&gt;0, B30+D30, "")</f>
        <v>9141.086448</v>
      </c>
      <c r="C155" s="7">
        <f>IFERROR(C30+(C30/B30)*D30, "")</f>
        <v>0</v>
      </c>
      <c r="D155" s="7"/>
      <c r="E155" s="8">
        <f>E30</f>
        <v>0</v>
      </c>
      <c r="G155" s="6" t="s">
        <v>42</v>
      </c>
      <c r="H155" s="7">
        <f>IF(H30+J30&gt;0, H30+J30, "")</f>
        <v>6907.3090320000001</v>
      </c>
      <c r="I155" s="7">
        <f>IFERROR(I30+(I30/H30)*J30, "")</f>
        <v>0</v>
      </c>
      <c r="J155" s="7"/>
      <c r="K155" s="8">
        <f>K30</f>
        <v>0</v>
      </c>
      <c r="M155" s="6" t="s">
        <v>42</v>
      </c>
      <c r="N155" s="7">
        <f>IF(N30+P30&gt;0, N30+P30, "")</f>
        <v>5401.5882959999999</v>
      </c>
      <c r="O155" s="7">
        <f>IFERROR(O30+(O30/N30)*P30, "")</f>
        <v>0</v>
      </c>
      <c r="P155" s="7"/>
      <c r="Q155" s="8">
        <f>Q30</f>
        <v>0</v>
      </c>
      <c r="S155" s="6" t="s">
        <v>42</v>
      </c>
      <c r="T155" s="226" t="str">
        <f>IF(T30+V30&gt;0, T30+V30, "")</f>
        <v/>
      </c>
      <c r="U155" s="7" t="str">
        <f>IFERROR(U30+(U30/T30)*V30, "")</f>
        <v/>
      </c>
      <c r="V155" s="7"/>
      <c r="W155" s="8" t="e">
        <f>W30</f>
        <v>#DIV/0!</v>
      </c>
      <c r="Y155" s="6" t="s">
        <v>42</v>
      </c>
      <c r="Z155" s="7" t="str">
        <f>IF(Z30+AB30&gt;0, Z30+AB30, "")</f>
        <v/>
      </c>
      <c r="AA155" s="7" t="str">
        <f>IFERROR(AA30+(AA30/Z30)*AB30, "")</f>
        <v/>
      </c>
      <c r="AB155" s="7"/>
      <c r="AC155" s="8" t="e">
        <f>AC30</f>
        <v>#DIV/0!</v>
      </c>
    </row>
    <row r="156" spans="1:29" x14ac:dyDescent="0.25">
      <c r="A156" s="6" t="s">
        <v>11</v>
      </c>
      <c r="B156" s="7" t="str">
        <f>IF(B31+D31&gt;0, B31+D31, "")</f>
        <v/>
      </c>
      <c r="C156" s="7" t="str">
        <f>IFERROR(C31+(C31/B31)*D31, "")</f>
        <v/>
      </c>
      <c r="D156" s="7"/>
      <c r="E156" s="8" t="e">
        <f>E31</f>
        <v>#DIV/0!</v>
      </c>
      <c r="G156" s="6" t="s">
        <v>11</v>
      </c>
      <c r="H156" s="7">
        <f>IF(H31+J31&gt;0, H31+J31, "")</f>
        <v>0.61</v>
      </c>
      <c r="I156" s="7">
        <f>IFERROR(I31+(I31/H31)*J31, "")</f>
        <v>0</v>
      </c>
      <c r="J156" s="7"/>
      <c r="K156" s="8">
        <f>K31</f>
        <v>0</v>
      </c>
      <c r="M156" s="6" t="s">
        <v>11</v>
      </c>
      <c r="N156" s="7">
        <f>IF(N31+P31&gt;0, N31+P31, "")</f>
        <v>1.83</v>
      </c>
      <c r="O156" s="7">
        <f>IFERROR(O31+(O31/N31)*P31, "")</f>
        <v>0</v>
      </c>
      <c r="P156" s="7"/>
      <c r="Q156" s="8">
        <f>Q31</f>
        <v>0</v>
      </c>
      <c r="S156" s="6" t="s">
        <v>11</v>
      </c>
      <c r="T156" s="226" t="str">
        <f>IF(T31+V31&gt;0, T31+V31, "")</f>
        <v/>
      </c>
      <c r="U156" s="7" t="str">
        <f>IFERROR(U31+(U31/T31)*V31, "")</f>
        <v/>
      </c>
      <c r="V156" s="7"/>
      <c r="W156" s="8" t="e">
        <f>W31</f>
        <v>#DIV/0!</v>
      </c>
      <c r="Y156" s="6" t="s">
        <v>11</v>
      </c>
      <c r="Z156" s="7" t="str">
        <f>IF(Z31+AB31&gt;0, Z31+AB31, "")</f>
        <v/>
      </c>
      <c r="AA156" s="7" t="str">
        <f>IFERROR(AA31+(AA31/Z31)*AB31, "")</f>
        <v/>
      </c>
      <c r="AB156" s="7"/>
      <c r="AC156" s="8" t="e">
        <f>AC31</f>
        <v>#DIV/0!</v>
      </c>
    </row>
    <row r="157" spans="1:29" x14ac:dyDescent="0.25">
      <c r="A157" s="6" t="s">
        <v>13</v>
      </c>
      <c r="B157" s="7">
        <f>IF(B32+D32&gt;0, B32+D32, "")</f>
        <v>198.97</v>
      </c>
      <c r="C157" s="7">
        <f>IFERROR(C32+(C32/B32)*D32, "")</f>
        <v>0</v>
      </c>
      <c r="D157" s="7"/>
      <c r="E157" s="8">
        <f>E32</f>
        <v>0</v>
      </c>
      <c r="G157" s="6" t="s">
        <v>13</v>
      </c>
      <c r="H157" s="7">
        <f>IF(H32+J32&gt;0, H32+J32, "")</f>
        <v>265.89</v>
      </c>
      <c r="I157" s="7">
        <f>IFERROR(I32+(I32/H32)*J32, "")</f>
        <v>0</v>
      </c>
      <c r="J157" s="7"/>
      <c r="K157" s="8">
        <f>K32</f>
        <v>0</v>
      </c>
      <c r="M157" s="6" t="s">
        <v>13</v>
      </c>
      <c r="N157" s="7">
        <f>IF(N32+P32&gt;0, N32+P32, "")</f>
        <v>288.91000000000003</v>
      </c>
      <c r="O157" s="7">
        <f>IFERROR(O32+(O32/N32)*P32, "")</f>
        <v>0</v>
      </c>
      <c r="P157" s="7"/>
      <c r="Q157" s="8">
        <f>Q32</f>
        <v>0</v>
      </c>
      <c r="S157" s="6" t="s">
        <v>13</v>
      </c>
      <c r="T157" s="226" t="str">
        <f>IF(T32+V32&gt;0, T32+V32, "")</f>
        <v/>
      </c>
      <c r="U157" s="7" t="str">
        <f>IFERROR(U32+(U32/T32)*V32, "")</f>
        <v/>
      </c>
      <c r="V157" s="7"/>
      <c r="W157" s="8" t="e">
        <f>W32</f>
        <v>#DIV/0!</v>
      </c>
      <c r="Y157" s="6" t="s">
        <v>13</v>
      </c>
      <c r="Z157" s="7" t="str">
        <f>IF(Z32+AB32&gt;0, Z32+AB32, "")</f>
        <v/>
      </c>
      <c r="AA157" s="7" t="str">
        <f>IFERROR(AA32+(AA32/Z32)*AB32, "")</f>
        <v/>
      </c>
      <c r="AB157" s="7"/>
      <c r="AC157" s="8" t="e">
        <f>AC32</f>
        <v>#DIV/0!</v>
      </c>
    </row>
    <row r="158" spans="1:29" x14ac:dyDescent="0.25">
      <c r="A158" s="6" t="s">
        <v>57</v>
      </c>
      <c r="B158" s="7"/>
      <c r="C158" s="7"/>
      <c r="D158" s="7"/>
      <c r="E158" s="8">
        <f>E34</f>
        <v>0</v>
      </c>
      <c r="G158" s="6" t="s">
        <v>57</v>
      </c>
      <c r="H158" s="7"/>
      <c r="I158" s="7"/>
      <c r="J158" s="7"/>
      <c r="K158" s="8">
        <f>K34</f>
        <v>0</v>
      </c>
      <c r="M158" s="6" t="s">
        <v>57</v>
      </c>
      <c r="N158" s="7"/>
      <c r="O158" s="7"/>
      <c r="P158" s="7"/>
      <c r="Q158" s="8">
        <f>Q34</f>
        <v>0</v>
      </c>
      <c r="S158" s="6" t="s">
        <v>57</v>
      </c>
      <c r="T158" s="226"/>
      <c r="U158" s="7"/>
      <c r="V158" s="7"/>
      <c r="W158" s="8" t="e">
        <f>W34</f>
        <v>#DIV/0!</v>
      </c>
      <c r="Y158" s="6" t="s">
        <v>57</v>
      </c>
      <c r="Z158" s="7"/>
      <c r="AA158" s="7"/>
      <c r="AB158" s="7"/>
      <c r="AC158" s="8" t="e">
        <f>AC34</f>
        <v>#DIV/0!</v>
      </c>
    </row>
    <row r="159" spans="1:29" x14ac:dyDescent="0.25">
      <c r="A159" s="6" t="s">
        <v>56</v>
      </c>
      <c r="B159" s="7"/>
      <c r="C159" s="7"/>
      <c r="D159" s="7"/>
      <c r="E159" s="8">
        <f>E35</f>
        <v>0</v>
      </c>
      <c r="G159" s="6" t="s">
        <v>56</v>
      </c>
      <c r="H159" s="7"/>
      <c r="I159" s="7"/>
      <c r="J159" s="7"/>
      <c r="K159" s="8">
        <f>K35</f>
        <v>0</v>
      </c>
      <c r="M159" s="6" t="s">
        <v>56</v>
      </c>
      <c r="N159" s="7"/>
      <c r="O159" s="7"/>
      <c r="P159" s="7"/>
      <c r="Q159" s="8">
        <f>Q35</f>
        <v>0</v>
      </c>
      <c r="S159" s="6" t="s">
        <v>56</v>
      </c>
      <c r="T159" s="226"/>
      <c r="U159" s="7"/>
      <c r="V159" s="7"/>
      <c r="W159" s="8" t="e">
        <f>W35</f>
        <v>#DIV/0!</v>
      </c>
      <c r="Y159" s="6" t="s">
        <v>56</v>
      </c>
      <c r="Z159" s="7"/>
      <c r="AA159" s="7"/>
      <c r="AB159" s="7"/>
      <c r="AC159" s="8" t="e">
        <f>AC35</f>
        <v>#DIV/0!</v>
      </c>
    </row>
    <row r="160" spans="1:29" x14ac:dyDescent="0.25">
      <c r="A160" s="6" t="s">
        <v>43</v>
      </c>
      <c r="B160" s="7">
        <f>IF(B36+D36&gt;0, B36+D36, "")</f>
        <v>1.83</v>
      </c>
      <c r="C160" s="7">
        <f>IFERROR(C36+(C36/B36)*D36, "")</f>
        <v>0</v>
      </c>
      <c r="D160" s="7"/>
      <c r="E160" s="8">
        <f>E36</f>
        <v>0</v>
      </c>
      <c r="G160" s="6" t="s">
        <v>43</v>
      </c>
      <c r="H160" s="7" t="str">
        <f>IF(H36+J36&gt;0, H36+J36, "")</f>
        <v/>
      </c>
      <c r="I160" s="7" t="str">
        <f>IFERROR(I36+(I36/H36)*J36, "")</f>
        <v/>
      </c>
      <c r="J160" s="7"/>
      <c r="K160" s="8" t="e">
        <f>K36</f>
        <v>#DIV/0!</v>
      </c>
      <c r="M160" s="6" t="s">
        <v>43</v>
      </c>
      <c r="N160" s="7">
        <f>IF(N36+P36&gt;0, N36+P36, "")</f>
        <v>1.22</v>
      </c>
      <c r="O160" s="7">
        <f>IFERROR(O36+(O36/N36)*P36, "")</f>
        <v>0</v>
      </c>
      <c r="P160" s="7"/>
      <c r="Q160" s="8">
        <f>Q36</f>
        <v>0</v>
      </c>
      <c r="S160" s="6" t="s">
        <v>43</v>
      </c>
      <c r="T160" s="226" t="str">
        <f>IF(T36+V36&gt;0, T36+V36, "")</f>
        <v/>
      </c>
      <c r="U160" s="7" t="str">
        <f>IFERROR(U36+(U36/T36)*V36, "")</f>
        <v/>
      </c>
      <c r="V160" s="7"/>
      <c r="W160" s="8" t="e">
        <f>W36</f>
        <v>#DIV/0!</v>
      </c>
      <c r="Y160" s="6" t="s">
        <v>43</v>
      </c>
      <c r="Z160" s="7" t="str">
        <f>IF(Z36+AB36&gt;0, Z36+AB36, "")</f>
        <v/>
      </c>
      <c r="AA160" s="7" t="str">
        <f>IFERROR(AA36+(AA36/Z36)*AB36, "")</f>
        <v/>
      </c>
      <c r="AB160" s="7"/>
      <c r="AC160" s="8" t="e">
        <f>AC36</f>
        <v>#DIV/0!</v>
      </c>
    </row>
    <row r="161" spans="1:29" x14ac:dyDescent="0.25">
      <c r="A161" s="6" t="s">
        <v>55</v>
      </c>
      <c r="B161" s="7"/>
      <c r="C161" s="7"/>
      <c r="D161" s="7"/>
      <c r="E161" s="8" t="e">
        <f>E39</f>
        <v>#DIV/0!</v>
      </c>
      <c r="G161" s="6" t="s">
        <v>55</v>
      </c>
      <c r="H161" s="7"/>
      <c r="I161" s="7"/>
      <c r="J161" s="7"/>
      <c r="K161" s="8" t="e">
        <f>K39</f>
        <v>#DIV/0!</v>
      </c>
      <c r="M161" s="6" t="s">
        <v>55</v>
      </c>
      <c r="N161" s="7"/>
      <c r="O161" s="7"/>
      <c r="P161" s="7"/>
      <c r="Q161" s="8" t="e">
        <f>Q39</f>
        <v>#DIV/0!</v>
      </c>
      <c r="S161" s="6" t="s">
        <v>55</v>
      </c>
      <c r="T161" s="226"/>
      <c r="U161" s="7"/>
      <c r="V161" s="7"/>
      <c r="W161" s="8" t="e">
        <f>W39</f>
        <v>#DIV/0!</v>
      </c>
      <c r="Y161" s="6" t="s">
        <v>55</v>
      </c>
      <c r="Z161" s="7"/>
      <c r="AA161" s="7"/>
      <c r="AB161" s="7"/>
      <c r="AC161" s="8" t="e">
        <f>AC39</f>
        <v>#DIV/0!</v>
      </c>
    </row>
    <row r="162" spans="1:29" x14ac:dyDescent="0.25">
      <c r="A162" s="6" t="s">
        <v>73</v>
      </c>
      <c r="B162" s="7">
        <f>IF(B40+D40&gt;0, B40+D40, "")</f>
        <v>36560.636112</v>
      </c>
      <c r="C162" s="7">
        <f>IFERROR(C40+(C40/B40)*D40, "")</f>
        <v>0</v>
      </c>
      <c r="D162" s="7"/>
      <c r="E162" s="8">
        <f>E40</f>
        <v>0</v>
      </c>
      <c r="G162" s="6" t="s">
        <v>73</v>
      </c>
      <c r="H162" s="7">
        <f>IF(H40+J40&gt;0, H40+J40, "")</f>
        <v>32371.703831999999</v>
      </c>
      <c r="I162" s="7">
        <f>IFERROR(I40+(I40/H40)*J40, "")</f>
        <v>0</v>
      </c>
      <c r="J162" s="7"/>
      <c r="K162" s="8">
        <f>K40</f>
        <v>0</v>
      </c>
      <c r="M162" s="6" t="s">
        <v>73</v>
      </c>
      <c r="N162" s="7">
        <f>IF(N40+P40&gt;0, N40+P40, "")</f>
        <v>33611.312592000002</v>
      </c>
      <c r="O162" s="7">
        <f>IFERROR(O40+(O40/N40)*P40, "")</f>
        <v>0</v>
      </c>
      <c r="P162" s="7"/>
      <c r="Q162" s="8">
        <f>Q40</f>
        <v>0</v>
      </c>
      <c r="S162" s="6" t="s">
        <v>73</v>
      </c>
      <c r="T162" s="226" t="str">
        <f>IF(T40+V40&gt;0, T40+V40, "")</f>
        <v/>
      </c>
      <c r="U162" s="7" t="str">
        <f>IFERROR(U40+(U40/T40)*V40, "")</f>
        <v/>
      </c>
      <c r="V162" s="7"/>
      <c r="W162" s="8" t="e">
        <f>W40</f>
        <v>#DIV/0!</v>
      </c>
      <c r="Y162" s="6" t="s">
        <v>73</v>
      </c>
      <c r="Z162" s="7" t="str">
        <f>IF(Z40+AB40&gt;0, Z40+AB40, "")</f>
        <v/>
      </c>
      <c r="AA162" s="7" t="str">
        <f>IFERROR(AA40+(AA40/Z40)*AB40, "")</f>
        <v/>
      </c>
      <c r="AB162" s="7"/>
      <c r="AC162" s="8" t="e">
        <f>AC40</f>
        <v>#DIV/0!</v>
      </c>
    </row>
    <row r="163" spans="1:29" x14ac:dyDescent="0.25">
      <c r="A163" s="6" t="s">
        <v>44</v>
      </c>
      <c r="B163" s="7">
        <f>IF(B41+D41&gt;0, B41+D41, "")</f>
        <v>8.5399999999999991</v>
      </c>
      <c r="C163" s="7">
        <f>IFERROR(C41+(C41/B41)*D41, "")</f>
        <v>0</v>
      </c>
      <c r="D163" s="7"/>
      <c r="E163" s="8">
        <f>E41</f>
        <v>0</v>
      </c>
      <c r="G163" s="6" t="s">
        <v>44</v>
      </c>
      <c r="H163" s="7">
        <f>IF(H41+J41&gt;0, H41+J41, "")</f>
        <v>18.91</v>
      </c>
      <c r="I163" s="7">
        <f>IFERROR(I41+(I41/H41)*J41, "")</f>
        <v>0</v>
      </c>
      <c r="J163" s="7"/>
      <c r="K163" s="8">
        <f>K41</f>
        <v>0</v>
      </c>
      <c r="M163" s="6" t="s">
        <v>44</v>
      </c>
      <c r="N163" s="7">
        <f>IF(N41+P41&gt;0, N41+P41, "")</f>
        <v>27.27</v>
      </c>
      <c r="O163" s="7">
        <f>IFERROR(O41+(O41/N41)*P41, "")</f>
        <v>0</v>
      </c>
      <c r="P163" s="7"/>
      <c r="Q163" s="8">
        <f>Q41</f>
        <v>0</v>
      </c>
      <c r="S163" s="6" t="s">
        <v>44</v>
      </c>
      <c r="T163" s="226" t="str">
        <f>IF(T41+V41&gt;0, T41+V41, "")</f>
        <v/>
      </c>
      <c r="U163" s="7" t="str">
        <f>IFERROR(U41+(U41/T41)*V41, "")</f>
        <v/>
      </c>
      <c r="V163" s="7"/>
      <c r="W163" s="8" t="e">
        <f>W41</f>
        <v>#DIV/0!</v>
      </c>
      <c r="Y163" s="6" t="s">
        <v>44</v>
      </c>
      <c r="Z163" s="7" t="str">
        <f>IF(Z41+AB41&gt;0, Z41+AB41, "")</f>
        <v/>
      </c>
      <c r="AA163" s="7" t="str">
        <f>IFERROR(AA41+(AA41/Z41)*AB41, "")</f>
        <v/>
      </c>
      <c r="AB163" s="7"/>
      <c r="AC163" s="8" t="e">
        <f>AC41</f>
        <v>#DIV/0!</v>
      </c>
    </row>
    <row r="164" spans="1:29" x14ac:dyDescent="0.25">
      <c r="A164" s="6" t="s">
        <v>45</v>
      </c>
      <c r="B164" s="7">
        <f>IF(B42+D42&gt;0, B42+D42, "")</f>
        <v>1162.421832</v>
      </c>
      <c r="C164" s="7">
        <f>IFERROR(C42+(C42/B42)*D42, "")</f>
        <v>0</v>
      </c>
      <c r="D164" s="7"/>
      <c r="E164" s="8">
        <f>E42</f>
        <v>0</v>
      </c>
      <c r="G164" s="6" t="s">
        <v>45</v>
      </c>
      <c r="H164" s="7">
        <f>IF(H42+J42&gt;0, H42+J42, "")</f>
        <v>1262.404104</v>
      </c>
      <c r="I164" s="7">
        <f>IFERROR(I42+(I42/H42)*J42, "")</f>
        <v>0</v>
      </c>
      <c r="J164" s="7"/>
      <c r="K164" s="8">
        <f>K42</f>
        <v>0</v>
      </c>
      <c r="M164" s="6" t="s">
        <v>45</v>
      </c>
      <c r="N164" s="7">
        <f>IF(N42+P42&gt;0, N42+P42, "")</f>
        <v>1123.0096799999999</v>
      </c>
      <c r="O164" s="7">
        <f>IFERROR(O42+(O42/N42)*P42, "")</f>
        <v>0</v>
      </c>
      <c r="P164" s="7"/>
      <c r="Q164" s="8">
        <f>Q42</f>
        <v>0</v>
      </c>
      <c r="S164" s="6" t="s">
        <v>45</v>
      </c>
      <c r="T164" s="226" t="str">
        <f>IF(T42+V42&gt;0, T42+V42, "")</f>
        <v/>
      </c>
      <c r="U164" s="7" t="str">
        <f>IFERROR(U42+(U42/T42)*V42, "")</f>
        <v/>
      </c>
      <c r="V164" s="7"/>
      <c r="W164" s="8" t="e">
        <f>W42</f>
        <v>#DIV/0!</v>
      </c>
      <c r="Y164" s="6" t="s">
        <v>45</v>
      </c>
      <c r="Z164" s="7" t="str">
        <f>IF(Z42+AB42&gt;0, Z42+AB42, "")</f>
        <v/>
      </c>
      <c r="AA164" s="7" t="str">
        <f>IFERROR(AA42+(AA42/Z42)*AB42, "")</f>
        <v/>
      </c>
      <c r="AB164" s="7"/>
      <c r="AC164" s="8" t="e">
        <f>AC42</f>
        <v>#DIV/0!</v>
      </c>
    </row>
    <row r="165" spans="1:29" x14ac:dyDescent="0.25">
      <c r="A165" s="6" t="s">
        <v>46</v>
      </c>
      <c r="B165" s="7">
        <f>IF(B44+D44&gt;0, B44+D44, "")</f>
        <v>226.67</v>
      </c>
      <c r="C165" s="7">
        <f>IFERROR(C44+(C44/B44)*D44, "")</f>
        <v>0</v>
      </c>
      <c r="D165" s="7"/>
      <c r="E165" s="8">
        <f>E44</f>
        <v>0</v>
      </c>
      <c r="G165" s="6" t="s">
        <v>46</v>
      </c>
      <c r="H165" s="7">
        <f>IF(H44+J44&gt;0, H44+J44, "")</f>
        <v>177.73</v>
      </c>
      <c r="I165" s="7">
        <f>IFERROR(I44+(I44/H44)*J44, "")</f>
        <v>0</v>
      </c>
      <c r="J165" s="7"/>
      <c r="K165" s="8">
        <f>K44</f>
        <v>0</v>
      </c>
      <c r="M165" s="6" t="s">
        <v>46</v>
      </c>
      <c r="N165" s="7">
        <f>IF(N44+P44&gt;0, N44+P44, "")</f>
        <v>248.99</v>
      </c>
      <c r="O165" s="7">
        <f>IFERROR(O44+(O44/N44)*P44, "")</f>
        <v>0</v>
      </c>
      <c r="P165" s="7"/>
      <c r="Q165" s="8">
        <f>Q44</f>
        <v>0</v>
      </c>
      <c r="S165" s="6" t="s">
        <v>46</v>
      </c>
      <c r="T165" s="226" t="str">
        <f>IF(T44+V44&gt;0, T44+V44, "")</f>
        <v/>
      </c>
      <c r="U165" s="7" t="str">
        <f>IFERROR(U44+(U44/T44)*V44, "")</f>
        <v/>
      </c>
      <c r="V165" s="7"/>
      <c r="W165" s="8" t="e">
        <f>W44</f>
        <v>#DIV/0!</v>
      </c>
      <c r="Y165" s="6" t="s">
        <v>46</v>
      </c>
      <c r="Z165" s="7" t="str">
        <f>IF(Z44+AB44&gt;0, Z44+AB44, "")</f>
        <v/>
      </c>
      <c r="AA165" s="7" t="str">
        <f>IFERROR(AA44+(AA44/Z44)*AB44, "")</f>
        <v/>
      </c>
      <c r="AB165" s="7"/>
      <c r="AC165" s="8" t="e">
        <f>AC44</f>
        <v>#DIV/0!</v>
      </c>
    </row>
    <row r="166" spans="1:29" x14ac:dyDescent="0.25">
      <c r="A166" s="6" t="s">
        <v>54</v>
      </c>
      <c r="B166" s="7"/>
      <c r="C166" s="7"/>
      <c r="D166" s="7"/>
      <c r="E166" s="8">
        <f>E49</f>
        <v>0</v>
      </c>
      <c r="G166" s="6" t="s">
        <v>54</v>
      </c>
      <c r="H166" s="7"/>
      <c r="I166" s="7"/>
      <c r="J166" s="7"/>
      <c r="K166" s="8">
        <f>K49</f>
        <v>0</v>
      </c>
      <c r="M166" s="6" t="s">
        <v>54</v>
      </c>
      <c r="N166" s="7"/>
      <c r="O166" s="7"/>
      <c r="P166" s="7"/>
      <c r="Q166" s="8">
        <f>Q49</f>
        <v>0</v>
      </c>
      <c r="S166" s="6" t="s">
        <v>54</v>
      </c>
      <c r="T166" s="226"/>
      <c r="U166" s="7"/>
      <c r="V166" s="7"/>
      <c r="W166" s="8" t="e">
        <f>W49</f>
        <v>#DIV/0!</v>
      </c>
      <c r="Y166" s="6" t="s">
        <v>54</v>
      </c>
      <c r="Z166" s="7"/>
      <c r="AA166" s="7"/>
      <c r="AB166" s="7"/>
      <c r="AC166" s="8" t="e">
        <f>AC49</f>
        <v>#DIV/0!</v>
      </c>
    </row>
    <row r="167" spans="1:29" x14ac:dyDescent="0.25">
      <c r="A167" s="6" t="s">
        <v>47</v>
      </c>
      <c r="B167" s="7">
        <f>IF(B50+D50&gt;0, B50+D50, "")</f>
        <v>898.27599999999995</v>
      </c>
      <c r="C167" s="7">
        <f>IFERROR(C50+(C50/B50)*D50, "")</f>
        <v>0</v>
      </c>
      <c r="D167" s="7"/>
      <c r="E167" s="8">
        <f>E50</f>
        <v>0</v>
      </c>
      <c r="G167" s="6" t="s">
        <v>47</v>
      </c>
      <c r="H167" s="7">
        <f>IF(H50+J50&gt;0, H50+J50, "")</f>
        <v>858.52599999999995</v>
      </c>
      <c r="I167" s="7">
        <f>IFERROR(I50+(I50/H50)*J50, "")</f>
        <v>0</v>
      </c>
      <c r="J167" s="7"/>
      <c r="K167" s="8">
        <f>K50</f>
        <v>0</v>
      </c>
      <c r="M167" s="6" t="s">
        <v>47</v>
      </c>
      <c r="N167" s="7">
        <f>IF(N50+P50&gt;0, N50+P50, "")</f>
        <v>939.99599999999998</v>
      </c>
      <c r="O167" s="7">
        <f>IFERROR(O50+(O50/N50)*P50, "")</f>
        <v>0</v>
      </c>
      <c r="P167" s="7"/>
      <c r="Q167" s="8">
        <f>Q50</f>
        <v>0</v>
      </c>
      <c r="S167" s="6" t="s">
        <v>47</v>
      </c>
      <c r="T167" s="226" t="str">
        <f>IF(T50+V50&gt;0, T50+V50, "")</f>
        <v/>
      </c>
      <c r="U167" s="7" t="str">
        <f>IFERROR(U50+(U50/T50)*V50, "")</f>
        <v/>
      </c>
      <c r="V167" s="7"/>
      <c r="W167" s="8" t="e">
        <f>W50</f>
        <v>#DIV/0!</v>
      </c>
      <c r="Y167" s="6" t="s">
        <v>47</v>
      </c>
      <c r="Z167" s="7" t="str">
        <f>IF(Z50+AB50&gt;0, Z50+AB50, "")</f>
        <v/>
      </c>
      <c r="AA167" s="7" t="str">
        <f>IFERROR(AA50+(AA50/Z50)*AB50, "")</f>
        <v/>
      </c>
      <c r="AB167" s="7"/>
      <c r="AC167" s="8" t="e">
        <f>AC50</f>
        <v>#DIV/0!</v>
      </c>
    </row>
    <row r="168" spans="1:29" x14ac:dyDescent="0.25">
      <c r="A168" s="6" t="s">
        <v>53</v>
      </c>
      <c r="B168" s="7"/>
      <c r="C168" s="7"/>
      <c r="D168" s="7"/>
      <c r="E168" s="8">
        <f>E51</f>
        <v>0</v>
      </c>
      <c r="G168" s="6" t="s">
        <v>53</v>
      </c>
      <c r="H168" s="7"/>
      <c r="I168" s="7"/>
      <c r="J168" s="7"/>
      <c r="K168" s="8">
        <f>K51</f>
        <v>0</v>
      </c>
      <c r="M168" s="6" t="s">
        <v>53</v>
      </c>
      <c r="N168" s="7"/>
      <c r="O168" s="7"/>
      <c r="P168" s="7"/>
      <c r="Q168" s="8">
        <f>Q51</f>
        <v>0</v>
      </c>
      <c r="S168" s="6" t="s">
        <v>53</v>
      </c>
      <c r="T168" s="226"/>
      <c r="U168" s="7"/>
      <c r="V168" s="7"/>
      <c r="W168" s="8" t="e">
        <f>W51</f>
        <v>#DIV/0!</v>
      </c>
      <c r="Y168" s="6" t="s">
        <v>53</v>
      </c>
      <c r="Z168" s="7"/>
      <c r="AA168" s="7"/>
      <c r="AB168" s="7"/>
      <c r="AC168" s="8" t="e">
        <f>AC51</f>
        <v>#DIV/0!</v>
      </c>
    </row>
    <row r="169" spans="1:29" x14ac:dyDescent="0.25">
      <c r="A169" s="6" t="s">
        <v>52</v>
      </c>
      <c r="B169" s="7"/>
      <c r="C169" s="7"/>
      <c r="D169" s="7"/>
      <c r="E169" s="8">
        <f>E53</f>
        <v>0</v>
      </c>
      <c r="G169" s="6" t="s">
        <v>52</v>
      </c>
      <c r="H169" s="7"/>
      <c r="I169" s="7"/>
      <c r="J169" s="7"/>
      <c r="K169" s="8">
        <f>K53</f>
        <v>0</v>
      </c>
      <c r="M169" s="6" t="s">
        <v>52</v>
      </c>
      <c r="N169" s="7"/>
      <c r="O169" s="7"/>
      <c r="P169" s="7"/>
      <c r="Q169" s="8">
        <f>Q53</f>
        <v>0</v>
      </c>
      <c r="S169" s="6" t="s">
        <v>52</v>
      </c>
      <c r="T169" s="226"/>
      <c r="U169" s="7"/>
      <c r="V169" s="7"/>
      <c r="W169" s="8" t="e">
        <f>W53</f>
        <v>#DIV/0!</v>
      </c>
      <c r="Y169" s="6" t="s">
        <v>52</v>
      </c>
      <c r="Z169" s="7"/>
      <c r="AA169" s="7"/>
      <c r="AB169" s="7"/>
      <c r="AC169" s="8" t="e">
        <f>AC53</f>
        <v>#DIV/0!</v>
      </c>
    </row>
    <row r="170" spans="1:29" x14ac:dyDescent="0.25">
      <c r="A170" s="6" t="s">
        <v>90</v>
      </c>
      <c r="B170" s="7"/>
      <c r="C170" s="7"/>
      <c r="D170" s="7"/>
      <c r="E170" s="8">
        <f>E54</f>
        <v>0</v>
      </c>
      <c r="G170" s="6" t="s">
        <v>90</v>
      </c>
      <c r="H170" s="7"/>
      <c r="I170" s="7"/>
      <c r="J170" s="7"/>
      <c r="K170" s="8">
        <f>K54</f>
        <v>0</v>
      </c>
      <c r="M170" s="6" t="s">
        <v>90</v>
      </c>
      <c r="N170" s="7"/>
      <c r="O170" s="7"/>
      <c r="P170" s="7"/>
      <c r="Q170" s="8">
        <f>Q54</f>
        <v>0</v>
      </c>
      <c r="S170" s="6" t="s">
        <v>90</v>
      </c>
      <c r="T170" s="226"/>
      <c r="U170" s="7"/>
      <c r="V170" s="7"/>
      <c r="W170" s="8" t="e">
        <f>W54</f>
        <v>#DIV/0!</v>
      </c>
      <c r="Y170" s="6" t="s">
        <v>90</v>
      </c>
      <c r="Z170" s="7"/>
      <c r="AA170" s="7"/>
      <c r="AB170" s="7"/>
      <c r="AC170" s="8" t="e">
        <f>AC54</f>
        <v>#DIV/0!</v>
      </c>
    </row>
    <row r="171" spans="1:29" x14ac:dyDescent="0.25">
      <c r="A171" s="6" t="s">
        <v>48</v>
      </c>
      <c r="B171" s="7">
        <f>IF(B55+D55&gt;0, B55+D55, "")</f>
        <v>397.56</v>
      </c>
      <c r="C171" s="7">
        <f>IFERROR(C55+(C55/B55)*D55, "")</f>
        <v>0</v>
      </c>
      <c r="D171" s="7"/>
      <c r="E171" s="8">
        <f>E55</f>
        <v>0</v>
      </c>
      <c r="G171" s="6" t="s">
        <v>48</v>
      </c>
      <c r="H171" s="7">
        <f>IF(H55+J55&gt;0, H55+J55, "")</f>
        <v>298.44</v>
      </c>
      <c r="I171" s="7">
        <f>IFERROR(I55+(I55/H55)*J55, "")</f>
        <v>0</v>
      </c>
      <c r="J171" s="7"/>
      <c r="K171" s="8">
        <f>K55</f>
        <v>0</v>
      </c>
      <c r="M171" s="6" t="s">
        <v>48</v>
      </c>
      <c r="N171" s="7">
        <f>IF(N55+P55&gt;0, N55+P55, "")</f>
        <v>234.36</v>
      </c>
      <c r="O171" s="7">
        <f>IFERROR(O55+(O55/N55)*P55, "")</f>
        <v>0</v>
      </c>
      <c r="P171" s="7"/>
      <c r="Q171" s="8">
        <f>Q55</f>
        <v>0</v>
      </c>
      <c r="S171" s="6" t="s">
        <v>48</v>
      </c>
      <c r="T171" s="226" t="str">
        <f>IF(T55+V55&gt;0, T55+V55, "")</f>
        <v/>
      </c>
      <c r="U171" s="7" t="str">
        <f>IFERROR(U55+(U55/T55)*V55, "")</f>
        <v/>
      </c>
      <c r="V171" s="7"/>
      <c r="W171" s="8" t="e">
        <f>W55</f>
        <v>#DIV/0!</v>
      </c>
      <c r="Y171" s="6" t="s">
        <v>48</v>
      </c>
      <c r="Z171" s="7" t="str">
        <f>IF(Z55+AB55&gt;0, Z55+AB55, "")</f>
        <v/>
      </c>
      <c r="AA171" s="7" t="str">
        <f>IFERROR(AA55+(AA55/Z55)*AB55, "")</f>
        <v/>
      </c>
      <c r="AB171" s="7"/>
      <c r="AC171" s="8" t="e">
        <f>AC55</f>
        <v>#DIV/0!</v>
      </c>
    </row>
    <row r="172" spans="1:29" x14ac:dyDescent="0.25">
      <c r="A172" s="6" t="s">
        <v>49</v>
      </c>
      <c r="B172" s="7">
        <f>IF(B57+D57&gt;0, B57+D57, "")</f>
        <v>8.4</v>
      </c>
      <c r="C172" s="7">
        <f>IFERROR(C57+(C57/B57)*D57, "")</f>
        <v>0</v>
      </c>
      <c r="D172" s="7"/>
      <c r="E172" s="8">
        <f>E57</f>
        <v>0</v>
      </c>
      <c r="G172" s="6" t="s">
        <v>49</v>
      </c>
      <c r="H172" s="7">
        <f>IF(H57+J57&gt;0, H57+J57, "")</f>
        <v>9.18</v>
      </c>
      <c r="I172" s="7">
        <f>IFERROR(I57+(I57/H57)*J57, "")</f>
        <v>0</v>
      </c>
      <c r="J172" s="7"/>
      <c r="K172" s="8">
        <f>K57</f>
        <v>0</v>
      </c>
      <c r="M172" s="6" t="s">
        <v>49</v>
      </c>
      <c r="N172" s="7">
        <f>IF(N57+P57&gt;0, N57+P57, "")</f>
        <v>12</v>
      </c>
      <c r="O172" s="7">
        <f>IFERROR(O57+(O57/N57)*P57, "")</f>
        <v>0</v>
      </c>
      <c r="P172" s="7"/>
      <c r="Q172" s="8">
        <f>Q57</f>
        <v>0</v>
      </c>
      <c r="S172" s="6" t="s">
        <v>49</v>
      </c>
      <c r="T172" s="226" t="str">
        <f>IF(T57+V57&gt;0, T57+V57, "")</f>
        <v/>
      </c>
      <c r="U172" s="7" t="str">
        <f>IFERROR(U57+(U57/T57)*V57, "")</f>
        <v/>
      </c>
      <c r="V172" s="7"/>
      <c r="W172" s="8" t="e">
        <f>W57</f>
        <v>#DIV/0!</v>
      </c>
      <c r="Y172" s="6" t="s">
        <v>49</v>
      </c>
      <c r="Z172" s="7" t="str">
        <f>IF(Z57+AB57&gt;0, Z57+AB57, "")</f>
        <v/>
      </c>
      <c r="AA172" s="7" t="str">
        <f>IFERROR(AA57+(AA57/Z57)*AB57, "")</f>
        <v/>
      </c>
      <c r="AB172" s="7"/>
      <c r="AC172" s="8" t="e">
        <f>AC57</f>
        <v>#DIV/0!</v>
      </c>
    </row>
    <row r="173" spans="1:29" x14ac:dyDescent="0.25">
      <c r="A173" s="6" t="s">
        <v>50</v>
      </c>
      <c r="B173" s="7">
        <f>IF(B59+D59&gt;0, B59+D59, "")</f>
        <v>283.16371199999998</v>
      </c>
      <c r="C173" s="7">
        <f>IFERROR(C59+(C59/B59)*D59, "")</f>
        <v>0</v>
      </c>
      <c r="D173" s="7"/>
      <c r="E173" s="8">
        <f>E59</f>
        <v>0</v>
      </c>
      <c r="G173" s="6" t="s">
        <v>50</v>
      </c>
      <c r="H173" s="7">
        <f>IF(H59+J59&gt;0, H59+J59, "")</f>
        <v>282.06360000000001</v>
      </c>
      <c r="I173" s="7">
        <f>IFERROR(I59+(I59/H59)*J59, "")</f>
        <v>0</v>
      </c>
      <c r="J173" s="7"/>
      <c r="K173" s="8">
        <f>K59</f>
        <v>0</v>
      </c>
      <c r="M173" s="6" t="s">
        <v>50</v>
      </c>
      <c r="N173" s="7">
        <f>IF(N59+P59&gt;0, N59+P59, "")</f>
        <v>272.52076799999998</v>
      </c>
      <c r="O173" s="7">
        <f>IFERROR(O59+(O59/N59)*P59, "")</f>
        <v>0</v>
      </c>
      <c r="P173" s="7"/>
      <c r="Q173" s="8">
        <f>Q59</f>
        <v>0</v>
      </c>
      <c r="S173" s="6" t="s">
        <v>50</v>
      </c>
      <c r="T173" s="226" t="str">
        <f>IF(T59+V59&gt;0, T59+V59, "")</f>
        <v/>
      </c>
      <c r="U173" s="7" t="str">
        <f>IFERROR(U59+(U59/T59)*V59, "")</f>
        <v/>
      </c>
      <c r="V173" s="7"/>
      <c r="W173" s="8" t="e">
        <f>W59</f>
        <v>#DIV/0!</v>
      </c>
      <c r="Y173" s="6" t="s">
        <v>50</v>
      </c>
      <c r="Z173" s="7" t="str">
        <f>IF(Z59+AB59&gt;0, Z59+AB59, "")</f>
        <v/>
      </c>
      <c r="AA173" s="7" t="str">
        <f>IFERROR(AA59+(AA59/Z59)*AB59, "")</f>
        <v/>
      </c>
      <c r="AB173" s="7"/>
      <c r="AC173" s="8" t="e">
        <f>AC59</f>
        <v>#DIV/0!</v>
      </c>
    </row>
    <row r="174" spans="1:29" x14ac:dyDescent="0.25">
      <c r="A174" s="6" t="s">
        <v>10</v>
      </c>
      <c r="B174" s="7">
        <f>IF(B62+D62&gt;0, B62+D62, "")</f>
        <v>9.92</v>
      </c>
      <c r="C174" s="7">
        <f>IFERROR(C62+(C62/B62)*D62, "")</f>
        <v>0</v>
      </c>
      <c r="D174" s="7"/>
      <c r="E174" s="8">
        <f>E62</f>
        <v>0</v>
      </c>
      <c r="G174" s="6" t="s">
        <v>10</v>
      </c>
      <c r="H174" s="7">
        <f>IF(H62+J62&gt;0, H62+J62, "")</f>
        <v>11.78</v>
      </c>
      <c r="I174" s="7">
        <f>IFERROR(I62+(I62/H62)*J62, "")</f>
        <v>0</v>
      </c>
      <c r="J174" s="7"/>
      <c r="K174" s="8">
        <f>K62</f>
        <v>0</v>
      </c>
      <c r="M174" s="6" t="s">
        <v>10</v>
      </c>
      <c r="N174" s="7">
        <f>IF(N62+P62&gt;0, N62+P62, "")</f>
        <v>31.62</v>
      </c>
      <c r="O174" s="7">
        <f>IFERROR(O62+(O62/N62)*P62, "")</f>
        <v>0</v>
      </c>
      <c r="P174" s="7"/>
      <c r="Q174" s="8">
        <f>Q62</f>
        <v>0</v>
      </c>
      <c r="S174" s="6" t="s">
        <v>10</v>
      </c>
      <c r="T174" s="226" t="str">
        <f>IF(T62+V62&gt;0, T62+V62, "")</f>
        <v/>
      </c>
      <c r="U174" s="7" t="str">
        <f>IFERROR(U62+(U62/T62)*V62, "")</f>
        <v/>
      </c>
      <c r="V174" s="7"/>
      <c r="W174" s="8" t="e">
        <f>W62</f>
        <v>#DIV/0!</v>
      </c>
      <c r="Y174" s="6" t="s">
        <v>10</v>
      </c>
      <c r="Z174" s="7" t="str">
        <f>IF(Z62+AB62&gt;0, Z62+AB62, "")</f>
        <v/>
      </c>
      <c r="AA174" s="7" t="str">
        <f>IFERROR(AA62+(AA62/Z62)*AB62, "")</f>
        <v/>
      </c>
      <c r="AB174" s="7"/>
      <c r="AC174" s="8" t="e">
        <f>AC62</f>
        <v>#DIV/0!</v>
      </c>
    </row>
    <row r="175" spans="1:29" x14ac:dyDescent="0.25">
      <c r="A175" s="6" t="s">
        <v>51</v>
      </c>
      <c r="B175" s="7">
        <f>IF(B63+D63&gt;0, B63+D63, "")</f>
        <v>349.74</v>
      </c>
      <c r="C175" s="7">
        <f>IFERROR(C63+(C63/B63)*D63, "")</f>
        <v>0</v>
      </c>
      <c r="D175" s="7"/>
      <c r="E175" s="8">
        <f>E63</f>
        <v>0</v>
      </c>
      <c r="G175" s="6" t="s">
        <v>51</v>
      </c>
      <c r="H175" s="7">
        <f>IF(H63+J63&gt;0, H63+J63, "")</f>
        <v>432.36</v>
      </c>
      <c r="I175" s="7">
        <f>IFERROR(I63+(I63/H63)*J63, "")</f>
        <v>0</v>
      </c>
      <c r="J175" s="7"/>
      <c r="K175" s="8">
        <f>K63</f>
        <v>0</v>
      </c>
      <c r="M175" s="6" t="s">
        <v>51</v>
      </c>
      <c r="N175" s="7">
        <f>IF(N63+P63&gt;0, N63+P63, "")</f>
        <v>503.3</v>
      </c>
      <c r="O175" s="7">
        <f>IFERROR(O63+(O63/N63)*P63, "")</f>
        <v>0</v>
      </c>
      <c r="P175" s="7"/>
      <c r="Q175" s="8">
        <f>Q63</f>
        <v>0</v>
      </c>
      <c r="S175" s="6" t="s">
        <v>51</v>
      </c>
      <c r="T175" s="226" t="str">
        <f>IF(T63+V63&gt;0, T63+V63, "")</f>
        <v/>
      </c>
      <c r="U175" s="7" t="str">
        <f>IFERROR(U63+(U63/T63)*V63, "")</f>
        <v/>
      </c>
      <c r="V175" s="7"/>
      <c r="W175" s="8" t="e">
        <f>W63</f>
        <v>#DIV/0!</v>
      </c>
      <c r="Y175" s="6" t="s">
        <v>51</v>
      </c>
      <c r="Z175" s="7" t="str">
        <f>IF(Z63+AB63&gt;0, Z63+AB63, "")</f>
        <v/>
      </c>
      <c r="AA175" s="7" t="str">
        <f>IFERROR(AA63+(AA63/Z63)*AB63, "")</f>
        <v/>
      </c>
      <c r="AB175" s="7"/>
      <c r="AC175" s="8" t="e">
        <f>AC63</f>
        <v>#DIV/0!</v>
      </c>
    </row>
    <row r="176" spans="1:29" x14ac:dyDescent="0.25">
      <c r="A176" s="14" t="s">
        <v>22</v>
      </c>
      <c r="B176" s="7">
        <f>IF(B114+D114&gt;0, B114+D114, "")</f>
        <v>927159.85846899997</v>
      </c>
      <c r="C176" s="7">
        <f>IFERROR(C114+(C114/B114)*D114, "")</f>
        <v>0</v>
      </c>
      <c r="D176" s="15"/>
      <c r="E176" s="8">
        <f t="shared" ref="E176:E183" si="24">E114</f>
        <v>0</v>
      </c>
      <c r="G176" s="14" t="s">
        <v>22</v>
      </c>
      <c r="H176" s="7">
        <f>IF(H114+J114&gt;0, H114+J114, "")</f>
        <v>904241.49049099977</v>
      </c>
      <c r="I176" s="7">
        <f>IFERROR(I114+(I114/H114)*J114, "")</f>
        <v>0</v>
      </c>
      <c r="J176" s="15"/>
      <c r="K176" s="8">
        <f t="shared" ref="K176:K183" si="25">K114</f>
        <v>0</v>
      </c>
      <c r="M176" s="14" t="s">
        <v>22</v>
      </c>
      <c r="N176" s="7">
        <f>IF(N114+P114&gt;0, N114+P114, "")</f>
        <v>901507.59928299987</v>
      </c>
      <c r="O176" s="7">
        <f>IFERROR(O114+(O114/N114)*P114, "")</f>
        <v>0</v>
      </c>
      <c r="P176" s="15"/>
      <c r="Q176" s="8">
        <f t="shared" ref="Q176:Q183" si="26">Q114</f>
        <v>0</v>
      </c>
      <c r="S176" s="14" t="s">
        <v>22</v>
      </c>
      <c r="T176" s="226" t="str">
        <f>IF(T114+V114&gt;0, T114+V114, "")</f>
        <v/>
      </c>
      <c r="U176" s="7" t="str">
        <f>IFERROR(U114+(U114/T114)*V114, "")</f>
        <v/>
      </c>
      <c r="V176" s="15"/>
      <c r="W176" s="8" t="e">
        <f t="shared" ref="W176:W183" si="27">W114</f>
        <v>#DIV/0!</v>
      </c>
      <c r="Y176" s="14" t="s">
        <v>22</v>
      </c>
      <c r="Z176" s="7" t="str">
        <f>IF(Z114+AB114&gt;0, Z114+AB114, "")</f>
        <v/>
      </c>
      <c r="AA176" s="7" t="str">
        <f>IFERROR(AA114+(AA114/Z114)*AB114, "")</f>
        <v/>
      </c>
      <c r="AB176" s="15"/>
      <c r="AC176" s="8">
        <f t="shared" ref="AC176:AC183" si="28">AC114</f>
        <v>0</v>
      </c>
    </row>
    <row r="177" spans="1:29" x14ac:dyDescent="0.25">
      <c r="E177" s="10">
        <f t="shared" si="24"/>
        <v>0</v>
      </c>
      <c r="K177" s="10">
        <f t="shared" si="25"/>
        <v>0</v>
      </c>
      <c r="Q177" s="10">
        <f t="shared" si="26"/>
        <v>0</v>
      </c>
      <c r="W177" s="10">
        <f t="shared" si="27"/>
        <v>0</v>
      </c>
      <c r="AC177" s="10">
        <f t="shared" si="28"/>
        <v>0</v>
      </c>
    </row>
    <row r="178" spans="1:29" x14ac:dyDescent="0.25">
      <c r="A178" s="16" t="s">
        <v>9</v>
      </c>
      <c r="B178" s="17">
        <f>B116+D116</f>
        <v>550505.14426099998</v>
      </c>
      <c r="C178" s="17">
        <f>IFERROR(C116+(C116/B116)*D116, 0)</f>
        <v>0</v>
      </c>
      <c r="D178" s="17"/>
      <c r="E178" s="18">
        <f t="shared" si="24"/>
        <v>0</v>
      </c>
      <c r="G178" s="16" t="s">
        <v>9</v>
      </c>
      <c r="H178" s="17">
        <f>H116+J116</f>
        <v>533636.59290799999</v>
      </c>
      <c r="I178" s="17">
        <f>IFERROR(I116+(I116/H116)*J116, 0)</f>
        <v>0</v>
      </c>
      <c r="J178" s="17"/>
      <c r="K178" s="18">
        <f t="shared" si="25"/>
        <v>0</v>
      </c>
      <c r="M178" s="16" t="s">
        <v>9</v>
      </c>
      <c r="N178" s="17">
        <f>N116+P116</f>
        <v>536679.07538100006</v>
      </c>
      <c r="O178" s="17">
        <f>IFERROR(O116+(O116/N116)*P116, 0)</f>
        <v>0</v>
      </c>
      <c r="P178" s="17"/>
      <c r="Q178" s="18">
        <f t="shared" si="26"/>
        <v>0</v>
      </c>
      <c r="S178" s="16" t="s">
        <v>9</v>
      </c>
      <c r="T178" s="222">
        <f>T116+V116</f>
        <v>0</v>
      </c>
      <c r="U178" s="17">
        <f>IFERROR(U116+(U116/T116)*V116, 0)</f>
        <v>0</v>
      </c>
      <c r="V178" s="17"/>
      <c r="W178" s="18">
        <f t="shared" si="27"/>
        <v>0</v>
      </c>
      <c r="Y178" s="16" t="s">
        <v>9</v>
      </c>
      <c r="Z178" s="17">
        <f>Z116+AB116</f>
        <v>0</v>
      </c>
      <c r="AA178" s="17">
        <f>IFERROR(AA116+(AA116/Z116)*AB116, 0)</f>
        <v>0</v>
      </c>
      <c r="AB178" s="17"/>
      <c r="AC178" s="18">
        <f t="shared" si="28"/>
        <v>0</v>
      </c>
    </row>
    <row r="179" spans="1:29" x14ac:dyDescent="0.25">
      <c r="E179" s="10" t="str">
        <f t="shared" si="24"/>
        <v/>
      </c>
      <c r="K179" s="10" t="str">
        <f t="shared" si="25"/>
        <v/>
      </c>
      <c r="Q179" s="10" t="str">
        <f t="shared" si="26"/>
        <v/>
      </c>
      <c r="W179" s="10" t="str">
        <f t="shared" si="27"/>
        <v/>
      </c>
      <c r="AC179" s="10" t="str">
        <f t="shared" si="28"/>
        <v/>
      </c>
    </row>
    <row r="180" spans="1:29" x14ac:dyDescent="0.25">
      <c r="A180" s="19" t="s">
        <v>23</v>
      </c>
      <c r="B180" s="20">
        <f t="shared" ref="B180:B187" si="29">B118+D118</f>
        <v>86780.86404</v>
      </c>
      <c r="C180" s="20">
        <f t="shared" ref="C180:C187" si="30">IFERROR(C118+(C118/B118)*D118, 0)</f>
        <v>0</v>
      </c>
      <c r="D180" s="20"/>
      <c r="E180" s="8">
        <f t="shared" si="24"/>
        <v>0</v>
      </c>
      <c r="G180" s="19" t="s">
        <v>23</v>
      </c>
      <c r="H180" s="20">
        <f t="shared" ref="H180:H187" si="31">H118+J118</f>
        <v>88365.473039999997</v>
      </c>
      <c r="I180" s="20">
        <f t="shared" ref="I180:I187" si="32">IFERROR(I118+(I118/H118)*J118, 0)</f>
        <v>0</v>
      </c>
      <c r="J180" s="20"/>
      <c r="K180" s="8">
        <f t="shared" si="25"/>
        <v>0</v>
      </c>
      <c r="M180" s="19" t="s">
        <v>23</v>
      </c>
      <c r="N180" s="20">
        <f t="shared" ref="N180:N187" si="33">N118+P118</f>
        <v>83651.864088000002</v>
      </c>
      <c r="O180" s="20">
        <f t="shared" ref="O180:O187" si="34">IFERROR(O118+(O118/N118)*P118, 0)</f>
        <v>0</v>
      </c>
      <c r="P180" s="20"/>
      <c r="Q180" s="8">
        <f t="shared" si="26"/>
        <v>0</v>
      </c>
      <c r="S180" s="19" t="s">
        <v>23</v>
      </c>
      <c r="T180" s="142">
        <f t="shared" ref="T180:T187" si="35">T118+V118</f>
        <v>0</v>
      </c>
      <c r="U180" s="20">
        <f t="shared" ref="U180:U187" si="36">IFERROR(U118+(U118/T118)*V118, 0)</f>
        <v>0</v>
      </c>
      <c r="V180" s="20"/>
      <c r="W180" s="8">
        <f t="shared" si="27"/>
        <v>0</v>
      </c>
      <c r="Y180" s="19" t="s">
        <v>23</v>
      </c>
      <c r="Z180" s="20">
        <f t="shared" ref="Z180:Z187" si="37">Z118+AB118</f>
        <v>0</v>
      </c>
      <c r="AA180" s="20">
        <f t="shared" ref="AA180:AA187" si="38">IFERROR(AA118+(AA118/Z118)*AB118, 0)</f>
        <v>0</v>
      </c>
      <c r="AB180" s="20"/>
      <c r="AC180" s="8">
        <f t="shared" si="28"/>
        <v>0</v>
      </c>
    </row>
    <row r="181" spans="1:29" x14ac:dyDescent="0.25">
      <c r="A181" s="26" t="s">
        <v>93</v>
      </c>
      <c r="B181" s="20">
        <f t="shared" si="29"/>
        <v>38766.335088</v>
      </c>
      <c r="C181" s="20">
        <f t="shared" si="30"/>
        <v>0</v>
      </c>
      <c r="D181" s="20"/>
      <c r="E181" s="8">
        <f t="shared" si="24"/>
        <v>0</v>
      </c>
      <c r="G181" s="26" t="s">
        <v>93</v>
      </c>
      <c r="H181" s="20">
        <f t="shared" si="31"/>
        <v>37370.843015999999</v>
      </c>
      <c r="I181" s="20">
        <f t="shared" si="32"/>
        <v>0</v>
      </c>
      <c r="J181" s="20"/>
      <c r="K181" s="8">
        <f t="shared" si="25"/>
        <v>0</v>
      </c>
      <c r="M181" s="26" t="s">
        <v>93</v>
      </c>
      <c r="N181" s="20">
        <f t="shared" si="33"/>
        <v>35029.292999999998</v>
      </c>
      <c r="O181" s="20">
        <f t="shared" si="34"/>
        <v>0</v>
      </c>
      <c r="P181" s="20"/>
      <c r="Q181" s="8">
        <f t="shared" si="26"/>
        <v>0</v>
      </c>
      <c r="S181" s="26" t="s">
        <v>93</v>
      </c>
      <c r="T181" s="142">
        <f t="shared" si="35"/>
        <v>0</v>
      </c>
      <c r="U181" s="20">
        <f t="shared" si="36"/>
        <v>0</v>
      </c>
      <c r="V181" s="20"/>
      <c r="W181" s="8">
        <f t="shared" si="27"/>
        <v>0</v>
      </c>
      <c r="Y181" s="26" t="s">
        <v>93</v>
      </c>
      <c r="Z181" s="20">
        <f t="shared" si="37"/>
        <v>0</v>
      </c>
      <c r="AA181" s="20">
        <f t="shared" si="38"/>
        <v>0</v>
      </c>
      <c r="AB181" s="20"/>
      <c r="AC181" s="8">
        <f t="shared" si="28"/>
        <v>0</v>
      </c>
    </row>
    <row r="182" spans="1:29" x14ac:dyDescent="0.25">
      <c r="A182" s="26" t="s">
        <v>87</v>
      </c>
      <c r="B182" s="20">
        <f t="shared" si="29"/>
        <v>53283.643295999995</v>
      </c>
      <c r="C182" s="20">
        <f t="shared" si="30"/>
        <v>0</v>
      </c>
      <c r="D182" s="20"/>
      <c r="E182" s="8">
        <f t="shared" si="24"/>
        <v>0</v>
      </c>
      <c r="G182" s="26" t="s">
        <v>87</v>
      </c>
      <c r="H182" s="20">
        <f t="shared" si="31"/>
        <v>48306.135384000001</v>
      </c>
      <c r="I182" s="20">
        <f t="shared" si="32"/>
        <v>0</v>
      </c>
      <c r="J182" s="20"/>
      <c r="K182" s="8">
        <f t="shared" si="25"/>
        <v>0</v>
      </c>
      <c r="M182" s="26" t="s">
        <v>87</v>
      </c>
      <c r="N182" s="20">
        <f t="shared" si="33"/>
        <v>49772.699808000005</v>
      </c>
      <c r="O182" s="20">
        <f t="shared" si="34"/>
        <v>0</v>
      </c>
      <c r="P182" s="20"/>
      <c r="Q182" s="8">
        <f t="shared" si="26"/>
        <v>0</v>
      </c>
      <c r="S182" s="26" t="s">
        <v>87</v>
      </c>
      <c r="T182" s="142">
        <f t="shared" si="35"/>
        <v>0</v>
      </c>
      <c r="U182" s="20">
        <f t="shared" si="36"/>
        <v>0</v>
      </c>
      <c r="V182" s="20"/>
      <c r="W182" s="8">
        <f t="shared" si="27"/>
        <v>0</v>
      </c>
      <c r="Y182" s="26" t="s">
        <v>87</v>
      </c>
      <c r="Z182" s="20">
        <f t="shared" si="37"/>
        <v>0</v>
      </c>
      <c r="AA182" s="20">
        <f t="shared" si="38"/>
        <v>0</v>
      </c>
      <c r="AB182" s="20"/>
      <c r="AC182" s="8">
        <f t="shared" si="28"/>
        <v>0</v>
      </c>
    </row>
    <row r="183" spans="1:29" x14ac:dyDescent="0.25">
      <c r="A183" s="26" t="s">
        <v>63</v>
      </c>
      <c r="B183" s="20">
        <f t="shared" si="29"/>
        <v>32472.696671999998</v>
      </c>
      <c r="C183" s="20">
        <f t="shared" si="30"/>
        <v>0</v>
      </c>
      <c r="D183" s="20"/>
      <c r="E183" s="8">
        <f t="shared" si="24"/>
        <v>0</v>
      </c>
      <c r="G183" s="26" t="s">
        <v>63</v>
      </c>
      <c r="H183" s="20">
        <f t="shared" si="31"/>
        <v>32123.385527999999</v>
      </c>
      <c r="I183" s="20">
        <f t="shared" si="32"/>
        <v>0</v>
      </c>
      <c r="J183" s="20"/>
      <c r="K183" s="8">
        <f t="shared" si="25"/>
        <v>0</v>
      </c>
      <c r="M183" s="26" t="s">
        <v>63</v>
      </c>
      <c r="N183" s="20">
        <f t="shared" si="33"/>
        <v>35030.034935999996</v>
      </c>
      <c r="O183" s="20">
        <f t="shared" si="34"/>
        <v>0</v>
      </c>
      <c r="P183" s="20"/>
      <c r="Q183" s="8">
        <f t="shared" si="26"/>
        <v>0</v>
      </c>
      <c r="S183" s="26" t="s">
        <v>63</v>
      </c>
      <c r="T183" s="142">
        <f t="shared" si="35"/>
        <v>0</v>
      </c>
      <c r="U183" s="20">
        <f t="shared" si="36"/>
        <v>0</v>
      </c>
      <c r="V183" s="20"/>
      <c r="W183" s="8">
        <f t="shared" si="27"/>
        <v>0</v>
      </c>
      <c r="Y183" s="26" t="s">
        <v>63</v>
      </c>
      <c r="Z183" s="20">
        <f t="shared" si="37"/>
        <v>0</v>
      </c>
      <c r="AA183" s="20">
        <f t="shared" si="38"/>
        <v>0</v>
      </c>
      <c r="AB183" s="20"/>
      <c r="AC183" s="8">
        <f t="shared" si="28"/>
        <v>0</v>
      </c>
    </row>
    <row r="184" spans="1:29" ht="15" customHeight="1" x14ac:dyDescent="0.25">
      <c r="A184" s="26" t="s">
        <v>97</v>
      </c>
      <c r="B184" s="20">
        <f t="shared" si="29"/>
        <v>14862.321239999999</v>
      </c>
      <c r="C184" s="20">
        <f t="shared" si="30"/>
        <v>0</v>
      </c>
      <c r="D184" s="20"/>
      <c r="E184" s="8"/>
      <c r="G184" s="26" t="s">
        <v>97</v>
      </c>
      <c r="H184" s="20">
        <f t="shared" si="31"/>
        <v>12521.756208000001</v>
      </c>
      <c r="I184" s="20">
        <f t="shared" si="32"/>
        <v>0</v>
      </c>
      <c r="J184" s="20"/>
      <c r="K184" s="8"/>
      <c r="M184" s="26" t="s">
        <v>97</v>
      </c>
      <c r="N184" s="20">
        <f t="shared" si="33"/>
        <v>10981.484279999999</v>
      </c>
      <c r="O184" s="20">
        <f t="shared" si="34"/>
        <v>0</v>
      </c>
      <c r="P184" s="20"/>
      <c r="Q184" s="8"/>
      <c r="S184" s="26" t="s">
        <v>97</v>
      </c>
      <c r="T184" s="142">
        <f t="shared" si="35"/>
        <v>0</v>
      </c>
      <c r="U184" s="20">
        <f t="shared" si="36"/>
        <v>0</v>
      </c>
      <c r="V184" s="20"/>
      <c r="W184" s="8"/>
      <c r="Y184" s="26" t="s">
        <v>97</v>
      </c>
      <c r="Z184" s="20">
        <f t="shared" si="37"/>
        <v>0</v>
      </c>
      <c r="AA184" s="20">
        <f t="shared" si="38"/>
        <v>0</v>
      </c>
      <c r="AB184" s="20"/>
      <c r="AC184" s="8"/>
    </row>
    <row r="185" spans="1:29" x14ac:dyDescent="0.25">
      <c r="A185" s="26" t="s">
        <v>64</v>
      </c>
      <c r="B185" s="20">
        <f t="shared" si="29"/>
        <v>7367.7570720000003</v>
      </c>
      <c r="C185" s="20">
        <f t="shared" si="30"/>
        <v>0</v>
      </c>
      <c r="D185" s="20"/>
      <c r="E185" s="8">
        <f>E123</f>
        <v>0</v>
      </c>
      <c r="G185" s="26" t="s">
        <v>64</v>
      </c>
      <c r="H185" s="20">
        <f t="shared" si="31"/>
        <v>6269.4871199999998</v>
      </c>
      <c r="I185" s="20">
        <f t="shared" si="32"/>
        <v>0</v>
      </c>
      <c r="J185" s="20"/>
      <c r="K185" s="8">
        <f>K123</f>
        <v>0</v>
      </c>
      <c r="M185" s="26" t="s">
        <v>64</v>
      </c>
      <c r="N185" s="20">
        <f t="shared" si="33"/>
        <v>5806.3015919999998</v>
      </c>
      <c r="O185" s="20">
        <f t="shared" si="34"/>
        <v>0</v>
      </c>
      <c r="P185" s="20"/>
      <c r="Q185" s="8">
        <f>Q123</f>
        <v>0</v>
      </c>
      <c r="S185" s="26" t="s">
        <v>64</v>
      </c>
      <c r="T185" s="142">
        <f t="shared" si="35"/>
        <v>0</v>
      </c>
      <c r="U185" s="20">
        <f t="shared" si="36"/>
        <v>0</v>
      </c>
      <c r="V185" s="20"/>
      <c r="W185" s="8">
        <f>W123</f>
        <v>0</v>
      </c>
      <c r="Y185" s="26" t="s">
        <v>64</v>
      </c>
      <c r="Z185" s="20">
        <f t="shared" si="37"/>
        <v>0</v>
      </c>
      <c r="AA185" s="20">
        <f t="shared" si="38"/>
        <v>0</v>
      </c>
      <c r="AB185" s="20"/>
      <c r="AC185" s="8">
        <f>AC123</f>
        <v>0</v>
      </c>
    </row>
    <row r="186" spans="1:29" x14ac:dyDescent="0.25">
      <c r="A186" s="26" t="s">
        <v>89</v>
      </c>
      <c r="B186" s="20">
        <f t="shared" si="29"/>
        <v>4297.8433680000007</v>
      </c>
      <c r="C186" s="20">
        <f t="shared" si="30"/>
        <v>0</v>
      </c>
      <c r="D186" s="20"/>
      <c r="E186" s="8"/>
      <c r="G186" s="26" t="s">
        <v>89</v>
      </c>
      <c r="H186" s="20">
        <f t="shared" si="31"/>
        <v>4174.2982320000001</v>
      </c>
      <c r="I186" s="20">
        <f t="shared" si="32"/>
        <v>0</v>
      </c>
      <c r="J186" s="20"/>
      <c r="K186" s="8"/>
      <c r="M186" s="26" t="s">
        <v>89</v>
      </c>
      <c r="N186" s="20">
        <f t="shared" si="33"/>
        <v>3859.3975679999999</v>
      </c>
      <c r="O186" s="20">
        <f t="shared" si="34"/>
        <v>0</v>
      </c>
      <c r="P186" s="20"/>
      <c r="Q186" s="8"/>
      <c r="S186" s="26" t="s">
        <v>89</v>
      </c>
      <c r="T186" s="142">
        <f t="shared" si="35"/>
        <v>0</v>
      </c>
      <c r="U186" s="20">
        <f t="shared" si="36"/>
        <v>0</v>
      </c>
      <c r="V186" s="20"/>
      <c r="W186" s="8"/>
      <c r="Y186" s="26" t="s">
        <v>89</v>
      </c>
      <c r="Z186" s="20">
        <f t="shared" si="37"/>
        <v>0</v>
      </c>
      <c r="AA186" s="20">
        <f t="shared" si="38"/>
        <v>0</v>
      </c>
      <c r="AB186" s="20"/>
      <c r="AC186" s="8"/>
    </row>
    <row r="187" spans="1:29" x14ac:dyDescent="0.25">
      <c r="A187" s="16" t="s">
        <v>24</v>
      </c>
      <c r="B187" s="17">
        <f t="shared" si="29"/>
        <v>237831.46077599999</v>
      </c>
      <c r="C187" s="17">
        <f t="shared" si="30"/>
        <v>0</v>
      </c>
      <c r="D187" s="17"/>
      <c r="E187" s="18">
        <f>E125</f>
        <v>0</v>
      </c>
      <c r="G187" s="16" t="s">
        <v>24</v>
      </c>
      <c r="H187" s="17">
        <f t="shared" si="31"/>
        <v>229131.378528</v>
      </c>
      <c r="I187" s="17">
        <f t="shared" si="32"/>
        <v>0</v>
      </c>
      <c r="J187" s="17"/>
      <c r="K187" s="18">
        <f>K125</f>
        <v>0</v>
      </c>
      <c r="M187" s="16" t="s">
        <v>24</v>
      </c>
      <c r="N187" s="17">
        <f t="shared" si="33"/>
        <v>224131.07527199999</v>
      </c>
      <c r="O187" s="17">
        <f t="shared" si="34"/>
        <v>0</v>
      </c>
      <c r="P187" s="17"/>
      <c r="Q187" s="18">
        <f>Q125</f>
        <v>0</v>
      </c>
      <c r="S187" s="16" t="s">
        <v>24</v>
      </c>
      <c r="T187" s="222">
        <f t="shared" si="35"/>
        <v>0</v>
      </c>
      <c r="U187" s="17">
        <f t="shared" si="36"/>
        <v>0</v>
      </c>
      <c r="V187" s="17"/>
      <c r="W187" s="18">
        <f>W125</f>
        <v>0</v>
      </c>
      <c r="Y187" s="16" t="s">
        <v>24</v>
      </c>
      <c r="Z187" s="17">
        <f t="shared" si="37"/>
        <v>0</v>
      </c>
      <c r="AA187" s="17">
        <f t="shared" si="38"/>
        <v>0</v>
      </c>
      <c r="AB187" s="17"/>
      <c r="AC187" s="18">
        <f>AC125</f>
        <v>0</v>
      </c>
    </row>
    <row r="188" spans="1:29" x14ac:dyDescent="0.25">
      <c r="E188" s="10" t="str">
        <f>E126</f>
        <v/>
      </c>
      <c r="K188" s="10" t="str">
        <f>K126</f>
        <v/>
      </c>
      <c r="Q188" s="10" t="str">
        <f>Q126</f>
        <v/>
      </c>
      <c r="W188" s="10" t="str">
        <f>W126</f>
        <v/>
      </c>
      <c r="AC188" s="10" t="str">
        <f>AC126</f>
        <v/>
      </c>
    </row>
    <row r="189" spans="1:29" x14ac:dyDescent="0.25">
      <c r="A189" s="19" t="s">
        <v>66</v>
      </c>
      <c r="B189" s="20">
        <f>B127+D127</f>
        <v>51185.052492000003</v>
      </c>
      <c r="C189" s="20">
        <f>IFERROR(C127+(C127/B127)*D127,0)</f>
        <v>0</v>
      </c>
      <c r="D189" s="20"/>
      <c r="E189" s="8">
        <f>E127</f>
        <v>0</v>
      </c>
      <c r="G189" s="19" t="s">
        <v>66</v>
      </c>
      <c r="H189" s="20">
        <f>H127+J127</f>
        <v>52409.482123999995</v>
      </c>
      <c r="I189" s="20">
        <f>IFERROR(I127+(I127/H127)*J127,0)</f>
        <v>0</v>
      </c>
      <c r="J189" s="20"/>
      <c r="K189" s="8">
        <f>K127</f>
        <v>0</v>
      </c>
      <c r="M189" s="19" t="s">
        <v>66</v>
      </c>
      <c r="N189" s="20">
        <f>N127+P127</f>
        <v>52135.891047999998</v>
      </c>
      <c r="O189" s="20">
        <f>IFERROR(O127+(O127/N127)*P127,0)</f>
        <v>0</v>
      </c>
      <c r="P189" s="20"/>
      <c r="Q189" s="8">
        <f>Q127</f>
        <v>0</v>
      </c>
      <c r="S189" s="19" t="s">
        <v>66</v>
      </c>
      <c r="T189" s="142">
        <f>T127+V127</f>
        <v>0</v>
      </c>
      <c r="U189" s="20">
        <f>IFERROR(U127+(U127/T127)*V127,0)</f>
        <v>0</v>
      </c>
      <c r="V189" s="20"/>
      <c r="W189" s="8">
        <f>W127</f>
        <v>0</v>
      </c>
      <c r="Y189" s="19" t="s">
        <v>66</v>
      </c>
      <c r="Z189" s="20">
        <f>Z127+AB127</f>
        <v>0</v>
      </c>
      <c r="AA189" s="20">
        <f>IFERROR(AA127+(AA127/Z127)*AB127,0)</f>
        <v>0</v>
      </c>
      <c r="AB189" s="20"/>
      <c r="AC189" s="8">
        <f>AC127</f>
        <v>0</v>
      </c>
    </row>
    <row r="190" spans="1:29" x14ac:dyDescent="0.25">
      <c r="A190" s="19" t="s">
        <v>25</v>
      </c>
      <c r="B190" s="20">
        <f>B128+D128</f>
        <v>20179.061369999999</v>
      </c>
      <c r="C190" s="20">
        <f>IFERROR(C128+(C128/B128)*D128, 0)</f>
        <v>0</v>
      </c>
      <c r="D190" s="20"/>
      <c r="E190" s="8">
        <f>E128</f>
        <v>0</v>
      </c>
      <c r="G190" s="19" t="s">
        <v>25</v>
      </c>
      <c r="H190" s="20">
        <f>H128+J128</f>
        <v>19649.380724999999</v>
      </c>
      <c r="I190" s="20">
        <f>IFERROR(I128+(I128/H128)*J128, 0)</f>
        <v>0</v>
      </c>
      <c r="J190" s="20"/>
      <c r="K190" s="8">
        <f>K128</f>
        <v>0</v>
      </c>
      <c r="M190" s="19" t="s">
        <v>25</v>
      </c>
      <c r="N190" s="20">
        <f>N128+P128</f>
        <v>19244.281094999998</v>
      </c>
      <c r="O190" s="20">
        <f>IFERROR(O128+(O128/N128)*P128, 0)</f>
        <v>0</v>
      </c>
      <c r="P190" s="20"/>
      <c r="Q190" s="8">
        <f>Q128</f>
        <v>0</v>
      </c>
      <c r="S190" s="19" t="s">
        <v>25</v>
      </c>
      <c r="T190" s="142">
        <f>T128+V128</f>
        <v>0</v>
      </c>
      <c r="U190" s="20">
        <f>IFERROR(U128+(U128/T128)*V128, 0)</f>
        <v>0</v>
      </c>
      <c r="V190" s="20"/>
      <c r="W190" s="8">
        <f>W128</f>
        <v>0</v>
      </c>
      <c r="Y190" s="19" t="s">
        <v>25</v>
      </c>
      <c r="Z190" s="20">
        <f>Z128+AB128</f>
        <v>0</v>
      </c>
      <c r="AA190" s="20">
        <f>IFERROR(AA128+(AA128/Z128)*AB128, 0)</f>
        <v>0</v>
      </c>
      <c r="AB190" s="20"/>
      <c r="AC190" s="8">
        <f>AC128</f>
        <v>0</v>
      </c>
    </row>
    <row r="191" spans="1:29" x14ac:dyDescent="0.25">
      <c r="A191" s="19" t="s">
        <v>96</v>
      </c>
      <c r="B191" s="20">
        <f>B129+D129</f>
        <v>18032.36</v>
      </c>
      <c r="C191" s="20">
        <f>IFERROR(C129+(C129/B129)*D129, 0)</f>
        <v>0</v>
      </c>
      <c r="D191" s="20"/>
      <c r="E191" s="8"/>
      <c r="G191" s="19" t="s">
        <v>96</v>
      </c>
      <c r="H191" s="20">
        <f>H129+J129</f>
        <v>19179.050000000003</v>
      </c>
      <c r="I191" s="20">
        <f>IFERROR(I129+(I129/H129)*J129, 0)</f>
        <v>0</v>
      </c>
      <c r="J191" s="20"/>
      <c r="K191" s="8"/>
      <c r="M191" s="19" t="s">
        <v>96</v>
      </c>
      <c r="N191" s="20">
        <f>N129+P129</f>
        <v>20791.390000000003</v>
      </c>
      <c r="O191" s="20">
        <f>IFERROR(O129+(O129/N129)*P129, 0)</f>
        <v>0</v>
      </c>
      <c r="P191" s="20"/>
      <c r="Q191" s="8"/>
      <c r="S191" s="19" t="s">
        <v>96</v>
      </c>
      <c r="T191" s="142">
        <f>T129+V129</f>
        <v>0</v>
      </c>
      <c r="U191" s="20">
        <f>IFERROR(U129+(U129/T129)*V129, 0)</f>
        <v>0</v>
      </c>
      <c r="V191" s="20"/>
      <c r="W191" s="8"/>
      <c r="Y191" s="19" t="s">
        <v>96</v>
      </c>
      <c r="Z191" s="20">
        <f>Z129+AB129</f>
        <v>0</v>
      </c>
      <c r="AA191" s="20">
        <f>IFERROR(AA129+(AA129/Z129)*AB129, 0)</f>
        <v>0</v>
      </c>
      <c r="AB191" s="20"/>
      <c r="AC191" s="8"/>
    </row>
    <row r="192" spans="1:29" x14ac:dyDescent="0.25">
      <c r="A192" s="26" t="s">
        <v>99</v>
      </c>
      <c r="B192" s="20">
        <f>B130+D130</f>
        <v>4320.3908040000006</v>
      </c>
      <c r="C192" s="20"/>
      <c r="D192" s="20"/>
      <c r="E192" s="8"/>
      <c r="G192" s="26" t="s">
        <v>99</v>
      </c>
      <c r="H192" s="20">
        <f>H130+J130</f>
        <v>5444.9732089999989</v>
      </c>
      <c r="I192" s="20"/>
      <c r="J192" s="20"/>
      <c r="K192" s="8"/>
      <c r="M192" s="26" t="s">
        <v>99</v>
      </c>
      <c r="N192" s="20">
        <f>N130+P130</f>
        <v>4950.2867959999994</v>
      </c>
      <c r="O192" s="20"/>
      <c r="P192" s="20"/>
      <c r="Q192" s="8"/>
      <c r="S192" s="26" t="s">
        <v>99</v>
      </c>
      <c r="T192" s="142">
        <f>T130+V130</f>
        <v>0</v>
      </c>
      <c r="U192" s="20"/>
      <c r="V192" s="20"/>
      <c r="W192" s="8"/>
      <c r="Y192" s="26" t="s">
        <v>99</v>
      </c>
      <c r="Z192" s="20">
        <f>Z130+AB130</f>
        <v>0</v>
      </c>
      <c r="AA192" s="20"/>
      <c r="AB192" s="20"/>
      <c r="AC192" s="8"/>
    </row>
    <row r="193" spans="1:30" x14ac:dyDescent="0.25">
      <c r="A193" s="26" t="s">
        <v>202</v>
      </c>
      <c r="B193" s="20">
        <f>B131+D131</f>
        <v>10335.719720999999</v>
      </c>
      <c r="C193" s="20"/>
      <c r="D193" s="20"/>
      <c r="E193" s="8"/>
      <c r="G193" s="26" t="s">
        <v>202</v>
      </c>
      <c r="H193" s="20">
        <f>H131+J131</f>
        <v>10204.949307000001</v>
      </c>
      <c r="I193" s="20"/>
      <c r="J193" s="20"/>
      <c r="K193" s="8"/>
      <c r="M193" s="26" t="s">
        <v>202</v>
      </c>
      <c r="N193" s="20">
        <f>N131+P131</f>
        <v>9785.3473860000013</v>
      </c>
      <c r="O193" s="20"/>
      <c r="P193" s="20"/>
      <c r="Q193" s="8"/>
      <c r="S193" s="26" t="s">
        <v>202</v>
      </c>
      <c r="T193" s="142">
        <f>T131+V131</f>
        <v>0</v>
      </c>
      <c r="U193" s="20"/>
      <c r="V193" s="20"/>
      <c r="W193" s="8"/>
      <c r="Y193" s="26" t="s">
        <v>202</v>
      </c>
      <c r="Z193" s="20">
        <f>Z131+AB131</f>
        <v>0</v>
      </c>
      <c r="AA193" s="20"/>
      <c r="AB193" s="20"/>
      <c r="AC193" s="8"/>
    </row>
    <row r="194" spans="1:30" x14ac:dyDescent="0.25">
      <c r="A194" s="16" t="s">
        <v>26</v>
      </c>
      <c r="B194" s="17">
        <f t="shared" ref="B194" si="39">B134+D134</f>
        <v>104052.584387</v>
      </c>
      <c r="C194" s="17">
        <f>IFERROR(C134+(C134/B134)*D134, 0)</f>
        <v>0</v>
      </c>
      <c r="D194" s="17"/>
      <c r="E194" s="18">
        <f>E134</f>
        <v>0</v>
      </c>
      <c r="G194" s="16" t="s">
        <v>26</v>
      </c>
      <c r="H194" s="17">
        <f t="shared" ref="H194" si="40">H134+J134</f>
        <v>106887.83536500001</v>
      </c>
      <c r="I194" s="17">
        <f>IFERROR(I134+(I134/H134)*J134, 0)</f>
        <v>0</v>
      </c>
      <c r="J194" s="17"/>
      <c r="K194" s="18">
        <f>K134</f>
        <v>0</v>
      </c>
      <c r="M194" s="16" t="s">
        <v>26</v>
      </c>
      <c r="N194" s="17">
        <f t="shared" ref="N194" si="41">N134+P134</f>
        <v>106907.196325</v>
      </c>
      <c r="O194" s="17">
        <f>IFERROR(O134+(O134/N134)*P134, 0)</f>
        <v>0</v>
      </c>
      <c r="P194" s="17"/>
      <c r="Q194" s="18">
        <f>Q134</f>
        <v>0</v>
      </c>
      <c r="S194" s="16" t="s">
        <v>26</v>
      </c>
      <c r="T194" s="222">
        <f t="shared" ref="T194" si="42">T134+V134</f>
        <v>0</v>
      </c>
      <c r="U194" s="17">
        <f>IFERROR(U134+(U134/T134)*V134, 0)</f>
        <v>0</v>
      </c>
      <c r="V194" s="17"/>
      <c r="W194" s="18">
        <f>W134</f>
        <v>0</v>
      </c>
      <c r="Y194" s="16" t="s">
        <v>26</v>
      </c>
      <c r="Z194" s="17">
        <f t="shared" ref="Z194" si="43">Z134+AB134</f>
        <v>0</v>
      </c>
      <c r="AA194" s="17">
        <f>IFERROR(AA134+(AA134/Z134)*AB134, 0)</f>
        <v>0</v>
      </c>
      <c r="AB194" s="17"/>
      <c r="AC194" s="18">
        <f>AC134</f>
        <v>0</v>
      </c>
    </row>
    <row r="195" spans="1:30" x14ac:dyDescent="0.25">
      <c r="E195" s="8" t="str">
        <f>E135</f>
        <v/>
      </c>
      <c r="K195" s="8" t="str">
        <f>K135</f>
        <v/>
      </c>
      <c r="Q195" s="8" t="str">
        <f>Q135</f>
        <v/>
      </c>
      <c r="W195" s="8" t="str">
        <f>W135</f>
        <v/>
      </c>
      <c r="AC195" s="8" t="str">
        <f>AC135</f>
        <v/>
      </c>
    </row>
    <row r="196" spans="1:30" x14ac:dyDescent="0.25">
      <c r="A196" s="21" t="s">
        <v>27</v>
      </c>
      <c r="B196" s="22">
        <f>B136+D136</f>
        <v>892389.18942399998</v>
      </c>
      <c r="C196" s="22">
        <f>IFERROR(C136+(C136/B136)*D136,0)</f>
        <v>0</v>
      </c>
      <c r="D196" s="22"/>
      <c r="E196" s="23">
        <f>E136</f>
        <v>0</v>
      </c>
      <c r="G196" s="21" t="s">
        <v>28</v>
      </c>
      <c r="H196" s="22">
        <f>H136+J136</f>
        <v>869655.80680099991</v>
      </c>
      <c r="I196" s="22">
        <f>IFERROR(I136+(I136/H136)*J136,0)</f>
        <v>0</v>
      </c>
      <c r="J196" s="22"/>
      <c r="K196" s="23">
        <f>K136</f>
        <v>0</v>
      </c>
      <c r="M196" s="21" t="s">
        <v>29</v>
      </c>
      <c r="N196" s="22">
        <f>N136+P136</f>
        <v>867717.34697800002</v>
      </c>
      <c r="O196" s="22">
        <f>IFERROR(O136+(O136/N136)*P136,0)</f>
        <v>0</v>
      </c>
      <c r="P196" s="22"/>
      <c r="Q196" s="23">
        <f>Q136</f>
        <v>0</v>
      </c>
      <c r="S196" s="21" t="s">
        <v>30</v>
      </c>
      <c r="T196" s="224">
        <f>T136+V136</f>
        <v>0</v>
      </c>
      <c r="U196" s="22">
        <f>IFERROR(U136+(U136/T136)*V136,0)</f>
        <v>0</v>
      </c>
      <c r="V196" s="22"/>
      <c r="W196" s="23">
        <f>W136</f>
        <v>0</v>
      </c>
      <c r="Y196" s="21" t="s">
        <v>31</v>
      </c>
      <c r="Z196" s="22">
        <f>Z136+AB136</f>
        <v>0</v>
      </c>
      <c r="AA196" s="22">
        <f>IFERROR(AA136+(AA136/Z136)*AB136,0)</f>
        <v>0</v>
      </c>
      <c r="AB196" s="22"/>
      <c r="AC196" s="23">
        <f>AC136</f>
        <v>0</v>
      </c>
    </row>
    <row r="197" spans="1:30" x14ac:dyDescent="0.25">
      <c r="AC197" s="9"/>
      <c r="AD197" s="10"/>
    </row>
    <row r="199" spans="1:30" x14ac:dyDescent="0.25">
      <c r="A199" s="10" t="s">
        <v>126</v>
      </c>
      <c r="B199" s="10">
        <f>B2</f>
        <v>0.61</v>
      </c>
      <c r="G199" s="10" t="s">
        <v>126</v>
      </c>
      <c r="H199" s="10">
        <f>H2</f>
        <v>3.05</v>
      </c>
      <c r="M199" s="10" t="s">
        <v>126</v>
      </c>
      <c r="N199" s="10">
        <f>N2</f>
        <v>0</v>
      </c>
      <c r="S199" s="10" t="s">
        <v>126</v>
      </c>
      <c r="T199" s="10">
        <f>T2</f>
        <v>0</v>
      </c>
      <c r="Y199" s="10" t="s">
        <v>126</v>
      </c>
      <c r="Z199" s="10">
        <f>Z2</f>
        <v>0</v>
      </c>
    </row>
    <row r="200" spans="1:30" x14ac:dyDescent="0.25">
      <c r="A200" s="10" t="s">
        <v>127</v>
      </c>
      <c r="B200" s="10">
        <f t="shared" ref="B200:B263" si="44">B3</f>
        <v>9.15</v>
      </c>
      <c r="G200" s="10" t="s">
        <v>127</v>
      </c>
      <c r="H200" s="10">
        <f t="shared" ref="H200:H263" si="45">H3</f>
        <v>20.74</v>
      </c>
      <c r="M200" s="10" t="s">
        <v>127</v>
      </c>
      <c r="N200" s="10">
        <f t="shared" ref="N200:N263" si="46">N3</f>
        <v>2.44</v>
      </c>
      <c r="S200" s="10" t="s">
        <v>127</v>
      </c>
      <c r="T200" s="10">
        <f t="shared" ref="T200:T263" si="47">T3</f>
        <v>0</v>
      </c>
      <c r="Y200" s="10" t="s">
        <v>127</v>
      </c>
      <c r="Z200" s="10">
        <f t="shared" ref="Z200:Z263" si="48">Z3</f>
        <v>0</v>
      </c>
    </row>
    <row r="201" spans="1:30" x14ac:dyDescent="0.25">
      <c r="A201" s="10" t="s">
        <v>128</v>
      </c>
      <c r="B201" s="10">
        <f t="shared" si="44"/>
        <v>1441.92</v>
      </c>
      <c r="G201" s="10" t="s">
        <v>128</v>
      </c>
      <c r="H201" s="10">
        <f t="shared" si="45"/>
        <v>1612.61</v>
      </c>
      <c r="M201" s="10" t="s">
        <v>128</v>
      </c>
      <c r="N201" s="10">
        <f t="shared" si="46"/>
        <v>1452.72</v>
      </c>
      <c r="S201" s="10" t="s">
        <v>128</v>
      </c>
      <c r="T201" s="10">
        <f t="shared" si="47"/>
        <v>0</v>
      </c>
      <c r="Y201" s="10" t="s">
        <v>128</v>
      </c>
      <c r="Z201" s="10">
        <f t="shared" si="48"/>
        <v>0</v>
      </c>
    </row>
    <row r="202" spans="1:30" x14ac:dyDescent="0.25">
      <c r="A202" s="10" t="s">
        <v>129</v>
      </c>
      <c r="B202" s="10">
        <f t="shared" si="44"/>
        <v>24.18</v>
      </c>
      <c r="G202" s="10" t="s">
        <v>129</v>
      </c>
      <c r="H202" s="10">
        <f t="shared" si="45"/>
        <v>24.6</v>
      </c>
      <c r="M202" s="10" t="s">
        <v>129</v>
      </c>
      <c r="N202" s="10">
        <f t="shared" si="46"/>
        <v>14.58</v>
      </c>
      <c r="S202" s="10" t="s">
        <v>129</v>
      </c>
      <c r="T202" s="10">
        <f t="shared" si="47"/>
        <v>0</v>
      </c>
      <c r="Y202" s="10" t="s">
        <v>129</v>
      </c>
      <c r="Z202" s="10">
        <f t="shared" si="48"/>
        <v>0</v>
      </c>
    </row>
    <row r="203" spans="1:30" x14ac:dyDescent="0.25">
      <c r="A203" s="10" t="s">
        <v>33</v>
      </c>
      <c r="B203" s="10">
        <f t="shared" si="44"/>
        <v>46262.921448000001</v>
      </c>
      <c r="G203" s="10" t="s">
        <v>33</v>
      </c>
      <c r="H203" s="10">
        <f t="shared" si="45"/>
        <v>47930.451567999997</v>
      </c>
      <c r="M203" s="10" t="s">
        <v>33</v>
      </c>
      <c r="N203" s="10">
        <f t="shared" si="46"/>
        <v>47374.779704</v>
      </c>
      <c r="S203" s="10" t="s">
        <v>33</v>
      </c>
      <c r="T203" s="10">
        <f t="shared" si="47"/>
        <v>0</v>
      </c>
      <c r="Y203" s="10" t="s">
        <v>33</v>
      </c>
      <c r="Z203" s="10">
        <f t="shared" si="48"/>
        <v>0</v>
      </c>
    </row>
    <row r="204" spans="1:30" x14ac:dyDescent="0.25">
      <c r="A204" s="10" t="s">
        <v>34</v>
      </c>
      <c r="B204" s="10">
        <f t="shared" si="44"/>
        <v>3944.7074160000002</v>
      </c>
      <c r="G204" s="10" t="s">
        <v>34</v>
      </c>
      <c r="H204" s="10">
        <f t="shared" si="45"/>
        <v>3586.9919279999999</v>
      </c>
      <c r="M204" s="10" t="s">
        <v>34</v>
      </c>
      <c r="N204" s="10">
        <f t="shared" si="46"/>
        <v>3890.1367439999999</v>
      </c>
      <c r="S204" s="10" t="s">
        <v>34</v>
      </c>
      <c r="T204" s="10">
        <f t="shared" si="47"/>
        <v>0</v>
      </c>
      <c r="Y204" s="10" t="s">
        <v>34</v>
      </c>
      <c r="Z204" s="10">
        <f t="shared" si="48"/>
        <v>0</v>
      </c>
    </row>
    <row r="205" spans="1:30" x14ac:dyDescent="0.25">
      <c r="A205" s="10" t="s">
        <v>130</v>
      </c>
      <c r="B205" s="10">
        <f t="shared" si="44"/>
        <v>187.8</v>
      </c>
      <c r="G205" s="10" t="s">
        <v>130</v>
      </c>
      <c r="H205" s="10">
        <f t="shared" si="45"/>
        <v>201.06</v>
      </c>
      <c r="M205" s="10" t="s">
        <v>130</v>
      </c>
      <c r="N205" s="10">
        <f t="shared" si="46"/>
        <v>116.34</v>
      </c>
      <c r="S205" s="10" t="s">
        <v>130</v>
      </c>
      <c r="T205" s="10">
        <f t="shared" si="47"/>
        <v>0</v>
      </c>
      <c r="Y205" s="10" t="s">
        <v>130</v>
      </c>
      <c r="Z205" s="10">
        <f t="shared" si="48"/>
        <v>0</v>
      </c>
    </row>
    <row r="206" spans="1:30" x14ac:dyDescent="0.25">
      <c r="A206" s="10" t="s">
        <v>131</v>
      </c>
      <c r="B206" s="10">
        <f t="shared" si="44"/>
        <v>23.18</v>
      </c>
      <c r="G206" s="10" t="s">
        <v>131</v>
      </c>
      <c r="H206" s="10">
        <f t="shared" si="45"/>
        <v>21.35</v>
      </c>
      <c r="M206" s="10" t="s">
        <v>131</v>
      </c>
      <c r="N206" s="10">
        <f t="shared" si="46"/>
        <v>17.690000000000001</v>
      </c>
      <c r="S206" s="10" t="s">
        <v>131</v>
      </c>
      <c r="T206" s="10">
        <f t="shared" si="47"/>
        <v>0</v>
      </c>
      <c r="Y206" s="10" t="s">
        <v>131</v>
      </c>
      <c r="Z206" s="10">
        <f t="shared" si="48"/>
        <v>0</v>
      </c>
    </row>
    <row r="207" spans="1:30" x14ac:dyDescent="0.25">
      <c r="A207" s="10" t="s">
        <v>132</v>
      </c>
      <c r="B207" s="10">
        <f t="shared" si="44"/>
        <v>3.23</v>
      </c>
      <c r="G207" s="10" t="s">
        <v>132</v>
      </c>
      <c r="H207" s="10">
        <f t="shared" si="45"/>
        <v>5.6</v>
      </c>
      <c r="M207" s="10" t="s">
        <v>132</v>
      </c>
      <c r="N207" s="10">
        <f t="shared" si="46"/>
        <v>8.7200000000000006</v>
      </c>
      <c r="S207" s="10" t="s">
        <v>132</v>
      </c>
      <c r="T207" s="10">
        <f t="shared" si="47"/>
        <v>0</v>
      </c>
      <c r="Y207" s="10" t="s">
        <v>132</v>
      </c>
      <c r="Z207" s="10">
        <f t="shared" si="48"/>
        <v>0</v>
      </c>
    </row>
    <row r="208" spans="1:30" x14ac:dyDescent="0.25">
      <c r="A208" s="10" t="s">
        <v>133</v>
      </c>
      <c r="B208" s="10">
        <f t="shared" si="44"/>
        <v>69</v>
      </c>
      <c r="G208" s="10" t="s">
        <v>133</v>
      </c>
      <c r="H208" s="10">
        <f t="shared" si="45"/>
        <v>49.38</v>
      </c>
      <c r="M208" s="10" t="s">
        <v>133</v>
      </c>
      <c r="N208" s="10">
        <f t="shared" si="46"/>
        <v>55.14</v>
      </c>
      <c r="S208" s="10" t="s">
        <v>133</v>
      </c>
      <c r="T208" s="10">
        <f t="shared" si="47"/>
        <v>0</v>
      </c>
      <c r="Y208" s="10" t="s">
        <v>133</v>
      </c>
      <c r="Z208" s="10">
        <f t="shared" si="48"/>
        <v>0</v>
      </c>
    </row>
    <row r="209" spans="1:26" x14ac:dyDescent="0.25">
      <c r="A209" s="10" t="s">
        <v>35</v>
      </c>
      <c r="B209" s="10">
        <f t="shared" si="44"/>
        <v>6800.6749200000004</v>
      </c>
      <c r="G209" s="10" t="s">
        <v>35</v>
      </c>
      <c r="H209" s="10">
        <f t="shared" si="45"/>
        <v>6795.5325359999997</v>
      </c>
      <c r="M209" s="10" t="s">
        <v>35</v>
      </c>
      <c r="N209" s="10">
        <f t="shared" si="46"/>
        <v>6605.9039279999997</v>
      </c>
      <c r="S209" s="10" t="s">
        <v>35</v>
      </c>
      <c r="T209" s="10">
        <f t="shared" si="47"/>
        <v>0</v>
      </c>
      <c r="Y209" s="10" t="s">
        <v>35</v>
      </c>
      <c r="Z209" s="10">
        <f t="shared" si="48"/>
        <v>0</v>
      </c>
    </row>
    <row r="210" spans="1:26" x14ac:dyDescent="0.25">
      <c r="A210" s="10" t="s">
        <v>134</v>
      </c>
      <c r="B210" s="10">
        <f t="shared" si="44"/>
        <v>1.83</v>
      </c>
      <c r="G210" s="10" t="s">
        <v>134</v>
      </c>
      <c r="H210" s="10">
        <f t="shared" si="45"/>
        <v>10.98</v>
      </c>
      <c r="M210" s="10" t="s">
        <v>134</v>
      </c>
      <c r="N210" s="10">
        <f t="shared" si="46"/>
        <v>4.88</v>
      </c>
      <c r="S210" s="10" t="s">
        <v>134</v>
      </c>
      <c r="T210" s="10">
        <f t="shared" si="47"/>
        <v>0</v>
      </c>
      <c r="Y210" s="10" t="s">
        <v>134</v>
      </c>
      <c r="Z210" s="10">
        <f t="shared" si="48"/>
        <v>0</v>
      </c>
    </row>
    <row r="211" spans="1:26" x14ac:dyDescent="0.25">
      <c r="A211" s="10" t="s">
        <v>135</v>
      </c>
      <c r="B211" s="10">
        <f t="shared" si="44"/>
        <v>67.459999999999994</v>
      </c>
      <c r="G211" s="10" t="s">
        <v>135</v>
      </c>
      <c r="H211" s="10">
        <f t="shared" si="45"/>
        <v>14.64</v>
      </c>
      <c r="M211" s="10" t="s">
        <v>135</v>
      </c>
      <c r="N211" s="10">
        <f t="shared" si="46"/>
        <v>26.23</v>
      </c>
      <c r="S211" s="10" t="s">
        <v>135</v>
      </c>
      <c r="T211" s="10">
        <f t="shared" si="47"/>
        <v>0</v>
      </c>
      <c r="Y211" s="10" t="s">
        <v>135</v>
      </c>
      <c r="Z211" s="10">
        <f t="shared" si="48"/>
        <v>0</v>
      </c>
    </row>
    <row r="212" spans="1:26" x14ac:dyDescent="0.25">
      <c r="A212" s="10" t="s">
        <v>136</v>
      </c>
      <c r="B212" s="10">
        <f t="shared" si="44"/>
        <v>34.159999999999997</v>
      </c>
      <c r="G212" s="10" t="s">
        <v>136</v>
      </c>
      <c r="H212" s="10">
        <f t="shared" si="45"/>
        <v>42.7</v>
      </c>
      <c r="M212" s="10" t="s">
        <v>136</v>
      </c>
      <c r="N212" s="10">
        <f t="shared" si="46"/>
        <v>21.96</v>
      </c>
      <c r="S212" s="10" t="s">
        <v>136</v>
      </c>
      <c r="T212" s="10">
        <f t="shared" si="47"/>
        <v>0</v>
      </c>
      <c r="Y212" s="10" t="s">
        <v>136</v>
      </c>
      <c r="Z212" s="10">
        <f t="shared" si="48"/>
        <v>0</v>
      </c>
    </row>
    <row r="213" spans="1:26" x14ac:dyDescent="0.25">
      <c r="A213" s="10" t="s">
        <v>137</v>
      </c>
      <c r="B213" s="10">
        <f t="shared" si="44"/>
        <v>20.92</v>
      </c>
      <c r="G213" s="10" t="s">
        <v>137</v>
      </c>
      <c r="H213" s="10">
        <f t="shared" si="45"/>
        <v>22.57</v>
      </c>
      <c r="M213" s="10" t="s">
        <v>137</v>
      </c>
      <c r="N213" s="10">
        <f t="shared" si="46"/>
        <v>21.71</v>
      </c>
      <c r="S213" s="10" t="s">
        <v>137</v>
      </c>
      <c r="T213" s="10">
        <f t="shared" si="47"/>
        <v>0</v>
      </c>
      <c r="Y213" s="10" t="s">
        <v>137</v>
      </c>
      <c r="Z213" s="10">
        <f t="shared" si="48"/>
        <v>0</v>
      </c>
    </row>
    <row r="214" spans="1:26" x14ac:dyDescent="0.25">
      <c r="A214" s="10" t="s">
        <v>138</v>
      </c>
      <c r="B214" s="10">
        <f t="shared" si="44"/>
        <v>8877.76</v>
      </c>
      <c r="G214" s="10" t="s">
        <v>138</v>
      </c>
      <c r="H214" s="10">
        <f t="shared" si="45"/>
        <v>10210.280000000001</v>
      </c>
      <c r="M214" s="10" t="s">
        <v>138</v>
      </c>
      <c r="N214" s="10">
        <f t="shared" si="46"/>
        <v>11309.81</v>
      </c>
      <c r="S214" s="10" t="s">
        <v>138</v>
      </c>
      <c r="T214" s="10">
        <f t="shared" si="47"/>
        <v>0</v>
      </c>
      <c r="Y214" s="10" t="s">
        <v>138</v>
      </c>
      <c r="Z214" s="10">
        <f t="shared" si="48"/>
        <v>0</v>
      </c>
    </row>
    <row r="215" spans="1:26" x14ac:dyDescent="0.25">
      <c r="A215" s="10" t="s">
        <v>139</v>
      </c>
      <c r="B215" s="10">
        <f t="shared" si="44"/>
        <v>21.08</v>
      </c>
      <c r="G215" s="10" t="s">
        <v>139</v>
      </c>
      <c r="H215" s="10">
        <f t="shared" si="45"/>
        <v>44.64</v>
      </c>
      <c r="M215" s="10" t="s">
        <v>139</v>
      </c>
      <c r="N215" s="10">
        <f t="shared" si="46"/>
        <v>14.12</v>
      </c>
      <c r="S215" s="10" t="s">
        <v>139</v>
      </c>
      <c r="T215" s="10">
        <f t="shared" si="47"/>
        <v>0</v>
      </c>
      <c r="Y215" s="10" t="s">
        <v>139</v>
      </c>
      <c r="Z215" s="10">
        <f t="shared" si="48"/>
        <v>0</v>
      </c>
    </row>
    <row r="216" spans="1:26" x14ac:dyDescent="0.25">
      <c r="A216" s="10" t="s">
        <v>62</v>
      </c>
      <c r="B216" s="10">
        <f t="shared" si="44"/>
        <v>150.024576</v>
      </c>
      <c r="G216" s="10" t="s">
        <v>62</v>
      </c>
      <c r="H216" s="10">
        <f t="shared" si="45"/>
        <v>138.012888</v>
      </c>
      <c r="M216" s="10" t="s">
        <v>62</v>
      </c>
      <c r="N216" s="10">
        <f t="shared" si="46"/>
        <v>156.76596000000001</v>
      </c>
      <c r="S216" s="10" t="s">
        <v>62</v>
      </c>
      <c r="T216" s="10">
        <f t="shared" si="47"/>
        <v>0</v>
      </c>
      <c r="Y216" s="10" t="s">
        <v>62</v>
      </c>
      <c r="Z216" s="10">
        <f t="shared" si="48"/>
        <v>0</v>
      </c>
    </row>
    <row r="217" spans="1:26" x14ac:dyDescent="0.25">
      <c r="A217" s="10" t="s">
        <v>140</v>
      </c>
      <c r="B217" s="10">
        <f t="shared" si="44"/>
        <v>12.2</v>
      </c>
      <c r="G217" s="10" t="s">
        <v>140</v>
      </c>
      <c r="H217" s="10">
        <f t="shared" si="45"/>
        <v>20.13</v>
      </c>
      <c r="M217" s="10" t="s">
        <v>140</v>
      </c>
      <c r="N217" s="10">
        <f t="shared" si="46"/>
        <v>4.2699999999999996</v>
      </c>
      <c r="S217" s="10" t="s">
        <v>140</v>
      </c>
      <c r="T217" s="10">
        <f t="shared" si="47"/>
        <v>0</v>
      </c>
      <c r="Y217" s="10" t="s">
        <v>140</v>
      </c>
      <c r="Z217" s="10">
        <f t="shared" si="48"/>
        <v>0</v>
      </c>
    </row>
    <row r="218" spans="1:26" x14ac:dyDescent="0.25">
      <c r="A218" s="10" t="s">
        <v>141</v>
      </c>
      <c r="B218" s="10">
        <f t="shared" si="44"/>
        <v>1.86</v>
      </c>
      <c r="G218" s="10" t="s">
        <v>141</v>
      </c>
      <c r="H218" s="10">
        <f t="shared" si="45"/>
        <v>0.62</v>
      </c>
      <c r="M218" s="10" t="s">
        <v>141</v>
      </c>
      <c r="N218" s="10">
        <f t="shared" si="46"/>
        <v>4.96</v>
      </c>
      <c r="S218" s="10" t="s">
        <v>141</v>
      </c>
      <c r="T218" s="10">
        <f t="shared" si="47"/>
        <v>0</v>
      </c>
      <c r="Y218" s="10" t="s">
        <v>141</v>
      </c>
      <c r="Z218" s="10">
        <f t="shared" si="48"/>
        <v>0</v>
      </c>
    </row>
    <row r="219" spans="1:26" x14ac:dyDescent="0.25">
      <c r="A219" s="10" t="s">
        <v>36</v>
      </c>
      <c r="B219" s="10">
        <f t="shared" si="44"/>
        <v>51386.355818999997</v>
      </c>
      <c r="G219" s="10" t="s">
        <v>36</v>
      </c>
      <c r="H219" s="10">
        <f t="shared" si="45"/>
        <v>51339.090016000002</v>
      </c>
      <c r="M219" s="10" t="s">
        <v>36</v>
      </c>
      <c r="N219" s="10">
        <f t="shared" si="46"/>
        <v>52054.401287000001</v>
      </c>
      <c r="S219" s="10" t="s">
        <v>36</v>
      </c>
      <c r="T219" s="10">
        <f t="shared" si="47"/>
        <v>0</v>
      </c>
      <c r="Y219" s="10" t="s">
        <v>36</v>
      </c>
      <c r="Z219" s="10">
        <f t="shared" si="48"/>
        <v>0</v>
      </c>
    </row>
    <row r="220" spans="1:26" x14ac:dyDescent="0.25">
      <c r="A220" s="10" t="s">
        <v>142</v>
      </c>
      <c r="B220" s="10">
        <f t="shared" si="44"/>
        <v>1.83</v>
      </c>
      <c r="G220" s="10" t="s">
        <v>142</v>
      </c>
      <c r="H220" s="10">
        <f t="shared" si="45"/>
        <v>6.1</v>
      </c>
      <c r="M220" s="10" t="s">
        <v>142</v>
      </c>
      <c r="N220" s="10">
        <f t="shared" si="46"/>
        <v>0</v>
      </c>
      <c r="S220" s="10" t="s">
        <v>142</v>
      </c>
      <c r="T220" s="10">
        <f t="shared" si="47"/>
        <v>0</v>
      </c>
      <c r="Y220" s="10" t="s">
        <v>142</v>
      </c>
      <c r="Z220" s="10">
        <f t="shared" si="48"/>
        <v>0</v>
      </c>
    </row>
    <row r="221" spans="1:26" x14ac:dyDescent="0.25">
      <c r="A221" s="10" t="s">
        <v>143</v>
      </c>
      <c r="B221" s="10">
        <f t="shared" si="44"/>
        <v>21.53</v>
      </c>
      <c r="G221" s="10" t="s">
        <v>143</v>
      </c>
      <c r="H221" s="10">
        <f t="shared" si="45"/>
        <v>29.28</v>
      </c>
      <c r="M221" s="10" t="s">
        <v>143</v>
      </c>
      <c r="N221" s="10">
        <f t="shared" si="46"/>
        <v>17.079999999999998</v>
      </c>
      <c r="S221" s="10" t="s">
        <v>143</v>
      </c>
      <c r="T221" s="10">
        <f t="shared" si="47"/>
        <v>0</v>
      </c>
      <c r="Y221" s="10" t="s">
        <v>143</v>
      </c>
      <c r="Z221" s="10">
        <f t="shared" si="48"/>
        <v>0</v>
      </c>
    </row>
    <row r="222" spans="1:26" x14ac:dyDescent="0.25">
      <c r="A222" s="10" t="s">
        <v>144</v>
      </c>
      <c r="B222" s="10">
        <f t="shared" si="44"/>
        <v>3023.27</v>
      </c>
      <c r="G222" s="10" t="s">
        <v>144</v>
      </c>
      <c r="H222" s="10">
        <f t="shared" si="45"/>
        <v>2755.02</v>
      </c>
      <c r="M222" s="10" t="s">
        <v>144</v>
      </c>
      <c r="N222" s="10">
        <f t="shared" si="46"/>
        <v>2715.87</v>
      </c>
      <c r="S222" s="10" t="s">
        <v>144</v>
      </c>
      <c r="T222" s="10">
        <f t="shared" si="47"/>
        <v>0</v>
      </c>
      <c r="Y222" s="10" t="s">
        <v>144</v>
      </c>
      <c r="Z222" s="10">
        <f t="shared" si="48"/>
        <v>0</v>
      </c>
    </row>
    <row r="223" spans="1:26" x14ac:dyDescent="0.25">
      <c r="A223" s="10" t="s">
        <v>145</v>
      </c>
      <c r="B223" s="10">
        <f t="shared" si="44"/>
        <v>1768.22</v>
      </c>
      <c r="G223" s="10" t="s">
        <v>145</v>
      </c>
      <c r="H223" s="10">
        <f t="shared" si="45"/>
        <v>1690.28</v>
      </c>
      <c r="M223" s="10" t="s">
        <v>145</v>
      </c>
      <c r="N223" s="10">
        <f t="shared" si="46"/>
        <v>1838.54</v>
      </c>
      <c r="S223" s="10" t="s">
        <v>145</v>
      </c>
      <c r="T223" s="10">
        <f t="shared" si="47"/>
        <v>0</v>
      </c>
      <c r="Y223" s="10" t="s">
        <v>145</v>
      </c>
      <c r="Z223" s="10">
        <f t="shared" si="48"/>
        <v>0</v>
      </c>
    </row>
    <row r="224" spans="1:26" x14ac:dyDescent="0.25">
      <c r="A224" s="10" t="s">
        <v>146</v>
      </c>
      <c r="B224" s="10">
        <f t="shared" si="44"/>
        <v>406.26</v>
      </c>
      <c r="G224" s="10" t="s">
        <v>146</v>
      </c>
      <c r="H224" s="10">
        <f t="shared" si="45"/>
        <v>452.19</v>
      </c>
      <c r="M224" s="10" t="s">
        <v>146</v>
      </c>
      <c r="N224" s="10">
        <f t="shared" si="46"/>
        <v>523.45000000000005</v>
      </c>
      <c r="S224" s="10" t="s">
        <v>146</v>
      </c>
      <c r="T224" s="10">
        <f t="shared" si="47"/>
        <v>0</v>
      </c>
      <c r="Y224" s="10" t="s">
        <v>146</v>
      </c>
      <c r="Z224" s="10">
        <f t="shared" si="48"/>
        <v>0</v>
      </c>
    </row>
    <row r="225" spans="1:26" x14ac:dyDescent="0.25">
      <c r="A225" s="10" t="s">
        <v>61</v>
      </c>
      <c r="B225" s="10">
        <f t="shared" si="44"/>
        <v>170.12080800000001</v>
      </c>
      <c r="G225" s="10" t="s">
        <v>61</v>
      </c>
      <c r="H225" s="10">
        <f t="shared" si="45"/>
        <v>159.989544</v>
      </c>
      <c r="M225" s="10" t="s">
        <v>61</v>
      </c>
      <c r="N225" s="10">
        <f t="shared" si="46"/>
        <v>109.256472</v>
      </c>
      <c r="S225" s="10" t="s">
        <v>61</v>
      </c>
      <c r="T225" s="10">
        <f t="shared" si="47"/>
        <v>0</v>
      </c>
      <c r="Y225" s="10" t="s">
        <v>61</v>
      </c>
      <c r="Z225" s="10">
        <f t="shared" si="48"/>
        <v>0</v>
      </c>
    </row>
    <row r="226" spans="1:26" x14ac:dyDescent="0.25">
      <c r="A226" s="10" t="s">
        <v>60</v>
      </c>
      <c r="B226" s="10">
        <f t="shared" si="44"/>
        <v>791.59454400000004</v>
      </c>
      <c r="G226" s="10" t="s">
        <v>60</v>
      </c>
      <c r="H226" s="10">
        <f t="shared" si="45"/>
        <v>787.48831199999995</v>
      </c>
      <c r="M226" s="10" t="s">
        <v>60</v>
      </c>
      <c r="N226" s="10">
        <f t="shared" si="46"/>
        <v>705.453216</v>
      </c>
      <c r="S226" s="10" t="s">
        <v>60</v>
      </c>
      <c r="T226" s="10">
        <f t="shared" si="47"/>
        <v>0</v>
      </c>
      <c r="Y226" s="10" t="s">
        <v>60</v>
      </c>
      <c r="Z226" s="10">
        <f t="shared" si="48"/>
        <v>0</v>
      </c>
    </row>
    <row r="227" spans="1:26" x14ac:dyDescent="0.25">
      <c r="A227" s="10" t="s">
        <v>37</v>
      </c>
      <c r="B227" s="10">
        <f t="shared" si="44"/>
        <v>9141.086448</v>
      </c>
      <c r="G227" s="10" t="s">
        <v>37</v>
      </c>
      <c r="H227" s="10">
        <f t="shared" si="45"/>
        <v>6907.3090320000001</v>
      </c>
      <c r="M227" s="10" t="s">
        <v>37</v>
      </c>
      <c r="N227" s="10">
        <f t="shared" si="46"/>
        <v>5401.5882959999999</v>
      </c>
      <c r="S227" s="10" t="s">
        <v>37</v>
      </c>
      <c r="T227" s="10">
        <f t="shared" si="47"/>
        <v>0</v>
      </c>
      <c r="Y227" s="10" t="s">
        <v>37</v>
      </c>
      <c r="Z227" s="10">
        <f t="shared" si="48"/>
        <v>0</v>
      </c>
    </row>
    <row r="228" spans="1:26" x14ac:dyDescent="0.25">
      <c r="A228" s="10" t="s">
        <v>147</v>
      </c>
      <c r="B228" s="10">
        <f t="shared" si="44"/>
        <v>0</v>
      </c>
      <c r="G228" s="10" t="s">
        <v>147</v>
      </c>
      <c r="H228" s="10">
        <f t="shared" si="45"/>
        <v>0.61</v>
      </c>
      <c r="M228" s="10" t="s">
        <v>147</v>
      </c>
      <c r="N228" s="10">
        <f t="shared" si="46"/>
        <v>1.83</v>
      </c>
      <c r="S228" s="10" t="s">
        <v>147</v>
      </c>
      <c r="T228" s="10">
        <f t="shared" si="47"/>
        <v>0</v>
      </c>
      <c r="Y228" s="10" t="s">
        <v>147</v>
      </c>
      <c r="Z228" s="10">
        <f t="shared" si="48"/>
        <v>0</v>
      </c>
    </row>
    <row r="229" spans="1:26" x14ac:dyDescent="0.25">
      <c r="A229" s="10" t="s">
        <v>148</v>
      </c>
      <c r="B229" s="10">
        <f t="shared" si="44"/>
        <v>198.97</v>
      </c>
      <c r="G229" s="10" t="s">
        <v>148</v>
      </c>
      <c r="H229" s="10">
        <f t="shared" si="45"/>
        <v>265.89</v>
      </c>
      <c r="M229" s="10" t="s">
        <v>148</v>
      </c>
      <c r="N229" s="10">
        <f t="shared" si="46"/>
        <v>288.91000000000003</v>
      </c>
      <c r="S229" s="10" t="s">
        <v>148</v>
      </c>
      <c r="T229" s="10">
        <f t="shared" si="47"/>
        <v>0</v>
      </c>
      <c r="Y229" s="10" t="s">
        <v>148</v>
      </c>
      <c r="Z229" s="10">
        <f t="shared" si="48"/>
        <v>0</v>
      </c>
    </row>
    <row r="230" spans="1:26" x14ac:dyDescent="0.25">
      <c r="A230" s="10" t="s">
        <v>149</v>
      </c>
      <c r="B230" s="10">
        <f t="shared" si="44"/>
        <v>459.4</v>
      </c>
      <c r="G230" s="10" t="s">
        <v>149</v>
      </c>
      <c r="H230" s="10">
        <f t="shared" si="45"/>
        <v>480.79</v>
      </c>
      <c r="M230" s="10" t="s">
        <v>149</v>
      </c>
      <c r="N230" s="10">
        <f t="shared" si="46"/>
        <v>540.82000000000005</v>
      </c>
      <c r="S230" s="10" t="s">
        <v>149</v>
      </c>
      <c r="T230" s="10">
        <f t="shared" si="47"/>
        <v>0</v>
      </c>
      <c r="Y230" s="10" t="s">
        <v>149</v>
      </c>
      <c r="Z230" s="10">
        <f t="shared" si="48"/>
        <v>0</v>
      </c>
    </row>
    <row r="231" spans="1:26" x14ac:dyDescent="0.25">
      <c r="A231" s="10" t="s">
        <v>150</v>
      </c>
      <c r="B231" s="10">
        <f t="shared" si="44"/>
        <v>49.16</v>
      </c>
      <c r="G231" s="10" t="s">
        <v>150</v>
      </c>
      <c r="H231" s="10">
        <f t="shared" si="45"/>
        <v>65.31</v>
      </c>
      <c r="M231" s="10" t="s">
        <v>150</v>
      </c>
      <c r="N231" s="10">
        <f t="shared" si="46"/>
        <v>107.97</v>
      </c>
      <c r="S231" s="10" t="s">
        <v>150</v>
      </c>
      <c r="T231" s="10">
        <f t="shared" si="47"/>
        <v>0</v>
      </c>
      <c r="Y231" s="10" t="s">
        <v>150</v>
      </c>
      <c r="Z231" s="10">
        <f t="shared" si="48"/>
        <v>0</v>
      </c>
    </row>
    <row r="232" spans="1:26" x14ac:dyDescent="0.25">
      <c r="A232" s="10" t="s">
        <v>59</v>
      </c>
      <c r="B232" s="10">
        <f t="shared" si="44"/>
        <v>201.80659199999999</v>
      </c>
      <c r="G232" s="10" t="s">
        <v>59</v>
      </c>
      <c r="H232" s="10">
        <f t="shared" si="45"/>
        <v>108.23311200000001</v>
      </c>
      <c r="M232" s="10" t="s">
        <v>59</v>
      </c>
      <c r="N232" s="10">
        <f t="shared" si="46"/>
        <v>127.13968800000001</v>
      </c>
      <c r="S232" s="10" t="s">
        <v>59</v>
      </c>
      <c r="T232" s="10">
        <f t="shared" si="47"/>
        <v>0</v>
      </c>
      <c r="Y232" s="10" t="s">
        <v>59</v>
      </c>
      <c r="Z232" s="10">
        <f t="shared" si="48"/>
        <v>0</v>
      </c>
    </row>
    <row r="233" spans="1:26" x14ac:dyDescent="0.25">
      <c r="A233" s="10" t="s">
        <v>151</v>
      </c>
      <c r="B233" s="10">
        <f t="shared" si="44"/>
        <v>1.83</v>
      </c>
      <c r="G233" s="10" t="s">
        <v>151</v>
      </c>
      <c r="H233" s="10">
        <f t="shared" si="45"/>
        <v>0</v>
      </c>
      <c r="M233" s="10" t="s">
        <v>151</v>
      </c>
      <c r="N233" s="10">
        <f t="shared" si="46"/>
        <v>1.22</v>
      </c>
      <c r="S233" s="10" t="s">
        <v>151</v>
      </c>
      <c r="T233" s="10">
        <f t="shared" si="47"/>
        <v>0</v>
      </c>
      <c r="Y233" s="10" t="s">
        <v>151</v>
      </c>
      <c r="Z233" s="10">
        <f t="shared" si="48"/>
        <v>0</v>
      </c>
    </row>
    <row r="234" spans="1:26" x14ac:dyDescent="0.25">
      <c r="A234" s="10" t="s">
        <v>38</v>
      </c>
      <c r="B234" s="10">
        <f t="shared" si="44"/>
        <v>912.55569600000001</v>
      </c>
      <c r="G234" s="10" t="s">
        <v>38</v>
      </c>
      <c r="H234" s="10">
        <f t="shared" si="45"/>
        <v>942.29709600000001</v>
      </c>
      <c r="M234" s="10" t="s">
        <v>38</v>
      </c>
      <c r="N234" s="10">
        <f t="shared" si="46"/>
        <v>801.78976799999998</v>
      </c>
      <c r="S234" s="10" t="s">
        <v>38</v>
      </c>
      <c r="T234" s="10">
        <f t="shared" si="47"/>
        <v>0</v>
      </c>
      <c r="Y234" s="10" t="s">
        <v>38</v>
      </c>
      <c r="Z234" s="10">
        <f t="shared" si="48"/>
        <v>0</v>
      </c>
    </row>
    <row r="235" spans="1:26" x14ac:dyDescent="0.25">
      <c r="A235" s="10" t="s">
        <v>39</v>
      </c>
      <c r="B235" s="10">
        <f t="shared" si="44"/>
        <v>26143.611624000001</v>
      </c>
      <c r="G235" s="10" t="s">
        <v>39</v>
      </c>
      <c r="H235" s="10">
        <f t="shared" si="45"/>
        <v>24289.641479999998</v>
      </c>
      <c r="M235" s="10" t="s">
        <v>39</v>
      </c>
      <c r="N235" s="10">
        <f t="shared" si="46"/>
        <v>21979.815623999999</v>
      </c>
      <c r="S235" s="10" t="s">
        <v>39</v>
      </c>
      <c r="T235" s="10">
        <f t="shared" si="47"/>
        <v>0</v>
      </c>
      <c r="Y235" s="10" t="s">
        <v>39</v>
      </c>
      <c r="Z235" s="10">
        <f t="shared" si="48"/>
        <v>0</v>
      </c>
    </row>
    <row r="236" spans="1:26" x14ac:dyDescent="0.25">
      <c r="A236" s="10" t="s">
        <v>152</v>
      </c>
      <c r="B236" s="10">
        <f t="shared" si="44"/>
        <v>0</v>
      </c>
      <c r="G236" s="10" t="s">
        <v>152</v>
      </c>
      <c r="H236" s="10">
        <f t="shared" si="45"/>
        <v>0</v>
      </c>
      <c r="M236" s="10" t="s">
        <v>152</v>
      </c>
      <c r="N236" s="10">
        <f t="shared" si="46"/>
        <v>0</v>
      </c>
      <c r="S236" s="10" t="s">
        <v>152</v>
      </c>
      <c r="T236" s="10">
        <f t="shared" si="47"/>
        <v>0</v>
      </c>
      <c r="Y236" s="10" t="s">
        <v>152</v>
      </c>
      <c r="Z236" s="10">
        <f t="shared" si="48"/>
        <v>0</v>
      </c>
    </row>
    <row r="237" spans="1:26" x14ac:dyDescent="0.25">
      <c r="A237" s="10" t="s">
        <v>40</v>
      </c>
      <c r="B237" s="10">
        <f t="shared" si="44"/>
        <v>36560.636112</v>
      </c>
      <c r="G237" s="10" t="s">
        <v>40</v>
      </c>
      <c r="H237" s="10">
        <f t="shared" si="45"/>
        <v>32371.703831999999</v>
      </c>
      <c r="M237" s="10" t="s">
        <v>40</v>
      </c>
      <c r="N237" s="10">
        <f t="shared" si="46"/>
        <v>33611.312592000002</v>
      </c>
      <c r="S237" s="10" t="s">
        <v>40</v>
      </c>
      <c r="T237" s="10">
        <f t="shared" si="47"/>
        <v>0</v>
      </c>
      <c r="Y237" s="10" t="s">
        <v>40</v>
      </c>
      <c r="Z237" s="10">
        <f t="shared" si="48"/>
        <v>0</v>
      </c>
    </row>
    <row r="238" spans="1:26" x14ac:dyDescent="0.25">
      <c r="A238" s="10" t="s">
        <v>153</v>
      </c>
      <c r="B238" s="10">
        <f t="shared" si="44"/>
        <v>8.5399999999999991</v>
      </c>
      <c r="G238" s="10" t="s">
        <v>153</v>
      </c>
      <c r="H238" s="10">
        <f t="shared" si="45"/>
        <v>18.91</v>
      </c>
      <c r="M238" s="10" t="s">
        <v>153</v>
      </c>
      <c r="N238" s="10">
        <f t="shared" si="46"/>
        <v>27.27</v>
      </c>
      <c r="S238" s="10" t="s">
        <v>153</v>
      </c>
      <c r="T238" s="10">
        <f t="shared" si="47"/>
        <v>0</v>
      </c>
      <c r="Y238" s="10" t="s">
        <v>153</v>
      </c>
      <c r="Z238" s="10">
        <f t="shared" si="48"/>
        <v>0</v>
      </c>
    </row>
    <row r="239" spans="1:26" x14ac:dyDescent="0.25">
      <c r="A239" s="10" t="s">
        <v>41</v>
      </c>
      <c r="B239" s="10">
        <f t="shared" si="44"/>
        <v>1162.421832</v>
      </c>
      <c r="G239" s="10" t="s">
        <v>41</v>
      </c>
      <c r="H239" s="10">
        <f t="shared" si="45"/>
        <v>1262.404104</v>
      </c>
      <c r="M239" s="10" t="s">
        <v>41</v>
      </c>
      <c r="N239" s="10">
        <f t="shared" si="46"/>
        <v>1123.0096799999999</v>
      </c>
      <c r="S239" s="10" t="s">
        <v>41</v>
      </c>
      <c r="T239" s="10">
        <f t="shared" si="47"/>
        <v>0</v>
      </c>
      <c r="Y239" s="10" t="s">
        <v>41</v>
      </c>
      <c r="Z239" s="10">
        <f t="shared" si="48"/>
        <v>0</v>
      </c>
    </row>
    <row r="240" spans="1:26" x14ac:dyDescent="0.25">
      <c r="A240" s="10" t="s">
        <v>154</v>
      </c>
      <c r="B240" s="10">
        <f t="shared" si="44"/>
        <v>0.61</v>
      </c>
      <c r="G240" s="10" t="s">
        <v>154</v>
      </c>
      <c r="H240" s="10">
        <f t="shared" si="45"/>
        <v>2.44</v>
      </c>
      <c r="M240" s="10" t="s">
        <v>154</v>
      </c>
      <c r="N240" s="10">
        <f t="shared" si="46"/>
        <v>0</v>
      </c>
      <c r="S240" s="10" t="s">
        <v>154</v>
      </c>
      <c r="T240" s="10">
        <f t="shared" si="47"/>
        <v>0</v>
      </c>
      <c r="Y240" s="10" t="s">
        <v>154</v>
      </c>
      <c r="Z240" s="10">
        <f t="shared" si="48"/>
        <v>0</v>
      </c>
    </row>
    <row r="241" spans="1:26" x14ac:dyDescent="0.25">
      <c r="A241" s="10" t="s">
        <v>155</v>
      </c>
      <c r="B241" s="10">
        <f t="shared" si="44"/>
        <v>226.67</v>
      </c>
      <c r="G241" s="10" t="s">
        <v>155</v>
      </c>
      <c r="H241" s="10">
        <f t="shared" si="45"/>
        <v>177.73</v>
      </c>
      <c r="M241" s="10" t="s">
        <v>155</v>
      </c>
      <c r="N241" s="10">
        <f t="shared" si="46"/>
        <v>248.99</v>
      </c>
      <c r="S241" s="10" t="s">
        <v>155</v>
      </c>
      <c r="T241" s="10">
        <f t="shared" si="47"/>
        <v>0</v>
      </c>
      <c r="Y241" s="10" t="s">
        <v>155</v>
      </c>
      <c r="Z241" s="10">
        <f t="shared" si="48"/>
        <v>0</v>
      </c>
    </row>
    <row r="242" spans="1:26" x14ac:dyDescent="0.25">
      <c r="A242" s="10" t="s">
        <v>156</v>
      </c>
      <c r="B242" s="10">
        <f t="shared" si="44"/>
        <v>0</v>
      </c>
      <c r="G242" s="10" t="s">
        <v>156</v>
      </c>
      <c r="H242" s="10">
        <f t="shared" si="45"/>
        <v>0</v>
      </c>
      <c r="M242" s="10" t="s">
        <v>156</v>
      </c>
      <c r="N242" s="10">
        <f t="shared" si="46"/>
        <v>0</v>
      </c>
      <c r="S242" s="10" t="s">
        <v>156</v>
      </c>
      <c r="T242" s="10">
        <f t="shared" si="47"/>
        <v>0</v>
      </c>
      <c r="Y242" s="10" t="s">
        <v>156</v>
      </c>
      <c r="Z242" s="10">
        <f t="shared" si="48"/>
        <v>0</v>
      </c>
    </row>
    <row r="243" spans="1:26" x14ac:dyDescent="0.25">
      <c r="A243" s="10" t="s">
        <v>157</v>
      </c>
      <c r="B243" s="10">
        <f t="shared" si="44"/>
        <v>75.03</v>
      </c>
      <c r="G243" s="10" t="s">
        <v>157</v>
      </c>
      <c r="H243" s="10">
        <f t="shared" si="45"/>
        <v>53.68</v>
      </c>
      <c r="M243" s="10" t="s">
        <v>157</v>
      </c>
      <c r="N243" s="10">
        <f t="shared" si="46"/>
        <v>125.23</v>
      </c>
      <c r="S243" s="10" t="s">
        <v>157</v>
      </c>
      <c r="T243" s="10">
        <f t="shared" si="47"/>
        <v>0</v>
      </c>
      <c r="Y243" s="10" t="s">
        <v>157</v>
      </c>
      <c r="Z243" s="10">
        <f t="shared" si="48"/>
        <v>0</v>
      </c>
    </row>
    <row r="244" spans="1:26" x14ac:dyDescent="0.25">
      <c r="A244" s="10" t="s">
        <v>158</v>
      </c>
      <c r="B244" s="10">
        <f t="shared" si="44"/>
        <v>839.01732500000003</v>
      </c>
      <c r="G244" s="10" t="s">
        <v>158</v>
      </c>
      <c r="H244" s="10">
        <f t="shared" si="45"/>
        <v>803.74252899999999</v>
      </c>
      <c r="M244" s="10" t="s">
        <v>158</v>
      </c>
      <c r="N244" s="10">
        <f t="shared" si="46"/>
        <v>630.60699899999997</v>
      </c>
      <c r="S244" s="10" t="s">
        <v>158</v>
      </c>
      <c r="T244" s="10">
        <f t="shared" si="47"/>
        <v>0</v>
      </c>
      <c r="Y244" s="10" t="s">
        <v>158</v>
      </c>
      <c r="Z244" s="10">
        <f t="shared" si="48"/>
        <v>0</v>
      </c>
    </row>
    <row r="245" spans="1:26" x14ac:dyDescent="0.25">
      <c r="A245" s="10" t="s">
        <v>58</v>
      </c>
      <c r="B245" s="10">
        <f t="shared" si="44"/>
        <v>402.05256000000003</v>
      </c>
      <c r="G245" s="10" t="s">
        <v>58</v>
      </c>
      <c r="H245" s="10">
        <f t="shared" si="45"/>
        <v>425.67938400000003</v>
      </c>
      <c r="M245" s="10" t="s">
        <v>58</v>
      </c>
      <c r="N245" s="10">
        <f t="shared" si="46"/>
        <v>405.12263999999999</v>
      </c>
      <c r="S245" s="10" t="s">
        <v>58</v>
      </c>
      <c r="T245" s="10">
        <f t="shared" si="47"/>
        <v>0</v>
      </c>
      <c r="Y245" s="10" t="s">
        <v>58</v>
      </c>
      <c r="Z245" s="10">
        <f t="shared" si="48"/>
        <v>0</v>
      </c>
    </row>
    <row r="246" spans="1:26" x14ac:dyDescent="0.25">
      <c r="A246" s="10" t="s">
        <v>159</v>
      </c>
      <c r="B246" s="10">
        <f t="shared" si="44"/>
        <v>1510.4469200000001</v>
      </c>
      <c r="G246" s="10" t="s">
        <v>159</v>
      </c>
      <c r="H246" s="10">
        <f t="shared" si="45"/>
        <v>1516.4408060000001</v>
      </c>
      <c r="M246" s="10" t="s">
        <v>159</v>
      </c>
      <c r="N246" s="10">
        <f t="shared" si="46"/>
        <v>1541.18487</v>
      </c>
      <c r="S246" s="10" t="s">
        <v>159</v>
      </c>
      <c r="T246" s="10">
        <f t="shared" si="47"/>
        <v>0</v>
      </c>
      <c r="Y246" s="10" t="s">
        <v>159</v>
      </c>
      <c r="Z246" s="10">
        <f t="shared" si="48"/>
        <v>0</v>
      </c>
    </row>
    <row r="247" spans="1:26" x14ac:dyDescent="0.25">
      <c r="A247" s="10" t="s">
        <v>160</v>
      </c>
      <c r="B247" s="10">
        <f t="shared" si="44"/>
        <v>898.27599999999995</v>
      </c>
      <c r="G247" s="10" t="s">
        <v>160</v>
      </c>
      <c r="H247" s="10">
        <f t="shared" si="45"/>
        <v>858.52599999999995</v>
      </c>
      <c r="M247" s="10" t="s">
        <v>160</v>
      </c>
      <c r="N247" s="10">
        <f t="shared" si="46"/>
        <v>939.99599999999998</v>
      </c>
      <c r="S247" s="10" t="s">
        <v>160</v>
      </c>
      <c r="T247" s="10">
        <f t="shared" si="47"/>
        <v>0</v>
      </c>
      <c r="Y247" s="10" t="s">
        <v>160</v>
      </c>
      <c r="Z247" s="10">
        <f t="shared" si="48"/>
        <v>0</v>
      </c>
    </row>
    <row r="248" spans="1:26" x14ac:dyDescent="0.25">
      <c r="A248" s="10" t="s">
        <v>42</v>
      </c>
      <c r="B248" s="10">
        <f t="shared" si="44"/>
        <v>6205.3352400000003</v>
      </c>
      <c r="G248" s="10" t="s">
        <v>42</v>
      </c>
      <c r="H248" s="10">
        <f t="shared" si="45"/>
        <v>5007.0830159999996</v>
      </c>
      <c r="M248" s="10" t="s">
        <v>42</v>
      </c>
      <c r="N248" s="10">
        <f t="shared" si="46"/>
        <v>4683.2919119999997</v>
      </c>
      <c r="S248" s="10" t="s">
        <v>42</v>
      </c>
      <c r="T248" s="10">
        <f t="shared" si="47"/>
        <v>0</v>
      </c>
      <c r="Y248" s="10" t="s">
        <v>42</v>
      </c>
      <c r="Z248" s="10">
        <f t="shared" si="48"/>
        <v>0</v>
      </c>
    </row>
    <row r="249" spans="1:26" x14ac:dyDescent="0.25">
      <c r="A249" s="10" t="s">
        <v>161</v>
      </c>
      <c r="B249" s="10">
        <f t="shared" si="44"/>
        <v>1259.420801</v>
      </c>
      <c r="G249" s="10" t="s">
        <v>161</v>
      </c>
      <c r="H249" s="10">
        <f t="shared" si="45"/>
        <v>1190.338501</v>
      </c>
      <c r="M249" s="10" t="s">
        <v>161</v>
      </c>
      <c r="N249" s="10">
        <f t="shared" si="46"/>
        <v>1187.5385160000001</v>
      </c>
      <c r="S249" s="10" t="s">
        <v>161</v>
      </c>
      <c r="T249" s="10">
        <f t="shared" si="47"/>
        <v>0</v>
      </c>
      <c r="Y249" s="10" t="s">
        <v>161</v>
      </c>
      <c r="Z249" s="10">
        <f t="shared" si="48"/>
        <v>0</v>
      </c>
    </row>
    <row r="250" spans="1:26" x14ac:dyDescent="0.25">
      <c r="A250" s="10" t="s">
        <v>11</v>
      </c>
      <c r="B250" s="10">
        <f t="shared" si="44"/>
        <v>19496.146487999998</v>
      </c>
      <c r="G250" s="10" t="s">
        <v>11</v>
      </c>
      <c r="H250" s="10">
        <f t="shared" si="45"/>
        <v>17784.819936</v>
      </c>
      <c r="M250" s="10" t="s">
        <v>11</v>
      </c>
      <c r="N250" s="10">
        <f t="shared" si="46"/>
        <v>20649.831384000001</v>
      </c>
      <c r="S250" s="10" t="s">
        <v>11</v>
      </c>
      <c r="T250" s="10">
        <f t="shared" si="47"/>
        <v>0</v>
      </c>
      <c r="Y250" s="10" t="s">
        <v>11</v>
      </c>
      <c r="Z250" s="10">
        <f t="shared" si="48"/>
        <v>0</v>
      </c>
    </row>
    <row r="251" spans="1:26" x14ac:dyDescent="0.25">
      <c r="A251" s="10" t="s">
        <v>13</v>
      </c>
      <c r="B251" s="10">
        <f t="shared" si="44"/>
        <v>20179.061369999999</v>
      </c>
      <c r="G251" s="10" t="s">
        <v>13</v>
      </c>
      <c r="H251" s="10">
        <f t="shared" si="45"/>
        <v>19649.380724999999</v>
      </c>
      <c r="M251" s="10" t="s">
        <v>13</v>
      </c>
      <c r="N251" s="10">
        <f t="shared" si="46"/>
        <v>19244.281094999998</v>
      </c>
      <c r="S251" s="10" t="s">
        <v>13</v>
      </c>
      <c r="T251" s="10">
        <f t="shared" si="47"/>
        <v>0</v>
      </c>
      <c r="Y251" s="10" t="s">
        <v>13</v>
      </c>
      <c r="Z251" s="10">
        <f t="shared" si="48"/>
        <v>0</v>
      </c>
    </row>
    <row r="252" spans="1:26" x14ac:dyDescent="0.25">
      <c r="A252" s="10" t="s">
        <v>162</v>
      </c>
      <c r="B252" s="10">
        <f t="shared" si="44"/>
        <v>397.56</v>
      </c>
      <c r="G252" s="10" t="s">
        <v>162</v>
      </c>
      <c r="H252" s="10">
        <f t="shared" si="45"/>
        <v>298.44</v>
      </c>
      <c r="M252" s="10" t="s">
        <v>162</v>
      </c>
      <c r="N252" s="10">
        <f t="shared" si="46"/>
        <v>234.36</v>
      </c>
      <c r="S252" s="10" t="s">
        <v>162</v>
      </c>
      <c r="T252" s="10">
        <f t="shared" si="47"/>
        <v>0</v>
      </c>
      <c r="Y252" s="10" t="s">
        <v>162</v>
      </c>
      <c r="Z252" s="10">
        <f t="shared" si="48"/>
        <v>0</v>
      </c>
    </row>
    <row r="253" spans="1:26" x14ac:dyDescent="0.25">
      <c r="A253" s="10" t="s">
        <v>163</v>
      </c>
      <c r="B253" s="10">
        <f t="shared" si="44"/>
        <v>120.78</v>
      </c>
      <c r="G253" s="10" t="s">
        <v>163</v>
      </c>
      <c r="H253" s="10">
        <f t="shared" si="45"/>
        <v>186.66</v>
      </c>
      <c r="M253" s="10" t="s">
        <v>163</v>
      </c>
      <c r="N253" s="10">
        <f t="shared" si="46"/>
        <v>158.6</v>
      </c>
      <c r="S253" s="10" t="s">
        <v>163</v>
      </c>
      <c r="T253" s="10">
        <f t="shared" si="47"/>
        <v>0</v>
      </c>
      <c r="Y253" s="10" t="s">
        <v>163</v>
      </c>
      <c r="Z253" s="10">
        <f t="shared" si="48"/>
        <v>0</v>
      </c>
    </row>
    <row r="254" spans="1:26" x14ac:dyDescent="0.25">
      <c r="A254" s="10" t="s">
        <v>164</v>
      </c>
      <c r="B254" s="10">
        <f t="shared" si="44"/>
        <v>8.4</v>
      </c>
      <c r="G254" s="10" t="s">
        <v>164</v>
      </c>
      <c r="H254" s="10">
        <f t="shared" si="45"/>
        <v>9.18</v>
      </c>
      <c r="M254" s="10" t="s">
        <v>164</v>
      </c>
      <c r="N254" s="10">
        <f t="shared" si="46"/>
        <v>12</v>
      </c>
      <c r="S254" s="10" t="s">
        <v>164</v>
      </c>
      <c r="T254" s="10">
        <f t="shared" si="47"/>
        <v>0</v>
      </c>
      <c r="Y254" s="10" t="s">
        <v>164</v>
      </c>
      <c r="Z254" s="10">
        <f t="shared" si="48"/>
        <v>0</v>
      </c>
    </row>
    <row r="255" spans="1:26" x14ac:dyDescent="0.25">
      <c r="A255" s="10" t="s">
        <v>203</v>
      </c>
      <c r="B255" s="10">
        <f t="shared" si="44"/>
        <v>0</v>
      </c>
      <c r="G255" s="10" t="s">
        <v>203</v>
      </c>
      <c r="H255" s="10">
        <f t="shared" si="45"/>
        <v>6.2</v>
      </c>
      <c r="M255" s="10" t="s">
        <v>203</v>
      </c>
      <c r="N255" s="10">
        <f t="shared" si="46"/>
        <v>0</v>
      </c>
      <c r="S255" s="10" t="s">
        <v>203</v>
      </c>
      <c r="T255" s="10">
        <f t="shared" si="47"/>
        <v>0</v>
      </c>
      <c r="Y255" s="10" t="s">
        <v>203</v>
      </c>
      <c r="Z255" s="10">
        <f t="shared" si="48"/>
        <v>0</v>
      </c>
    </row>
    <row r="256" spans="1:26" x14ac:dyDescent="0.25">
      <c r="A256" s="10" t="s">
        <v>57</v>
      </c>
      <c r="B256" s="10">
        <f t="shared" si="44"/>
        <v>283.16371199999998</v>
      </c>
      <c r="G256" s="10" t="s">
        <v>57</v>
      </c>
      <c r="H256" s="10">
        <f t="shared" si="45"/>
        <v>282.06360000000001</v>
      </c>
      <c r="M256" s="10" t="s">
        <v>57</v>
      </c>
      <c r="N256" s="10">
        <f t="shared" si="46"/>
        <v>272.52076799999998</v>
      </c>
      <c r="S256" s="10" t="s">
        <v>57</v>
      </c>
      <c r="T256" s="10">
        <f t="shared" si="47"/>
        <v>0</v>
      </c>
      <c r="Y256" s="10" t="s">
        <v>57</v>
      </c>
      <c r="Z256" s="10">
        <f t="shared" si="48"/>
        <v>0</v>
      </c>
    </row>
    <row r="257" spans="1:26" x14ac:dyDescent="0.25">
      <c r="A257" s="10" t="s">
        <v>56</v>
      </c>
      <c r="B257" s="10">
        <f t="shared" si="44"/>
        <v>62.731968000000002</v>
      </c>
      <c r="G257" s="10" t="s">
        <v>56</v>
      </c>
      <c r="H257" s="10">
        <f t="shared" si="45"/>
        <v>96.681935999999993</v>
      </c>
      <c r="M257" s="10" t="s">
        <v>56</v>
      </c>
      <c r="N257" s="10">
        <f t="shared" si="46"/>
        <v>129.88996800000001</v>
      </c>
      <c r="S257" s="10" t="s">
        <v>56</v>
      </c>
      <c r="T257" s="10">
        <f t="shared" si="47"/>
        <v>0</v>
      </c>
      <c r="Y257" s="10" t="s">
        <v>56</v>
      </c>
      <c r="Z257" s="10">
        <f t="shared" si="48"/>
        <v>0</v>
      </c>
    </row>
    <row r="258" spans="1:26" x14ac:dyDescent="0.25">
      <c r="A258" s="10" t="s">
        <v>43</v>
      </c>
      <c r="B258" s="10">
        <f t="shared" si="44"/>
        <v>806.56118400000003</v>
      </c>
      <c r="G258" s="10" t="s">
        <v>43</v>
      </c>
      <c r="H258" s="10">
        <f t="shared" si="45"/>
        <v>895.58071199999995</v>
      </c>
      <c r="M258" s="10" t="s">
        <v>43</v>
      </c>
      <c r="N258" s="10">
        <f t="shared" si="46"/>
        <v>983.14195199999995</v>
      </c>
      <c r="S258" s="10" t="s">
        <v>43</v>
      </c>
      <c r="T258" s="10">
        <f t="shared" si="47"/>
        <v>0</v>
      </c>
      <c r="Y258" s="10" t="s">
        <v>43</v>
      </c>
      <c r="Z258" s="10">
        <f t="shared" si="48"/>
        <v>0</v>
      </c>
    </row>
    <row r="259" spans="1:26" x14ac:dyDescent="0.25">
      <c r="A259" s="10" t="s">
        <v>165</v>
      </c>
      <c r="B259" s="10">
        <f t="shared" si="44"/>
        <v>9.92</v>
      </c>
      <c r="G259" s="10" t="s">
        <v>165</v>
      </c>
      <c r="H259" s="10">
        <f t="shared" si="45"/>
        <v>11.78</v>
      </c>
      <c r="M259" s="10" t="s">
        <v>165</v>
      </c>
      <c r="N259" s="10">
        <f t="shared" si="46"/>
        <v>31.62</v>
      </c>
      <c r="S259" s="10" t="s">
        <v>165</v>
      </c>
      <c r="T259" s="10">
        <f t="shared" si="47"/>
        <v>0</v>
      </c>
      <c r="Y259" s="10" t="s">
        <v>165</v>
      </c>
      <c r="Z259" s="10">
        <f t="shared" si="48"/>
        <v>0</v>
      </c>
    </row>
    <row r="260" spans="1:26" x14ac:dyDescent="0.25">
      <c r="A260" s="10" t="s">
        <v>166</v>
      </c>
      <c r="B260" s="10">
        <f t="shared" si="44"/>
        <v>349.74</v>
      </c>
      <c r="G260" s="10" t="s">
        <v>166</v>
      </c>
      <c r="H260" s="10">
        <f t="shared" si="45"/>
        <v>432.36</v>
      </c>
      <c r="M260" s="10" t="s">
        <v>166</v>
      </c>
      <c r="N260" s="10">
        <f t="shared" si="46"/>
        <v>503.3</v>
      </c>
      <c r="S260" s="10" t="s">
        <v>166</v>
      </c>
      <c r="T260" s="10">
        <f t="shared" si="47"/>
        <v>0</v>
      </c>
      <c r="Y260" s="10" t="s">
        <v>166</v>
      </c>
      <c r="Z260" s="10">
        <f t="shared" si="48"/>
        <v>0</v>
      </c>
    </row>
    <row r="261" spans="1:26" x14ac:dyDescent="0.25">
      <c r="A261" s="10" t="s">
        <v>55</v>
      </c>
      <c r="B261" s="10">
        <f t="shared" si="44"/>
        <v>113.541792</v>
      </c>
      <c r="G261" s="10" t="s">
        <v>55</v>
      </c>
      <c r="H261" s="10">
        <f t="shared" si="45"/>
        <v>41.970551999999998</v>
      </c>
      <c r="M261" s="10" t="s">
        <v>55</v>
      </c>
      <c r="N261" s="10">
        <f t="shared" si="46"/>
        <v>93.471143999999995</v>
      </c>
      <c r="S261" s="10" t="s">
        <v>55</v>
      </c>
      <c r="T261" s="10">
        <f t="shared" si="47"/>
        <v>0</v>
      </c>
      <c r="Y261" s="10" t="s">
        <v>55</v>
      </c>
      <c r="Z261" s="10">
        <f t="shared" si="48"/>
        <v>0</v>
      </c>
    </row>
    <row r="262" spans="1:26" x14ac:dyDescent="0.25">
      <c r="A262" s="10" t="s">
        <v>167</v>
      </c>
      <c r="B262" s="10">
        <f t="shared" si="44"/>
        <v>22.57</v>
      </c>
      <c r="G262" s="10" t="s">
        <v>167</v>
      </c>
      <c r="H262" s="10">
        <f t="shared" si="45"/>
        <v>31.18</v>
      </c>
      <c r="M262" s="10" t="s">
        <v>167</v>
      </c>
      <c r="N262" s="10">
        <f t="shared" si="46"/>
        <v>20.74</v>
      </c>
      <c r="S262" s="10" t="s">
        <v>167</v>
      </c>
      <c r="T262" s="10">
        <f t="shared" si="47"/>
        <v>0</v>
      </c>
      <c r="Y262" s="10" t="s">
        <v>167</v>
      </c>
      <c r="Z262" s="10">
        <f t="shared" si="48"/>
        <v>0</v>
      </c>
    </row>
    <row r="263" spans="1:26" x14ac:dyDescent="0.25">
      <c r="A263" s="10" t="s">
        <v>73</v>
      </c>
      <c r="B263" s="10">
        <f t="shared" si="44"/>
        <v>19740.238442000002</v>
      </c>
      <c r="G263" s="10" t="s">
        <v>73</v>
      </c>
      <c r="H263" s="10">
        <f t="shared" si="45"/>
        <v>20029.402891999998</v>
      </c>
      <c r="M263" s="10" t="s">
        <v>73</v>
      </c>
      <c r="N263" s="10">
        <f t="shared" si="46"/>
        <v>20424.784093999999</v>
      </c>
      <c r="S263" s="10" t="s">
        <v>73</v>
      </c>
      <c r="T263" s="10">
        <f t="shared" si="47"/>
        <v>0</v>
      </c>
      <c r="Y263" s="10" t="s">
        <v>73</v>
      </c>
      <c r="Z263" s="10">
        <f t="shared" si="48"/>
        <v>0</v>
      </c>
    </row>
    <row r="264" spans="1:26" x14ac:dyDescent="0.25">
      <c r="A264" s="10" t="s">
        <v>168</v>
      </c>
      <c r="B264" s="10">
        <f t="shared" ref="B264:B310" si="49">B67</f>
        <v>0</v>
      </c>
      <c r="G264" s="10" t="s">
        <v>168</v>
      </c>
      <c r="H264" s="10">
        <f t="shared" ref="H264:H310" si="50">H67</f>
        <v>0</v>
      </c>
      <c r="M264" s="10" t="s">
        <v>168</v>
      </c>
      <c r="N264" s="10">
        <f t="shared" ref="N264:N310" si="51">N67</f>
        <v>0</v>
      </c>
      <c r="S264" s="10" t="s">
        <v>168</v>
      </c>
      <c r="T264" s="10">
        <f t="shared" ref="T264:T310" si="52">T67</f>
        <v>0</v>
      </c>
      <c r="Y264" s="10" t="s">
        <v>168</v>
      </c>
      <c r="Z264" s="10">
        <f t="shared" ref="Z264:Z310" si="53">Z67</f>
        <v>0</v>
      </c>
    </row>
    <row r="265" spans="1:26" x14ac:dyDescent="0.25">
      <c r="A265" s="10" t="s">
        <v>169</v>
      </c>
      <c r="B265" s="10">
        <f t="shared" si="49"/>
        <v>57.6</v>
      </c>
      <c r="G265" s="10" t="s">
        <v>169</v>
      </c>
      <c r="H265" s="10">
        <f t="shared" si="50"/>
        <v>78</v>
      </c>
      <c r="M265" s="10" t="s">
        <v>169</v>
      </c>
      <c r="N265" s="10">
        <f t="shared" si="51"/>
        <v>37.799999999999997</v>
      </c>
      <c r="S265" s="10" t="s">
        <v>169</v>
      </c>
      <c r="T265" s="10">
        <f t="shared" si="52"/>
        <v>0</v>
      </c>
      <c r="Y265" s="10" t="s">
        <v>169</v>
      </c>
      <c r="Z265" s="10">
        <f t="shared" si="53"/>
        <v>0</v>
      </c>
    </row>
    <row r="266" spans="1:26" x14ac:dyDescent="0.25">
      <c r="A266" s="10" t="s">
        <v>170</v>
      </c>
      <c r="B266" s="10">
        <f t="shared" si="49"/>
        <v>3.1</v>
      </c>
      <c r="G266" s="10" t="s">
        <v>170</v>
      </c>
      <c r="H266" s="10">
        <f t="shared" si="50"/>
        <v>3.1</v>
      </c>
      <c r="M266" s="10" t="s">
        <v>170</v>
      </c>
      <c r="N266" s="10">
        <f t="shared" si="51"/>
        <v>6.2</v>
      </c>
      <c r="S266" s="10" t="s">
        <v>170</v>
      </c>
      <c r="T266" s="10">
        <f t="shared" si="52"/>
        <v>0</v>
      </c>
      <c r="Y266" s="10" t="s">
        <v>170</v>
      </c>
      <c r="Z266" s="10">
        <f t="shared" si="53"/>
        <v>0</v>
      </c>
    </row>
    <row r="267" spans="1:26" x14ac:dyDescent="0.25">
      <c r="A267" s="10" t="s">
        <v>204</v>
      </c>
      <c r="B267" s="10">
        <f t="shared" si="49"/>
        <v>0</v>
      </c>
      <c r="G267" s="10" t="s">
        <v>204</v>
      </c>
      <c r="H267" s="10">
        <f t="shared" si="50"/>
        <v>0</v>
      </c>
      <c r="M267" s="10" t="s">
        <v>204</v>
      </c>
      <c r="N267" s="10">
        <f t="shared" si="51"/>
        <v>0</v>
      </c>
      <c r="S267" s="10" t="s">
        <v>204</v>
      </c>
      <c r="T267" s="10">
        <f t="shared" si="52"/>
        <v>0</v>
      </c>
      <c r="Y267" s="10" t="s">
        <v>204</v>
      </c>
      <c r="Z267" s="10">
        <f t="shared" si="53"/>
        <v>0</v>
      </c>
    </row>
    <row r="268" spans="1:26" x14ac:dyDescent="0.25">
      <c r="A268" s="10" t="s">
        <v>171</v>
      </c>
      <c r="B268" s="10">
        <f t="shared" si="49"/>
        <v>25.01</v>
      </c>
      <c r="G268" s="10" t="s">
        <v>171</v>
      </c>
      <c r="H268" s="10">
        <f t="shared" si="50"/>
        <v>36.6</v>
      </c>
      <c r="M268" s="10" t="s">
        <v>171</v>
      </c>
      <c r="N268" s="10">
        <f t="shared" si="51"/>
        <v>72.2</v>
      </c>
      <c r="S268" s="10" t="s">
        <v>171</v>
      </c>
      <c r="T268" s="10">
        <f t="shared" si="52"/>
        <v>0</v>
      </c>
      <c r="Y268" s="10" t="s">
        <v>171</v>
      </c>
      <c r="Z268" s="10">
        <f t="shared" si="53"/>
        <v>0</v>
      </c>
    </row>
    <row r="269" spans="1:26" x14ac:dyDescent="0.25">
      <c r="A269" s="10" t="s">
        <v>172</v>
      </c>
      <c r="B269" s="10">
        <f t="shared" si="49"/>
        <v>70.150000000000006</v>
      </c>
      <c r="G269" s="10" t="s">
        <v>172</v>
      </c>
      <c r="H269" s="10">
        <f t="shared" si="50"/>
        <v>50.99</v>
      </c>
      <c r="M269" s="10" t="s">
        <v>172</v>
      </c>
      <c r="N269" s="10">
        <f t="shared" si="51"/>
        <v>66.099999999999994</v>
      </c>
      <c r="S269" s="10" t="s">
        <v>172</v>
      </c>
      <c r="T269" s="10">
        <f t="shared" si="52"/>
        <v>0</v>
      </c>
      <c r="Y269" s="10" t="s">
        <v>172</v>
      </c>
      <c r="Z269" s="10">
        <f t="shared" si="53"/>
        <v>0</v>
      </c>
    </row>
    <row r="270" spans="1:26" x14ac:dyDescent="0.25">
      <c r="A270" s="10" t="s">
        <v>173</v>
      </c>
      <c r="B270" s="10">
        <f t="shared" si="49"/>
        <v>0</v>
      </c>
      <c r="G270" s="10" t="s">
        <v>173</v>
      </c>
      <c r="H270" s="10">
        <f t="shared" si="50"/>
        <v>0</v>
      </c>
      <c r="M270" s="10" t="s">
        <v>173</v>
      </c>
      <c r="N270" s="10">
        <f t="shared" si="51"/>
        <v>0</v>
      </c>
      <c r="S270" s="10" t="s">
        <v>173</v>
      </c>
      <c r="T270" s="10">
        <f t="shared" si="52"/>
        <v>0</v>
      </c>
      <c r="Y270" s="10" t="s">
        <v>173</v>
      </c>
      <c r="Z270" s="10">
        <f t="shared" si="53"/>
        <v>0</v>
      </c>
    </row>
    <row r="271" spans="1:26" x14ac:dyDescent="0.25">
      <c r="A271" s="10" t="s">
        <v>44</v>
      </c>
      <c r="B271" s="10">
        <f t="shared" si="49"/>
        <v>5015.4873600000001</v>
      </c>
      <c r="G271" s="10" t="s">
        <v>44</v>
      </c>
      <c r="H271" s="10">
        <f t="shared" si="50"/>
        <v>5390.0882879999999</v>
      </c>
      <c r="M271" s="10" t="s">
        <v>44</v>
      </c>
      <c r="N271" s="10">
        <f t="shared" si="51"/>
        <v>5460.4314960000002</v>
      </c>
      <c r="S271" s="10" t="s">
        <v>44</v>
      </c>
      <c r="T271" s="10">
        <f t="shared" si="52"/>
        <v>0</v>
      </c>
      <c r="Y271" s="10" t="s">
        <v>44</v>
      </c>
      <c r="Z271" s="10">
        <f t="shared" si="53"/>
        <v>0</v>
      </c>
    </row>
    <row r="272" spans="1:26" x14ac:dyDescent="0.25">
      <c r="A272" s="10" t="s">
        <v>45</v>
      </c>
      <c r="B272" s="10">
        <f t="shared" si="49"/>
        <v>4922.1310439999997</v>
      </c>
      <c r="G272" s="10" t="s">
        <v>45</v>
      </c>
      <c r="H272" s="10">
        <f t="shared" si="50"/>
        <v>4479.0305559999997</v>
      </c>
      <c r="M272" s="10" t="s">
        <v>45</v>
      </c>
      <c r="N272" s="10">
        <f t="shared" si="51"/>
        <v>4761.1113439999999</v>
      </c>
      <c r="S272" s="10" t="s">
        <v>45</v>
      </c>
      <c r="T272" s="10">
        <f t="shared" si="52"/>
        <v>0</v>
      </c>
      <c r="Y272" s="10" t="s">
        <v>45</v>
      </c>
      <c r="Z272" s="10">
        <f t="shared" si="53"/>
        <v>0</v>
      </c>
    </row>
    <row r="273" spans="1:26" x14ac:dyDescent="0.25">
      <c r="A273" s="10" t="s">
        <v>174</v>
      </c>
      <c r="B273" s="10">
        <f t="shared" si="49"/>
        <v>55.51</v>
      </c>
      <c r="G273" s="10" t="s">
        <v>174</v>
      </c>
      <c r="H273" s="10">
        <f t="shared" si="50"/>
        <v>36.6</v>
      </c>
      <c r="M273" s="10" t="s">
        <v>174</v>
      </c>
      <c r="N273" s="10">
        <f t="shared" si="51"/>
        <v>35.130000000000003</v>
      </c>
      <c r="S273" s="10" t="s">
        <v>174</v>
      </c>
      <c r="T273" s="10">
        <f t="shared" si="52"/>
        <v>0</v>
      </c>
      <c r="Y273" s="10" t="s">
        <v>174</v>
      </c>
      <c r="Z273" s="10">
        <f t="shared" si="53"/>
        <v>0</v>
      </c>
    </row>
    <row r="274" spans="1:26" x14ac:dyDescent="0.25">
      <c r="A274" s="10" t="s">
        <v>175</v>
      </c>
      <c r="B274" s="10">
        <f t="shared" si="49"/>
        <v>0.61</v>
      </c>
      <c r="G274" s="10" t="s">
        <v>175</v>
      </c>
      <c r="H274" s="10">
        <f t="shared" si="50"/>
        <v>0</v>
      </c>
      <c r="M274" s="10" t="s">
        <v>175</v>
      </c>
      <c r="N274" s="10">
        <f t="shared" si="51"/>
        <v>0</v>
      </c>
      <c r="S274" s="10" t="s">
        <v>175</v>
      </c>
      <c r="T274" s="10">
        <f t="shared" si="52"/>
        <v>0</v>
      </c>
      <c r="Y274" s="10" t="s">
        <v>175</v>
      </c>
      <c r="Z274" s="10">
        <f t="shared" si="53"/>
        <v>0</v>
      </c>
    </row>
    <row r="275" spans="1:26" x14ac:dyDescent="0.25">
      <c r="A275" s="10" t="s">
        <v>176</v>
      </c>
      <c r="B275" s="10">
        <f t="shared" si="49"/>
        <v>707.08</v>
      </c>
      <c r="G275" s="10" t="s">
        <v>176</v>
      </c>
      <c r="H275" s="10">
        <f t="shared" si="50"/>
        <v>555.36</v>
      </c>
      <c r="M275" s="10" t="s">
        <v>176</v>
      </c>
      <c r="N275" s="10">
        <f t="shared" si="51"/>
        <v>514.14</v>
      </c>
      <c r="S275" s="10" t="s">
        <v>176</v>
      </c>
      <c r="T275" s="10">
        <f t="shared" si="52"/>
        <v>0</v>
      </c>
      <c r="Y275" s="10" t="s">
        <v>176</v>
      </c>
      <c r="Z275" s="10">
        <f t="shared" si="53"/>
        <v>0</v>
      </c>
    </row>
    <row r="276" spans="1:26" x14ac:dyDescent="0.25">
      <c r="A276" s="10" t="s">
        <v>46</v>
      </c>
      <c r="B276" s="10">
        <f t="shared" si="49"/>
        <v>2571.2815439999999</v>
      </c>
      <c r="G276" s="10" t="s">
        <v>46</v>
      </c>
      <c r="H276" s="10">
        <f t="shared" si="50"/>
        <v>2676.8027520000001</v>
      </c>
      <c r="M276" s="10" t="s">
        <v>46</v>
      </c>
      <c r="N276" s="10">
        <f t="shared" si="51"/>
        <v>2614.8766799999999</v>
      </c>
      <c r="S276" s="10" t="s">
        <v>46</v>
      </c>
      <c r="T276" s="10">
        <f t="shared" si="52"/>
        <v>0</v>
      </c>
      <c r="Y276" s="10" t="s">
        <v>46</v>
      </c>
      <c r="Z276" s="10">
        <f t="shared" si="53"/>
        <v>0</v>
      </c>
    </row>
    <row r="277" spans="1:26" x14ac:dyDescent="0.25">
      <c r="A277" s="10" t="s">
        <v>177</v>
      </c>
      <c r="B277" s="10">
        <f t="shared" si="49"/>
        <v>168.11</v>
      </c>
      <c r="G277" s="10" t="s">
        <v>177</v>
      </c>
      <c r="H277" s="10">
        <f t="shared" si="50"/>
        <v>224.23</v>
      </c>
      <c r="M277" s="10" t="s">
        <v>177</v>
      </c>
      <c r="N277" s="10">
        <f t="shared" si="51"/>
        <v>191.18</v>
      </c>
      <c r="S277" s="10" t="s">
        <v>177</v>
      </c>
      <c r="T277" s="10">
        <f t="shared" si="52"/>
        <v>0</v>
      </c>
      <c r="Y277" s="10" t="s">
        <v>177</v>
      </c>
      <c r="Z277" s="10">
        <f t="shared" si="53"/>
        <v>0</v>
      </c>
    </row>
    <row r="278" spans="1:26" x14ac:dyDescent="0.25">
      <c r="A278" s="10" t="s">
        <v>178</v>
      </c>
      <c r="B278" s="10">
        <f t="shared" si="49"/>
        <v>31.72</v>
      </c>
      <c r="G278" s="10" t="s">
        <v>178</v>
      </c>
      <c r="H278" s="10">
        <f t="shared" si="50"/>
        <v>6.1</v>
      </c>
      <c r="M278" s="10" t="s">
        <v>178</v>
      </c>
      <c r="N278" s="10">
        <f t="shared" si="51"/>
        <v>65.88</v>
      </c>
      <c r="S278" s="10" t="s">
        <v>178</v>
      </c>
      <c r="T278" s="10">
        <f t="shared" si="52"/>
        <v>0</v>
      </c>
      <c r="Y278" s="10" t="s">
        <v>178</v>
      </c>
      <c r="Z278" s="10">
        <f t="shared" si="53"/>
        <v>0</v>
      </c>
    </row>
    <row r="279" spans="1:26" x14ac:dyDescent="0.25">
      <c r="A279" s="10" t="s">
        <v>179</v>
      </c>
      <c r="B279" s="10">
        <f t="shared" si="49"/>
        <v>126.45</v>
      </c>
      <c r="G279" s="10" t="s">
        <v>179</v>
      </c>
      <c r="H279" s="10">
        <f t="shared" si="50"/>
        <v>109.98</v>
      </c>
      <c r="M279" s="10" t="s">
        <v>179</v>
      </c>
      <c r="N279" s="10">
        <f t="shared" si="51"/>
        <v>112.78</v>
      </c>
      <c r="S279" s="10" t="s">
        <v>179</v>
      </c>
      <c r="T279" s="10">
        <f t="shared" si="52"/>
        <v>0</v>
      </c>
      <c r="Y279" s="10" t="s">
        <v>179</v>
      </c>
      <c r="Z279" s="10">
        <f t="shared" si="53"/>
        <v>0</v>
      </c>
    </row>
    <row r="280" spans="1:26" x14ac:dyDescent="0.25">
      <c r="A280" s="10" t="s">
        <v>180</v>
      </c>
      <c r="B280" s="10">
        <f t="shared" si="49"/>
        <v>934.02</v>
      </c>
      <c r="G280" s="10" t="s">
        <v>180</v>
      </c>
      <c r="H280" s="10">
        <f t="shared" si="50"/>
        <v>912.7</v>
      </c>
      <c r="M280" s="10" t="s">
        <v>180</v>
      </c>
      <c r="N280" s="10">
        <f t="shared" si="51"/>
        <v>1066.79</v>
      </c>
      <c r="S280" s="10" t="s">
        <v>180</v>
      </c>
      <c r="T280" s="10">
        <f t="shared" si="52"/>
        <v>0</v>
      </c>
      <c r="Y280" s="10" t="s">
        <v>180</v>
      </c>
      <c r="Z280" s="10">
        <f t="shared" si="53"/>
        <v>0</v>
      </c>
    </row>
    <row r="281" spans="1:26" x14ac:dyDescent="0.25">
      <c r="A281" s="10" t="s">
        <v>181</v>
      </c>
      <c r="B281" s="10">
        <f t="shared" si="49"/>
        <v>1083.03</v>
      </c>
      <c r="G281" s="10" t="s">
        <v>181</v>
      </c>
      <c r="H281" s="10">
        <f t="shared" si="50"/>
        <v>1712.93</v>
      </c>
      <c r="M281" s="10" t="s">
        <v>181</v>
      </c>
      <c r="N281" s="10">
        <f t="shared" si="51"/>
        <v>1427.58</v>
      </c>
      <c r="S281" s="10" t="s">
        <v>181</v>
      </c>
      <c r="T281" s="10">
        <f t="shared" si="52"/>
        <v>0</v>
      </c>
      <c r="Y281" s="10" t="s">
        <v>181</v>
      </c>
      <c r="Z281" s="10">
        <f t="shared" si="53"/>
        <v>0</v>
      </c>
    </row>
    <row r="282" spans="1:26" x14ac:dyDescent="0.25">
      <c r="A282" s="10" t="s">
        <v>54</v>
      </c>
      <c r="B282" s="10">
        <f t="shared" si="49"/>
        <v>1378.862472</v>
      </c>
      <c r="G282" s="10" t="s">
        <v>54</v>
      </c>
      <c r="H282" s="10">
        <f t="shared" si="50"/>
        <v>1417.1105520000001</v>
      </c>
      <c r="M282" s="10" t="s">
        <v>54</v>
      </c>
      <c r="N282" s="10">
        <f t="shared" si="51"/>
        <v>1178.744424</v>
      </c>
      <c r="S282" s="10" t="s">
        <v>54</v>
      </c>
      <c r="T282" s="10">
        <f t="shared" si="52"/>
        <v>0</v>
      </c>
      <c r="Y282" s="10" t="s">
        <v>54</v>
      </c>
      <c r="Z282" s="10">
        <f t="shared" si="53"/>
        <v>0</v>
      </c>
    </row>
    <row r="283" spans="1:26" x14ac:dyDescent="0.25">
      <c r="A283" s="10" t="s">
        <v>47</v>
      </c>
      <c r="B283" s="10">
        <f t="shared" si="49"/>
        <v>2594.5629840000001</v>
      </c>
      <c r="G283" s="10" t="s">
        <v>47</v>
      </c>
      <c r="H283" s="10">
        <f t="shared" si="50"/>
        <v>2702.3227919999999</v>
      </c>
      <c r="M283" s="10" t="s">
        <v>47</v>
      </c>
      <c r="N283" s="10">
        <f t="shared" si="51"/>
        <v>2717.890656</v>
      </c>
      <c r="S283" s="10" t="s">
        <v>47</v>
      </c>
      <c r="T283" s="10">
        <f t="shared" si="52"/>
        <v>0</v>
      </c>
      <c r="Y283" s="10" t="s">
        <v>47</v>
      </c>
      <c r="Z283" s="10">
        <f t="shared" si="53"/>
        <v>0</v>
      </c>
    </row>
    <row r="284" spans="1:26" x14ac:dyDescent="0.25">
      <c r="A284" s="10" t="s">
        <v>53</v>
      </c>
      <c r="B284" s="10">
        <f t="shared" si="49"/>
        <v>319.966296</v>
      </c>
      <c r="G284" s="10" t="s">
        <v>53</v>
      </c>
      <c r="H284" s="10">
        <f t="shared" si="50"/>
        <v>398.57313599999998</v>
      </c>
      <c r="M284" s="10" t="s">
        <v>53</v>
      </c>
      <c r="N284" s="10">
        <f t="shared" si="51"/>
        <v>344.14317599999998</v>
      </c>
      <c r="S284" s="10" t="s">
        <v>53</v>
      </c>
      <c r="T284" s="10">
        <f t="shared" si="52"/>
        <v>0</v>
      </c>
      <c r="Y284" s="10" t="s">
        <v>53</v>
      </c>
      <c r="Z284" s="10">
        <f t="shared" si="53"/>
        <v>0</v>
      </c>
    </row>
    <row r="285" spans="1:26" x14ac:dyDescent="0.25">
      <c r="A285" s="10" t="s">
        <v>182</v>
      </c>
      <c r="B285" s="10">
        <f t="shared" si="49"/>
        <v>26825.461987999999</v>
      </c>
      <c r="G285" s="10" t="s">
        <v>182</v>
      </c>
      <c r="H285" s="10">
        <f t="shared" si="50"/>
        <v>25997.972393</v>
      </c>
      <c r="M285" s="10" t="s">
        <v>182</v>
      </c>
      <c r="N285" s="10">
        <f t="shared" si="51"/>
        <v>24720.778880999998</v>
      </c>
      <c r="S285" s="10" t="s">
        <v>182</v>
      </c>
      <c r="T285" s="10">
        <f t="shared" si="52"/>
        <v>0</v>
      </c>
      <c r="Y285" s="10" t="s">
        <v>182</v>
      </c>
      <c r="Z285" s="10">
        <f t="shared" si="53"/>
        <v>0</v>
      </c>
    </row>
    <row r="286" spans="1:26" x14ac:dyDescent="0.25">
      <c r="A286" s="10" t="s">
        <v>183</v>
      </c>
      <c r="B286" s="10">
        <f t="shared" si="49"/>
        <v>1.83</v>
      </c>
      <c r="G286" s="10" t="s">
        <v>183</v>
      </c>
      <c r="H286" s="10">
        <f t="shared" si="50"/>
        <v>10.119999999999999</v>
      </c>
      <c r="M286" s="10" t="s">
        <v>183</v>
      </c>
      <c r="N286" s="10">
        <f t="shared" si="51"/>
        <v>9.33</v>
      </c>
      <c r="S286" s="10" t="s">
        <v>183</v>
      </c>
      <c r="T286" s="10">
        <f t="shared" si="52"/>
        <v>0</v>
      </c>
      <c r="Y286" s="10" t="s">
        <v>183</v>
      </c>
      <c r="Z286" s="10">
        <f t="shared" si="53"/>
        <v>0</v>
      </c>
    </row>
    <row r="287" spans="1:26" x14ac:dyDescent="0.25">
      <c r="A287" s="10" t="s">
        <v>184</v>
      </c>
      <c r="B287" s="10">
        <f t="shared" si="49"/>
        <v>878.41384700000003</v>
      </c>
      <c r="G287" s="10" t="s">
        <v>184</v>
      </c>
      <c r="H287" s="10">
        <f t="shared" si="50"/>
        <v>1159.8601200000001</v>
      </c>
      <c r="M287" s="10" t="s">
        <v>184</v>
      </c>
      <c r="N287" s="10">
        <f t="shared" si="51"/>
        <v>1132.0061969999999</v>
      </c>
      <c r="S287" s="10" t="s">
        <v>184</v>
      </c>
      <c r="T287" s="10">
        <f t="shared" si="52"/>
        <v>0</v>
      </c>
      <c r="Y287" s="10" t="s">
        <v>184</v>
      </c>
      <c r="Z287" s="10">
        <f t="shared" si="53"/>
        <v>0</v>
      </c>
    </row>
    <row r="288" spans="1:26" x14ac:dyDescent="0.25">
      <c r="A288" s="10" t="s">
        <v>52</v>
      </c>
      <c r="B288" s="10">
        <f t="shared" si="49"/>
        <v>310.87118400000003</v>
      </c>
      <c r="G288" s="10" t="s">
        <v>52</v>
      </c>
      <c r="H288" s="10">
        <f t="shared" si="50"/>
        <v>210.97845599999999</v>
      </c>
      <c r="M288" s="10" t="s">
        <v>52</v>
      </c>
      <c r="N288" s="10">
        <f t="shared" si="51"/>
        <v>215.22540000000001</v>
      </c>
      <c r="S288" s="10" t="s">
        <v>52</v>
      </c>
      <c r="T288" s="10">
        <f t="shared" si="52"/>
        <v>0</v>
      </c>
      <c r="Y288" s="10" t="s">
        <v>52</v>
      </c>
      <c r="Z288" s="10">
        <f t="shared" si="53"/>
        <v>0</v>
      </c>
    </row>
    <row r="289" spans="1:26" x14ac:dyDescent="0.25">
      <c r="A289" s="10" t="s">
        <v>90</v>
      </c>
      <c r="B289" s="10">
        <f t="shared" si="49"/>
        <v>113.106864</v>
      </c>
      <c r="G289" s="10" t="s">
        <v>90</v>
      </c>
      <c r="H289" s="10">
        <f t="shared" si="50"/>
        <v>107.51676</v>
      </c>
      <c r="M289" s="10" t="s">
        <v>90</v>
      </c>
      <c r="N289" s="10">
        <f t="shared" si="51"/>
        <v>121.66471199999999</v>
      </c>
      <c r="S289" s="10" t="s">
        <v>90</v>
      </c>
      <c r="T289" s="10">
        <f t="shared" si="52"/>
        <v>0</v>
      </c>
      <c r="Y289" s="10" t="s">
        <v>90</v>
      </c>
      <c r="Z289" s="10">
        <f t="shared" si="53"/>
        <v>0</v>
      </c>
    </row>
    <row r="290" spans="1:26" x14ac:dyDescent="0.25">
      <c r="A290" s="10" t="s">
        <v>185</v>
      </c>
      <c r="B290" s="10">
        <f t="shared" si="49"/>
        <v>4224.826</v>
      </c>
      <c r="G290" s="10" t="s">
        <v>185</v>
      </c>
      <c r="H290" s="10">
        <f t="shared" si="50"/>
        <v>4236.3940000000002</v>
      </c>
      <c r="M290" s="10" t="s">
        <v>185</v>
      </c>
      <c r="N290" s="10">
        <f t="shared" si="51"/>
        <v>4170.9679999999998</v>
      </c>
      <c r="S290" s="10" t="s">
        <v>185</v>
      </c>
      <c r="T290" s="10">
        <f t="shared" si="52"/>
        <v>0</v>
      </c>
      <c r="Y290" s="10" t="s">
        <v>185</v>
      </c>
      <c r="Z290" s="10">
        <f t="shared" si="53"/>
        <v>0</v>
      </c>
    </row>
    <row r="291" spans="1:26" x14ac:dyDescent="0.25">
      <c r="A291" s="10" t="s">
        <v>48</v>
      </c>
      <c r="B291" s="10">
        <f t="shared" si="49"/>
        <v>10381.9872</v>
      </c>
      <c r="G291" s="10" t="s">
        <v>48</v>
      </c>
      <c r="H291" s="10">
        <f t="shared" si="50"/>
        <v>11636.2428</v>
      </c>
      <c r="M291" s="10" t="s">
        <v>48</v>
      </c>
      <c r="N291" s="10">
        <f t="shared" si="51"/>
        <v>11662.312895999999</v>
      </c>
      <c r="S291" s="10" t="s">
        <v>48</v>
      </c>
      <c r="T291" s="10">
        <f t="shared" si="52"/>
        <v>0</v>
      </c>
      <c r="Y291" s="10" t="s">
        <v>48</v>
      </c>
      <c r="Z291" s="10">
        <f t="shared" si="53"/>
        <v>0</v>
      </c>
    </row>
    <row r="292" spans="1:26" x14ac:dyDescent="0.25">
      <c r="A292" s="10" t="s">
        <v>186</v>
      </c>
      <c r="B292" s="10">
        <f t="shared" si="49"/>
        <v>71.3</v>
      </c>
      <c r="G292" s="10" t="s">
        <v>186</v>
      </c>
      <c r="H292" s="10">
        <f t="shared" si="50"/>
        <v>96.1</v>
      </c>
      <c r="M292" s="10" t="s">
        <v>186</v>
      </c>
      <c r="N292" s="10">
        <f t="shared" si="51"/>
        <v>40.299999999999997</v>
      </c>
      <c r="S292" s="10" t="s">
        <v>186</v>
      </c>
      <c r="T292" s="10">
        <f t="shared" si="52"/>
        <v>0</v>
      </c>
      <c r="Y292" s="10" t="s">
        <v>186</v>
      </c>
      <c r="Z292" s="10">
        <f t="shared" si="53"/>
        <v>0</v>
      </c>
    </row>
    <row r="293" spans="1:26" x14ac:dyDescent="0.25">
      <c r="A293" s="10" t="s">
        <v>187</v>
      </c>
      <c r="B293" s="10">
        <f t="shared" si="49"/>
        <v>0</v>
      </c>
      <c r="G293" s="10" t="s">
        <v>187</v>
      </c>
      <c r="H293" s="10">
        <f t="shared" si="50"/>
        <v>0</v>
      </c>
      <c r="M293" s="10" t="s">
        <v>187</v>
      </c>
      <c r="N293" s="10">
        <f t="shared" si="51"/>
        <v>0</v>
      </c>
      <c r="S293" s="10" t="s">
        <v>187</v>
      </c>
      <c r="T293" s="10">
        <f t="shared" si="52"/>
        <v>0</v>
      </c>
      <c r="Y293" s="10" t="s">
        <v>187</v>
      </c>
      <c r="Z293" s="10">
        <f t="shared" si="53"/>
        <v>0</v>
      </c>
    </row>
    <row r="294" spans="1:26" x14ac:dyDescent="0.25">
      <c r="A294" s="10" t="s">
        <v>49</v>
      </c>
      <c r="B294" s="10">
        <f t="shared" si="49"/>
        <v>2237.3975519999999</v>
      </c>
      <c r="G294" s="10" t="s">
        <v>49</v>
      </c>
      <c r="H294" s="10">
        <f t="shared" si="50"/>
        <v>1995.3473280000001</v>
      </c>
      <c r="M294" s="10" t="s">
        <v>49</v>
      </c>
      <c r="N294" s="10">
        <f t="shared" si="51"/>
        <v>2163.2295359999998</v>
      </c>
      <c r="S294" s="10" t="s">
        <v>49</v>
      </c>
      <c r="T294" s="10">
        <f t="shared" si="52"/>
        <v>0</v>
      </c>
      <c r="Y294" s="10" t="s">
        <v>49</v>
      </c>
      <c r="Z294" s="10">
        <f t="shared" si="53"/>
        <v>0</v>
      </c>
    </row>
    <row r="295" spans="1:26" x14ac:dyDescent="0.25">
      <c r="A295" s="10" t="s">
        <v>50</v>
      </c>
      <c r="B295" s="10">
        <f t="shared" si="49"/>
        <v>12778.299768000001</v>
      </c>
      <c r="G295" s="10" t="s">
        <v>50</v>
      </c>
      <c r="H295" s="10">
        <f t="shared" si="50"/>
        <v>12347.439624000001</v>
      </c>
      <c r="M295" s="10" t="s">
        <v>50</v>
      </c>
      <c r="N295" s="10">
        <f t="shared" si="51"/>
        <v>12271.250472</v>
      </c>
      <c r="S295" s="10" t="s">
        <v>50</v>
      </c>
      <c r="T295" s="10">
        <f t="shared" si="52"/>
        <v>0</v>
      </c>
      <c r="Y295" s="10" t="s">
        <v>50</v>
      </c>
      <c r="Z295" s="10">
        <f t="shared" si="53"/>
        <v>0</v>
      </c>
    </row>
    <row r="296" spans="1:26" x14ac:dyDescent="0.25">
      <c r="A296" s="10" t="s">
        <v>188</v>
      </c>
      <c r="B296" s="10">
        <f t="shared" si="49"/>
        <v>439.72963199999998</v>
      </c>
      <c r="G296" s="10" t="s">
        <v>188</v>
      </c>
      <c r="H296" s="10">
        <f t="shared" si="50"/>
        <v>517.25055999999995</v>
      </c>
      <c r="M296" s="10" t="s">
        <v>188</v>
      </c>
      <c r="N296" s="10">
        <f t="shared" si="51"/>
        <v>519.08360000000005</v>
      </c>
      <c r="S296" s="10" t="s">
        <v>188</v>
      </c>
      <c r="T296" s="10">
        <f t="shared" si="52"/>
        <v>0</v>
      </c>
      <c r="Y296" s="10" t="s">
        <v>188</v>
      </c>
      <c r="Z296" s="10">
        <f t="shared" si="53"/>
        <v>0</v>
      </c>
    </row>
    <row r="297" spans="1:26" x14ac:dyDescent="0.25">
      <c r="A297" s="10" t="s">
        <v>189</v>
      </c>
      <c r="B297" s="10">
        <f t="shared" si="49"/>
        <v>0</v>
      </c>
      <c r="G297" s="10" t="s">
        <v>189</v>
      </c>
      <c r="H297" s="10">
        <f t="shared" si="50"/>
        <v>0.6</v>
      </c>
      <c r="M297" s="10" t="s">
        <v>189</v>
      </c>
      <c r="N297" s="10">
        <f t="shared" si="51"/>
        <v>2.4</v>
      </c>
      <c r="S297" s="10" t="s">
        <v>189</v>
      </c>
      <c r="T297" s="10">
        <f t="shared" si="52"/>
        <v>0</v>
      </c>
      <c r="Y297" s="10" t="s">
        <v>189</v>
      </c>
      <c r="Z297" s="10">
        <f t="shared" si="53"/>
        <v>0</v>
      </c>
    </row>
    <row r="298" spans="1:26" x14ac:dyDescent="0.25">
      <c r="A298" s="10" t="s">
        <v>190</v>
      </c>
      <c r="B298" s="10">
        <f t="shared" si="49"/>
        <v>602.12</v>
      </c>
      <c r="G298" s="10" t="s">
        <v>190</v>
      </c>
      <c r="H298" s="10">
        <f t="shared" si="50"/>
        <v>561.53</v>
      </c>
      <c r="M298" s="10" t="s">
        <v>190</v>
      </c>
      <c r="N298" s="10">
        <f t="shared" si="51"/>
        <v>550.61</v>
      </c>
      <c r="S298" s="10" t="s">
        <v>190</v>
      </c>
      <c r="T298" s="10">
        <f t="shared" si="52"/>
        <v>0</v>
      </c>
      <c r="Y298" s="10" t="s">
        <v>190</v>
      </c>
      <c r="Z298" s="10">
        <f t="shared" si="53"/>
        <v>0</v>
      </c>
    </row>
    <row r="299" spans="1:26" x14ac:dyDescent="0.25">
      <c r="A299" s="10" t="s">
        <v>191</v>
      </c>
      <c r="B299" s="10">
        <f t="shared" si="49"/>
        <v>59.72</v>
      </c>
      <c r="G299" s="10" t="s">
        <v>191</v>
      </c>
      <c r="H299" s="10">
        <f t="shared" si="50"/>
        <v>42.78</v>
      </c>
      <c r="M299" s="10" t="s">
        <v>191</v>
      </c>
      <c r="N299" s="10">
        <f t="shared" si="51"/>
        <v>33.770000000000003</v>
      </c>
      <c r="S299" s="10" t="s">
        <v>191</v>
      </c>
      <c r="T299" s="10">
        <f t="shared" si="52"/>
        <v>0</v>
      </c>
      <c r="Y299" s="10" t="s">
        <v>191</v>
      </c>
      <c r="Z299" s="10">
        <f t="shared" si="53"/>
        <v>0</v>
      </c>
    </row>
    <row r="300" spans="1:26" x14ac:dyDescent="0.25">
      <c r="A300" s="10" t="s">
        <v>192</v>
      </c>
      <c r="B300" s="10">
        <f t="shared" si="49"/>
        <v>7945.2070569999996</v>
      </c>
      <c r="G300" s="10" t="s">
        <v>192</v>
      </c>
      <c r="H300" s="10">
        <f t="shared" si="50"/>
        <v>8587.7112969999998</v>
      </c>
      <c r="M300" s="10" t="s">
        <v>192</v>
      </c>
      <c r="N300" s="10">
        <f t="shared" si="51"/>
        <v>9069.4734239999998</v>
      </c>
      <c r="S300" s="10" t="s">
        <v>192</v>
      </c>
      <c r="T300" s="10">
        <f t="shared" si="52"/>
        <v>0</v>
      </c>
      <c r="Y300" s="10" t="s">
        <v>192</v>
      </c>
      <c r="Z300" s="10">
        <f t="shared" si="53"/>
        <v>0</v>
      </c>
    </row>
    <row r="301" spans="1:26" x14ac:dyDescent="0.25">
      <c r="A301" s="10" t="s">
        <v>193</v>
      </c>
      <c r="B301" s="10">
        <f t="shared" si="49"/>
        <v>0.6</v>
      </c>
      <c r="G301" s="10" t="s">
        <v>193</v>
      </c>
      <c r="H301" s="10">
        <f t="shared" si="50"/>
        <v>1.2</v>
      </c>
      <c r="M301" s="10" t="s">
        <v>193</v>
      </c>
      <c r="N301" s="10">
        <f t="shared" si="51"/>
        <v>1.8</v>
      </c>
      <c r="S301" s="10" t="s">
        <v>193</v>
      </c>
      <c r="T301" s="10">
        <f t="shared" si="52"/>
        <v>0</v>
      </c>
      <c r="Y301" s="10" t="s">
        <v>193</v>
      </c>
      <c r="Z301" s="10">
        <f t="shared" si="53"/>
        <v>0</v>
      </c>
    </row>
    <row r="302" spans="1:26" x14ac:dyDescent="0.25">
      <c r="A302" s="10" t="s">
        <v>194</v>
      </c>
      <c r="B302" s="10">
        <f t="shared" si="49"/>
        <v>3.05</v>
      </c>
      <c r="G302" s="10" t="s">
        <v>194</v>
      </c>
      <c r="H302" s="10">
        <f t="shared" si="50"/>
        <v>6.1</v>
      </c>
      <c r="M302" s="10" t="s">
        <v>194</v>
      </c>
      <c r="N302" s="10">
        <f t="shared" si="51"/>
        <v>14.03</v>
      </c>
      <c r="S302" s="10" t="s">
        <v>194</v>
      </c>
      <c r="T302" s="10">
        <f t="shared" si="52"/>
        <v>0</v>
      </c>
      <c r="Y302" s="10" t="s">
        <v>194</v>
      </c>
      <c r="Z302" s="10">
        <f t="shared" si="53"/>
        <v>0</v>
      </c>
    </row>
    <row r="303" spans="1:26" x14ac:dyDescent="0.25">
      <c r="A303" s="10" t="s">
        <v>195</v>
      </c>
      <c r="B303" s="10">
        <f t="shared" si="49"/>
        <v>448.38</v>
      </c>
      <c r="G303" s="10" t="s">
        <v>195</v>
      </c>
      <c r="H303" s="10">
        <f t="shared" si="50"/>
        <v>595.38</v>
      </c>
      <c r="M303" s="10" t="s">
        <v>195</v>
      </c>
      <c r="N303" s="10">
        <f t="shared" si="51"/>
        <v>371.58</v>
      </c>
      <c r="S303" s="10" t="s">
        <v>195</v>
      </c>
      <c r="T303" s="10">
        <f t="shared" si="52"/>
        <v>0</v>
      </c>
      <c r="Y303" s="10" t="s">
        <v>195</v>
      </c>
      <c r="Z303" s="10">
        <f t="shared" si="53"/>
        <v>0</v>
      </c>
    </row>
    <row r="304" spans="1:26" x14ac:dyDescent="0.25">
      <c r="A304" s="10" t="s">
        <v>72</v>
      </c>
      <c r="B304" s="10">
        <f t="shared" si="49"/>
        <v>86780.86404</v>
      </c>
      <c r="G304" s="10" t="s">
        <v>72</v>
      </c>
      <c r="H304" s="10">
        <f t="shared" si="50"/>
        <v>88365.473039999997</v>
      </c>
      <c r="M304" s="10" t="s">
        <v>72</v>
      </c>
      <c r="N304" s="10">
        <f t="shared" si="51"/>
        <v>83651.864088000002</v>
      </c>
      <c r="S304" s="10" t="s">
        <v>72</v>
      </c>
      <c r="T304" s="10">
        <f t="shared" si="52"/>
        <v>0</v>
      </c>
      <c r="Y304" s="10" t="s">
        <v>72</v>
      </c>
      <c r="Z304" s="10">
        <f t="shared" si="53"/>
        <v>0</v>
      </c>
    </row>
    <row r="305" spans="1:26" x14ac:dyDescent="0.25">
      <c r="A305" s="10" t="s">
        <v>201</v>
      </c>
      <c r="B305" s="10">
        <f t="shared" si="49"/>
        <v>479378.55</v>
      </c>
      <c r="G305" s="10" t="s">
        <v>201</v>
      </c>
      <c r="H305" s="10">
        <f t="shared" si="50"/>
        <v>462268.1</v>
      </c>
      <c r="M305" s="10" t="s">
        <v>201</v>
      </c>
      <c r="N305" s="10">
        <f t="shared" si="51"/>
        <v>464199.89</v>
      </c>
      <c r="S305" s="10" t="s">
        <v>201</v>
      </c>
      <c r="T305" s="10">
        <f t="shared" si="52"/>
        <v>0</v>
      </c>
      <c r="Y305" s="10" t="s">
        <v>201</v>
      </c>
      <c r="Z305" s="10">
        <f t="shared" si="53"/>
        <v>0</v>
      </c>
    </row>
    <row r="306" spans="1:26" x14ac:dyDescent="0.25">
      <c r="A306" s="10" t="s">
        <v>196</v>
      </c>
      <c r="B306" s="10">
        <f t="shared" si="49"/>
        <v>22.2</v>
      </c>
      <c r="G306" s="10" t="s">
        <v>196</v>
      </c>
      <c r="H306" s="10">
        <f t="shared" si="50"/>
        <v>11.4</v>
      </c>
      <c r="M306" s="10" t="s">
        <v>196</v>
      </c>
      <c r="N306" s="10">
        <f t="shared" si="51"/>
        <v>3.6</v>
      </c>
      <c r="S306" s="10" t="s">
        <v>196</v>
      </c>
      <c r="T306" s="10">
        <f t="shared" si="52"/>
        <v>0</v>
      </c>
      <c r="Y306" s="10" t="s">
        <v>196</v>
      </c>
      <c r="Z306" s="10">
        <f t="shared" si="53"/>
        <v>0</v>
      </c>
    </row>
    <row r="307" spans="1:26" x14ac:dyDescent="0.25">
      <c r="A307" s="10" t="s">
        <v>197</v>
      </c>
      <c r="B307" s="10">
        <f t="shared" si="49"/>
        <v>185.62</v>
      </c>
      <c r="G307" s="10" t="s">
        <v>197</v>
      </c>
      <c r="H307" s="10">
        <f t="shared" si="50"/>
        <v>78.08</v>
      </c>
      <c r="M307" s="10" t="s">
        <v>197</v>
      </c>
      <c r="N307" s="10">
        <f t="shared" si="51"/>
        <v>206.36</v>
      </c>
      <c r="S307" s="10" t="s">
        <v>197</v>
      </c>
      <c r="T307" s="10">
        <f t="shared" si="52"/>
        <v>0</v>
      </c>
      <c r="Y307" s="10" t="s">
        <v>197</v>
      </c>
      <c r="Z307" s="10">
        <f t="shared" si="53"/>
        <v>0</v>
      </c>
    </row>
    <row r="308" spans="1:26" x14ac:dyDescent="0.25">
      <c r="A308" s="10" t="s">
        <v>198</v>
      </c>
      <c r="B308" s="10">
        <f t="shared" si="49"/>
        <v>21.08</v>
      </c>
      <c r="G308" s="10" t="s">
        <v>198</v>
      </c>
      <c r="H308" s="10">
        <f t="shared" si="50"/>
        <v>94.86</v>
      </c>
      <c r="M308" s="10" t="s">
        <v>198</v>
      </c>
      <c r="N308" s="10">
        <f t="shared" si="51"/>
        <v>89.9</v>
      </c>
      <c r="S308" s="10" t="s">
        <v>198</v>
      </c>
      <c r="T308" s="10">
        <f t="shared" si="52"/>
        <v>0</v>
      </c>
      <c r="Y308" s="10" t="s">
        <v>198</v>
      </c>
      <c r="Z308" s="10">
        <f t="shared" si="53"/>
        <v>0</v>
      </c>
    </row>
    <row r="309" spans="1:26" x14ac:dyDescent="0.25">
      <c r="A309" s="10" t="s">
        <v>199</v>
      </c>
      <c r="B309" s="10">
        <f t="shared" si="49"/>
        <v>3.05</v>
      </c>
      <c r="G309" s="10" t="s">
        <v>199</v>
      </c>
      <c r="H309" s="10">
        <f t="shared" si="50"/>
        <v>10.98</v>
      </c>
      <c r="M309" s="10" t="s">
        <v>199</v>
      </c>
      <c r="N309" s="10">
        <f t="shared" si="51"/>
        <v>0.61</v>
      </c>
      <c r="S309" s="10" t="s">
        <v>199</v>
      </c>
      <c r="T309" s="10">
        <f t="shared" si="52"/>
        <v>0</v>
      </c>
      <c r="Y309" s="10" t="s">
        <v>199</v>
      </c>
      <c r="Z309" s="10">
        <f t="shared" si="53"/>
        <v>0</v>
      </c>
    </row>
    <row r="310" spans="1:26" x14ac:dyDescent="0.25">
      <c r="A310" s="10" t="s">
        <v>200</v>
      </c>
      <c r="B310" s="10">
        <f t="shared" si="49"/>
        <v>10.37</v>
      </c>
      <c r="G310" s="10" t="s">
        <v>200</v>
      </c>
      <c r="H310" s="10">
        <f t="shared" si="50"/>
        <v>31.72</v>
      </c>
      <c r="M310" s="10" t="s">
        <v>200</v>
      </c>
      <c r="N310" s="10">
        <f t="shared" si="51"/>
        <v>12.2</v>
      </c>
      <c r="S310" s="10" t="s">
        <v>200</v>
      </c>
      <c r="T310" s="10">
        <f t="shared" si="52"/>
        <v>0</v>
      </c>
      <c r="Y310" s="10" t="s">
        <v>200</v>
      </c>
      <c r="Z310" s="10">
        <f t="shared" si="53"/>
        <v>0</v>
      </c>
    </row>
  </sheetData>
  <phoneticPr fontId="14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AD249"/>
  <sheetViews>
    <sheetView zoomScale="85" zoomScaleNormal="85" zoomScalePageLayoutView="85" workbookViewId="0">
      <selection activeCell="N2" sqref="N2:N113"/>
    </sheetView>
  </sheetViews>
  <sheetFormatPr defaultColWidth="8.85546875" defaultRowHeight="12.75" x14ac:dyDescent="0.2"/>
  <cols>
    <col min="1" max="1" width="27" style="44" bestFit="1" customWidth="1"/>
    <col min="2" max="2" width="14.28515625" style="44" bestFit="1" customWidth="1"/>
    <col min="3" max="3" width="12.28515625" style="44" bestFit="1" customWidth="1"/>
    <col min="4" max="6" width="8.85546875" style="44"/>
    <col min="7" max="7" width="27" style="44" bestFit="1" customWidth="1"/>
    <col min="8" max="8" width="12.42578125" style="44" customWidth="1"/>
    <col min="9" max="12" width="8.85546875" style="44"/>
    <col min="13" max="13" width="27" style="44" bestFit="1" customWidth="1"/>
    <col min="14" max="14" width="12.5703125" style="44" bestFit="1" customWidth="1"/>
    <col min="15" max="15" width="12.28515625" style="44" bestFit="1" customWidth="1"/>
    <col min="16" max="18" width="8.85546875" style="44"/>
    <col min="19" max="19" width="27" style="44" bestFit="1" customWidth="1"/>
    <col min="20" max="20" width="13.7109375" style="44" customWidth="1"/>
    <col min="21" max="21" width="9.140625" style="44" customWidth="1"/>
    <col min="22" max="24" width="8.85546875" style="44"/>
    <col min="25" max="25" width="27" style="44" bestFit="1" customWidth="1"/>
    <col min="26" max="26" width="12.42578125" style="44" bestFit="1" customWidth="1"/>
    <col min="27" max="16384" width="8.85546875" style="44"/>
  </cols>
  <sheetData>
    <row r="1" spans="1:30" ht="15" x14ac:dyDescent="0.25">
      <c r="A1" s="58" t="s">
        <v>16</v>
      </c>
      <c r="B1" s="58"/>
      <c r="C1" s="58"/>
      <c r="D1" s="58"/>
      <c r="E1" s="58"/>
      <c r="F1" s="86"/>
      <c r="G1" s="58" t="s">
        <v>17</v>
      </c>
      <c r="H1" s="58"/>
      <c r="I1" s="58"/>
      <c r="J1" s="58"/>
      <c r="K1" s="58"/>
      <c r="L1" s="86"/>
      <c r="M1" s="58" t="s">
        <v>18</v>
      </c>
      <c r="N1" s="58"/>
      <c r="O1" s="58"/>
      <c r="P1" s="58"/>
      <c r="Q1" s="58"/>
      <c r="R1" s="86"/>
      <c r="S1" s="58" t="s">
        <v>19</v>
      </c>
      <c r="T1" s="58"/>
      <c r="U1" s="58"/>
      <c r="V1" s="58"/>
      <c r="W1" s="58"/>
      <c r="X1" s="86"/>
      <c r="Y1" s="58" t="s">
        <v>20</v>
      </c>
      <c r="Z1" s="58"/>
      <c r="AA1" s="58"/>
      <c r="AB1" s="58"/>
      <c r="AC1" s="58"/>
      <c r="AD1" s="86"/>
    </row>
    <row r="2" spans="1:30" ht="15" x14ac:dyDescent="0.25">
      <c r="A2" s="87" t="s">
        <v>205</v>
      </c>
      <c r="B2" s="453"/>
      <c r="C2" s="290"/>
      <c r="E2" s="58"/>
      <c r="F2" s="86"/>
      <c r="G2" s="87" t="s">
        <v>126</v>
      </c>
      <c r="H2" s="453">
        <v>0.61</v>
      </c>
      <c r="I2" s="8"/>
      <c r="J2" s="8"/>
      <c r="K2" s="58"/>
      <c r="L2" s="86"/>
      <c r="M2" s="87" t="s">
        <v>126</v>
      </c>
      <c r="N2" s="453">
        <v>0</v>
      </c>
      <c r="Q2" s="58"/>
      <c r="R2" s="86"/>
      <c r="S2" s="87" t="s">
        <v>126</v>
      </c>
      <c r="T2" s="346"/>
      <c r="W2" s="58"/>
      <c r="X2" s="86"/>
      <c r="Y2" s="87" t="s">
        <v>126</v>
      </c>
      <c r="Z2" s="346"/>
      <c r="AC2" s="58"/>
      <c r="AD2" s="86"/>
    </row>
    <row r="3" spans="1:30" ht="15" x14ac:dyDescent="0.25">
      <c r="A3" s="59" t="s">
        <v>206</v>
      </c>
      <c r="B3" s="453"/>
      <c r="C3" s="290"/>
      <c r="E3" s="8" t="e">
        <f>C3/B3</f>
        <v>#DIV/0!</v>
      </c>
      <c r="F3" s="40"/>
      <c r="G3" s="59" t="s">
        <v>127</v>
      </c>
      <c r="H3" s="453">
        <v>6.71</v>
      </c>
      <c r="I3" s="8"/>
      <c r="J3" s="8"/>
      <c r="K3" s="8">
        <f>I3/H3</f>
        <v>0</v>
      </c>
      <c r="L3" s="40"/>
      <c r="M3" s="59" t="s">
        <v>127</v>
      </c>
      <c r="N3" s="453">
        <v>0.61</v>
      </c>
      <c r="Q3" s="8">
        <f>O3/N3</f>
        <v>0</v>
      </c>
      <c r="R3" s="40"/>
      <c r="S3" s="59" t="s">
        <v>127</v>
      </c>
      <c r="T3" s="346"/>
      <c r="W3" s="39" t="e">
        <f>U3/T3</f>
        <v>#DIV/0!</v>
      </c>
      <c r="X3" s="40"/>
      <c r="Y3" s="59" t="s">
        <v>127</v>
      </c>
      <c r="Z3" s="346"/>
      <c r="AC3" s="39" t="e">
        <f>AA3/Z3</f>
        <v>#DIV/0!</v>
      </c>
      <c r="AD3" s="40"/>
    </row>
    <row r="4" spans="1:30" ht="15" x14ac:dyDescent="0.25">
      <c r="A4" s="59" t="s">
        <v>207</v>
      </c>
      <c r="B4" s="453">
        <v>451.27</v>
      </c>
      <c r="C4" s="290"/>
      <c r="E4" s="8">
        <f>C4/B4</f>
        <v>0</v>
      </c>
      <c r="F4" s="40"/>
      <c r="G4" s="59" t="s">
        <v>128</v>
      </c>
      <c r="H4" s="453">
        <v>283.87</v>
      </c>
      <c r="I4" s="8"/>
      <c r="J4" s="8"/>
      <c r="K4" s="8">
        <f>I4/H4</f>
        <v>0</v>
      </c>
      <c r="L4" s="40"/>
      <c r="M4" s="59" t="s">
        <v>128</v>
      </c>
      <c r="N4" s="453">
        <v>331.71</v>
      </c>
      <c r="Q4" s="8">
        <f>O4/N4</f>
        <v>0</v>
      </c>
      <c r="R4" s="40"/>
      <c r="S4" s="59" t="s">
        <v>128</v>
      </c>
      <c r="T4" s="346"/>
      <c r="W4" s="39" t="e">
        <f>U4/T4</f>
        <v>#DIV/0!</v>
      </c>
      <c r="X4" s="40"/>
      <c r="Y4" s="59" t="s">
        <v>128</v>
      </c>
      <c r="Z4" s="346"/>
      <c r="AC4" s="39" t="e">
        <f>AA4/Z4</f>
        <v>#DIV/0!</v>
      </c>
      <c r="AD4" s="40"/>
    </row>
    <row r="5" spans="1:30" ht="15" x14ac:dyDescent="0.25">
      <c r="A5" s="59" t="s">
        <v>208</v>
      </c>
      <c r="B5" s="453">
        <v>11.04</v>
      </c>
      <c r="C5" s="290"/>
      <c r="E5" s="8">
        <f>C5/B5</f>
        <v>0</v>
      </c>
      <c r="F5" s="40"/>
      <c r="G5" s="59" t="s">
        <v>129</v>
      </c>
      <c r="H5" s="453">
        <v>28.8</v>
      </c>
      <c r="I5" s="8"/>
      <c r="J5" s="8"/>
      <c r="K5" s="8">
        <f>I5/H5</f>
        <v>0</v>
      </c>
      <c r="L5" s="40"/>
      <c r="M5" s="59" t="s">
        <v>129</v>
      </c>
      <c r="N5" s="453">
        <v>1.74</v>
      </c>
      <c r="Q5" s="8">
        <f>O5/N5</f>
        <v>0</v>
      </c>
      <c r="R5" s="40"/>
      <c r="S5" s="59" t="s">
        <v>129</v>
      </c>
      <c r="T5" s="346"/>
      <c r="W5" s="8" t="e">
        <f>U5/T5</f>
        <v>#DIV/0!</v>
      </c>
      <c r="X5" s="40"/>
      <c r="Y5" s="59" t="s">
        <v>129</v>
      </c>
      <c r="Z5" s="346"/>
      <c r="AC5" s="8" t="e">
        <f>AA5/Z5</f>
        <v>#DIV/0!</v>
      </c>
      <c r="AD5" s="40"/>
    </row>
    <row r="6" spans="1:30" ht="15" x14ac:dyDescent="0.25">
      <c r="A6" s="59" t="s">
        <v>209</v>
      </c>
      <c r="B6" s="453">
        <v>58317.944968000003</v>
      </c>
      <c r="C6" s="290"/>
      <c r="E6" s="8"/>
      <c r="F6" s="40"/>
      <c r="G6" s="59" t="s">
        <v>33</v>
      </c>
      <c r="H6" s="453">
        <v>58155.501128000004</v>
      </c>
      <c r="I6" s="8"/>
      <c r="J6" s="8"/>
      <c r="K6" s="8"/>
      <c r="L6" s="40"/>
      <c r="M6" s="59" t="s">
        <v>33</v>
      </c>
      <c r="N6" s="453">
        <v>53974.694675999999</v>
      </c>
      <c r="Q6" s="8"/>
      <c r="R6" s="40"/>
      <c r="S6" s="59" t="s">
        <v>33</v>
      </c>
      <c r="T6" s="346"/>
      <c r="W6" s="8"/>
      <c r="X6" s="40"/>
      <c r="Y6" s="59" t="s">
        <v>33</v>
      </c>
      <c r="Z6" s="346"/>
      <c r="AC6" s="8"/>
      <c r="AD6" s="40"/>
    </row>
    <row r="7" spans="1:30" ht="15" x14ac:dyDescent="0.25">
      <c r="A7" s="59" t="s">
        <v>210</v>
      </c>
      <c r="B7" s="453">
        <v>2868.4013279999999</v>
      </c>
      <c r="C7" s="290"/>
      <c r="E7" s="8"/>
      <c r="F7" s="40"/>
      <c r="G7" s="59" t="s">
        <v>34</v>
      </c>
      <c r="H7" s="453">
        <v>2564.4122400000001</v>
      </c>
      <c r="I7" s="8"/>
      <c r="J7" s="8"/>
      <c r="K7" s="8"/>
      <c r="L7" s="40"/>
      <c r="M7" s="59" t="s">
        <v>34</v>
      </c>
      <c r="N7" s="453">
        <v>2517.478392</v>
      </c>
      <c r="Q7" s="8"/>
      <c r="R7" s="40"/>
      <c r="S7" s="59" t="s">
        <v>34</v>
      </c>
      <c r="T7" s="346"/>
      <c r="W7" s="8"/>
      <c r="X7" s="40"/>
      <c r="Y7" s="59" t="s">
        <v>34</v>
      </c>
      <c r="Z7" s="346"/>
      <c r="AC7" s="8"/>
      <c r="AD7" s="40"/>
    </row>
    <row r="8" spans="1:30" ht="15" x14ac:dyDescent="0.25">
      <c r="A8" s="59" t="s">
        <v>211</v>
      </c>
      <c r="B8" s="453">
        <v>43.14</v>
      </c>
      <c r="C8" s="290"/>
      <c r="E8" s="8"/>
      <c r="F8" s="40"/>
      <c r="G8" s="59" t="s">
        <v>130</v>
      </c>
      <c r="H8" s="453">
        <v>55.23</v>
      </c>
      <c r="I8" s="8"/>
      <c r="J8" s="8"/>
      <c r="K8" s="8"/>
      <c r="L8" s="40"/>
      <c r="M8" s="59" t="s">
        <v>130</v>
      </c>
      <c r="N8" s="453">
        <v>22.68</v>
      </c>
      <c r="Q8" s="8"/>
      <c r="R8" s="40"/>
      <c r="S8" s="59" t="s">
        <v>130</v>
      </c>
      <c r="T8" s="346"/>
      <c r="W8" s="8"/>
      <c r="X8" s="40"/>
      <c r="Y8" s="59" t="s">
        <v>130</v>
      </c>
      <c r="Z8" s="346"/>
      <c r="AC8" s="8"/>
      <c r="AD8" s="40"/>
    </row>
    <row r="9" spans="1:30" ht="15" x14ac:dyDescent="0.25">
      <c r="A9" s="59" t="s">
        <v>212</v>
      </c>
      <c r="B9" s="453">
        <v>6.37</v>
      </c>
      <c r="C9" s="290"/>
      <c r="E9" s="8">
        <f t="shared" ref="E9:E63" si="0">C9/B9</f>
        <v>0</v>
      </c>
      <c r="F9" s="40"/>
      <c r="G9" s="59" t="s">
        <v>131</v>
      </c>
      <c r="H9" s="453">
        <v>1.22</v>
      </c>
      <c r="I9" s="8"/>
      <c r="J9" s="8"/>
      <c r="K9" s="8">
        <f t="shared" ref="K9:K63" si="1">I9/H9</f>
        <v>0</v>
      </c>
      <c r="L9" s="40"/>
      <c r="M9" s="59" t="s">
        <v>131</v>
      </c>
      <c r="N9" s="453">
        <v>11.43</v>
      </c>
      <c r="Q9" s="8">
        <f t="shared" ref="Q9:Q63" si="2">O9/N9</f>
        <v>0</v>
      </c>
      <c r="R9" s="40"/>
      <c r="S9" s="59" t="s">
        <v>131</v>
      </c>
      <c r="T9" s="346"/>
      <c r="W9" s="8" t="e">
        <f>U9/T9</f>
        <v>#DIV/0!</v>
      </c>
      <c r="X9" s="40"/>
      <c r="Y9" s="59" t="s">
        <v>131</v>
      </c>
      <c r="Z9" s="346"/>
      <c r="AC9" s="8" t="e">
        <f>AA9/Z9</f>
        <v>#DIV/0!</v>
      </c>
      <c r="AD9" s="40"/>
    </row>
    <row r="10" spans="1:30" ht="15" x14ac:dyDescent="0.25">
      <c r="A10" s="59" t="s">
        <v>213</v>
      </c>
      <c r="B10" s="453">
        <v>14.21</v>
      </c>
      <c r="C10" s="290"/>
      <c r="E10" s="8"/>
      <c r="F10" s="40"/>
      <c r="G10" s="59" t="s">
        <v>132</v>
      </c>
      <c r="H10" s="453">
        <v>8.5399999999999991</v>
      </c>
      <c r="I10" s="8"/>
      <c r="J10" s="8"/>
      <c r="K10" s="8"/>
      <c r="L10" s="40"/>
      <c r="M10" s="59" t="s">
        <v>132</v>
      </c>
      <c r="N10" s="453">
        <v>0.61</v>
      </c>
      <c r="Q10" s="8"/>
      <c r="R10" s="40"/>
      <c r="S10" s="59" t="s">
        <v>132</v>
      </c>
      <c r="T10" s="346"/>
      <c r="W10" s="8"/>
      <c r="X10" s="40"/>
      <c r="Y10" s="59" t="s">
        <v>132</v>
      </c>
      <c r="Z10" s="346"/>
      <c r="AC10" s="8"/>
      <c r="AD10" s="40"/>
    </row>
    <row r="11" spans="1:30" ht="15" x14ac:dyDescent="0.25">
      <c r="A11" s="59" t="s">
        <v>214</v>
      </c>
      <c r="B11" s="453">
        <v>24.27</v>
      </c>
      <c r="C11" s="290"/>
      <c r="E11" s="8">
        <f t="shared" si="0"/>
        <v>0</v>
      </c>
      <c r="F11" s="40"/>
      <c r="G11" s="59" t="s">
        <v>133</v>
      </c>
      <c r="H11" s="453">
        <v>39.18</v>
      </c>
      <c r="I11" s="8"/>
      <c r="J11" s="8"/>
      <c r="K11" s="8">
        <f t="shared" si="1"/>
        <v>0</v>
      </c>
      <c r="L11" s="40"/>
      <c r="M11" s="59" t="s">
        <v>133</v>
      </c>
      <c r="N11" s="453">
        <v>4.59</v>
      </c>
      <c r="Q11" s="8">
        <f t="shared" si="2"/>
        <v>0</v>
      </c>
      <c r="R11" s="40"/>
      <c r="S11" s="59" t="s">
        <v>133</v>
      </c>
      <c r="T11" s="346"/>
      <c r="W11" s="8" t="e">
        <f t="shared" ref="W11:W63" si="3">U11/T11</f>
        <v>#DIV/0!</v>
      </c>
      <c r="X11" s="40"/>
      <c r="Y11" s="59" t="s">
        <v>133</v>
      </c>
      <c r="Z11" s="346"/>
      <c r="AC11" s="8" t="e">
        <f t="shared" ref="AC11:AC63" si="4">AA11/Z11</f>
        <v>#DIV/0!</v>
      </c>
      <c r="AD11" s="40"/>
    </row>
    <row r="12" spans="1:30" ht="15" x14ac:dyDescent="0.25">
      <c r="A12" s="59" t="s">
        <v>215</v>
      </c>
      <c r="B12" s="453">
        <v>6112.2606480000004</v>
      </c>
      <c r="C12" s="290"/>
      <c r="E12" s="8"/>
      <c r="F12" s="40"/>
      <c r="G12" s="59" t="s">
        <v>35</v>
      </c>
      <c r="H12" s="453">
        <v>6659.6431199999997</v>
      </c>
      <c r="I12" s="8"/>
      <c r="J12" s="8"/>
      <c r="K12" s="8"/>
      <c r="L12" s="40"/>
      <c r="M12" s="59" t="s">
        <v>35</v>
      </c>
      <c r="N12" s="453">
        <v>6091.3968960000002</v>
      </c>
      <c r="Q12" s="8"/>
      <c r="R12" s="40"/>
      <c r="S12" s="59" t="s">
        <v>35</v>
      </c>
      <c r="T12" s="346"/>
      <c r="W12" s="8"/>
      <c r="X12" s="40"/>
      <c r="Y12" s="59" t="s">
        <v>35</v>
      </c>
      <c r="Z12" s="346"/>
      <c r="AC12" s="8"/>
      <c r="AD12" s="40"/>
    </row>
    <row r="13" spans="1:30" ht="15" x14ac:dyDescent="0.25">
      <c r="A13" s="59" t="s">
        <v>216</v>
      </c>
      <c r="B13" s="453"/>
      <c r="C13" s="290"/>
      <c r="E13" s="8"/>
      <c r="F13" s="40"/>
      <c r="G13" s="59" t="s">
        <v>134</v>
      </c>
      <c r="H13" s="453">
        <v>11.59</v>
      </c>
      <c r="I13" s="8"/>
      <c r="J13" s="8"/>
      <c r="K13" s="8"/>
      <c r="L13" s="40"/>
      <c r="M13" s="59" t="s">
        <v>134</v>
      </c>
      <c r="N13" s="453">
        <v>10.98</v>
      </c>
      <c r="Q13" s="8"/>
      <c r="R13" s="40"/>
      <c r="S13" s="59" t="s">
        <v>134</v>
      </c>
      <c r="T13" s="346"/>
      <c r="W13" s="8"/>
      <c r="X13" s="40"/>
      <c r="Y13" s="59" t="s">
        <v>134</v>
      </c>
      <c r="Z13" s="346"/>
      <c r="AC13" s="8"/>
      <c r="AD13" s="40"/>
    </row>
    <row r="14" spans="1:30" ht="15" x14ac:dyDescent="0.25">
      <c r="A14" s="59" t="s">
        <v>217</v>
      </c>
      <c r="B14" s="453">
        <v>27.02</v>
      </c>
      <c r="C14" s="290"/>
      <c r="E14" s="8"/>
      <c r="F14" s="40"/>
      <c r="G14" s="59" t="s">
        <v>135</v>
      </c>
      <c r="H14" s="453">
        <v>13.24</v>
      </c>
      <c r="I14" s="8"/>
      <c r="J14" s="8"/>
      <c r="K14" s="8"/>
      <c r="L14" s="40"/>
      <c r="M14" s="59" t="s">
        <v>135</v>
      </c>
      <c r="N14" s="453">
        <v>15.45</v>
      </c>
      <c r="Q14" s="8"/>
      <c r="R14" s="40"/>
      <c r="S14" s="59" t="s">
        <v>135</v>
      </c>
      <c r="T14" s="346"/>
      <c r="W14" s="8"/>
      <c r="X14" s="40"/>
      <c r="Y14" s="59" t="s">
        <v>135</v>
      </c>
      <c r="Z14" s="346"/>
      <c r="AC14" s="8"/>
      <c r="AD14" s="40"/>
    </row>
    <row r="15" spans="1:30" ht="15" x14ac:dyDescent="0.25">
      <c r="A15" s="59" t="s">
        <v>218</v>
      </c>
      <c r="B15" s="453">
        <v>0.61</v>
      </c>
      <c r="C15" s="290"/>
      <c r="E15" s="8">
        <f t="shared" si="0"/>
        <v>0</v>
      </c>
      <c r="F15" s="40"/>
      <c r="G15" s="59" t="s">
        <v>136</v>
      </c>
      <c r="H15" s="453">
        <v>18.3</v>
      </c>
      <c r="I15" s="8"/>
      <c r="J15" s="8"/>
      <c r="K15" s="8">
        <f t="shared" si="1"/>
        <v>0</v>
      </c>
      <c r="L15" s="40"/>
      <c r="M15" s="59" t="s">
        <v>136</v>
      </c>
      <c r="N15" s="453">
        <v>3.66</v>
      </c>
      <c r="Q15" s="8">
        <f t="shared" si="2"/>
        <v>0</v>
      </c>
      <c r="R15" s="40"/>
      <c r="S15" s="59" t="s">
        <v>136</v>
      </c>
      <c r="T15" s="346"/>
      <c r="W15" s="8" t="e">
        <f>U15/T15</f>
        <v>#DIV/0!</v>
      </c>
      <c r="X15" s="40"/>
      <c r="Y15" s="59" t="s">
        <v>136</v>
      </c>
      <c r="Z15" s="346"/>
      <c r="AC15" s="8" t="e">
        <f>AA15/Z15</f>
        <v>#DIV/0!</v>
      </c>
      <c r="AD15" s="40"/>
    </row>
    <row r="16" spans="1:30" ht="15" x14ac:dyDescent="0.25">
      <c r="A16" s="59" t="s">
        <v>219</v>
      </c>
      <c r="B16" s="453">
        <v>1.49</v>
      </c>
      <c r="C16" s="290"/>
      <c r="E16" s="8">
        <f t="shared" si="0"/>
        <v>0</v>
      </c>
      <c r="F16" s="40"/>
      <c r="G16" s="59" t="s">
        <v>137</v>
      </c>
      <c r="H16" s="453">
        <v>6.37</v>
      </c>
      <c r="I16" s="8"/>
      <c r="J16" s="8"/>
      <c r="K16" s="8">
        <f t="shared" si="1"/>
        <v>0</v>
      </c>
      <c r="L16" s="40"/>
      <c r="M16" s="59" t="s">
        <v>137</v>
      </c>
      <c r="N16" s="453">
        <v>50.63</v>
      </c>
      <c r="Q16" s="8">
        <f t="shared" si="2"/>
        <v>0</v>
      </c>
      <c r="R16" s="40"/>
      <c r="S16" s="59" t="s">
        <v>137</v>
      </c>
      <c r="T16" s="346"/>
      <c r="W16" s="8" t="e">
        <f t="shared" si="3"/>
        <v>#DIV/0!</v>
      </c>
      <c r="X16" s="40"/>
      <c r="Y16" s="59" t="s">
        <v>137</v>
      </c>
      <c r="Z16" s="346"/>
      <c r="AC16" s="8" t="e">
        <f t="shared" si="4"/>
        <v>#DIV/0!</v>
      </c>
      <c r="AD16" s="40"/>
    </row>
    <row r="17" spans="1:30" ht="15" x14ac:dyDescent="0.25">
      <c r="A17" s="59" t="s">
        <v>220</v>
      </c>
      <c r="B17" s="453">
        <v>33940.22</v>
      </c>
      <c r="C17" s="290"/>
      <c r="E17" s="8">
        <f t="shared" si="0"/>
        <v>0</v>
      </c>
      <c r="F17" s="40"/>
      <c r="G17" s="59" t="s">
        <v>138</v>
      </c>
      <c r="H17" s="453">
        <v>31243.93</v>
      </c>
      <c r="I17" s="8"/>
      <c r="J17" s="8"/>
      <c r="K17" s="8">
        <f t="shared" si="1"/>
        <v>0</v>
      </c>
      <c r="L17" s="40"/>
      <c r="M17" s="59" t="s">
        <v>138</v>
      </c>
      <c r="N17" s="453">
        <v>32156.75</v>
      </c>
      <c r="Q17" s="8">
        <f t="shared" si="2"/>
        <v>0</v>
      </c>
      <c r="R17" s="40"/>
      <c r="S17" s="59" t="s">
        <v>138</v>
      </c>
      <c r="T17" s="346"/>
      <c r="W17" s="8" t="e">
        <f t="shared" si="3"/>
        <v>#DIV/0!</v>
      </c>
      <c r="X17" s="40"/>
      <c r="Y17" s="59" t="s">
        <v>138</v>
      </c>
      <c r="Z17" s="346"/>
      <c r="AC17" s="8" t="e">
        <f t="shared" si="4"/>
        <v>#DIV/0!</v>
      </c>
      <c r="AD17" s="40"/>
    </row>
    <row r="18" spans="1:30" ht="15" x14ac:dyDescent="0.25">
      <c r="A18" s="59" t="s">
        <v>221</v>
      </c>
      <c r="B18" s="453">
        <v>12.06</v>
      </c>
      <c r="C18" s="290"/>
      <c r="E18" s="8"/>
      <c r="F18" s="40"/>
      <c r="G18" s="59" t="s">
        <v>139</v>
      </c>
      <c r="H18" s="453">
        <v>3.72</v>
      </c>
      <c r="I18" s="8"/>
      <c r="J18" s="8"/>
      <c r="K18" s="8"/>
      <c r="L18" s="40"/>
      <c r="M18" s="59" t="s">
        <v>139</v>
      </c>
      <c r="N18" s="453">
        <v>18.600000000000001</v>
      </c>
      <c r="Q18" s="8"/>
      <c r="R18" s="40"/>
      <c r="S18" s="59" t="s">
        <v>139</v>
      </c>
      <c r="T18" s="346"/>
      <c r="W18" s="8"/>
      <c r="X18" s="40"/>
      <c r="Y18" s="59" t="s">
        <v>139</v>
      </c>
      <c r="Z18" s="346"/>
      <c r="AC18" s="8"/>
      <c r="AD18" s="40"/>
    </row>
    <row r="19" spans="1:30" ht="15" x14ac:dyDescent="0.25">
      <c r="A19" s="59" t="s">
        <v>222</v>
      </c>
      <c r="B19" s="453">
        <v>63.601824000000001</v>
      </c>
      <c r="C19" s="290"/>
      <c r="E19" s="8"/>
      <c r="F19" s="40"/>
      <c r="G19" s="59" t="s">
        <v>62</v>
      </c>
      <c r="H19" s="453">
        <v>67.823183999999998</v>
      </c>
      <c r="I19" s="8"/>
      <c r="J19" s="8"/>
      <c r="K19" s="8"/>
      <c r="L19" s="40"/>
      <c r="M19" s="59" t="s">
        <v>62</v>
      </c>
      <c r="N19" s="453">
        <v>68.194152000000003</v>
      </c>
      <c r="Q19" s="8"/>
      <c r="R19" s="40"/>
      <c r="S19" s="59" t="s">
        <v>62</v>
      </c>
      <c r="T19" s="346"/>
      <c r="W19" s="8"/>
      <c r="X19" s="40"/>
      <c r="Y19" s="59" t="s">
        <v>62</v>
      </c>
      <c r="Z19" s="346"/>
      <c r="AC19" s="8"/>
      <c r="AD19" s="40"/>
    </row>
    <row r="20" spans="1:30" ht="15" x14ac:dyDescent="0.25">
      <c r="A20" s="59" t="s">
        <v>223</v>
      </c>
      <c r="B20" s="453">
        <v>32.94</v>
      </c>
      <c r="C20" s="290"/>
      <c r="E20" s="8"/>
      <c r="F20" s="40"/>
      <c r="G20" s="59" t="s">
        <v>140</v>
      </c>
      <c r="H20" s="453">
        <v>2.69</v>
      </c>
      <c r="I20" s="8"/>
      <c r="J20" s="8"/>
      <c r="K20" s="8"/>
      <c r="L20" s="40"/>
      <c r="M20" s="59" t="s">
        <v>140</v>
      </c>
      <c r="N20" s="453">
        <v>0.61</v>
      </c>
      <c r="Q20" s="8"/>
      <c r="R20" s="40"/>
      <c r="S20" s="59" t="s">
        <v>140</v>
      </c>
      <c r="T20" s="346"/>
      <c r="W20" s="8"/>
      <c r="X20" s="40"/>
      <c r="Y20" s="59" t="s">
        <v>140</v>
      </c>
      <c r="Z20" s="346"/>
      <c r="AC20" s="8"/>
      <c r="AD20" s="40"/>
    </row>
    <row r="21" spans="1:30" ht="15" x14ac:dyDescent="0.25">
      <c r="A21" s="59" t="s">
        <v>224</v>
      </c>
      <c r="B21" s="453">
        <v>1.24</v>
      </c>
      <c r="C21" s="290"/>
      <c r="E21" s="8">
        <f t="shared" si="0"/>
        <v>0</v>
      </c>
      <c r="F21" s="40"/>
      <c r="G21" s="59" t="s">
        <v>141</v>
      </c>
      <c r="H21" s="453">
        <v>3.72</v>
      </c>
      <c r="I21" s="8"/>
      <c r="J21" s="8"/>
      <c r="K21" s="8">
        <f t="shared" si="1"/>
        <v>0</v>
      </c>
      <c r="L21" s="40"/>
      <c r="M21" s="59" t="s">
        <v>141</v>
      </c>
      <c r="N21" s="453">
        <v>3.72</v>
      </c>
      <c r="Q21" s="8">
        <f t="shared" si="2"/>
        <v>0</v>
      </c>
      <c r="R21" s="40"/>
      <c r="S21" s="59" t="s">
        <v>141</v>
      </c>
      <c r="T21" s="346"/>
      <c r="W21" s="8" t="e">
        <f t="shared" si="3"/>
        <v>#DIV/0!</v>
      </c>
      <c r="X21" s="40"/>
      <c r="Y21" s="59" t="s">
        <v>141</v>
      </c>
      <c r="Z21" s="346"/>
      <c r="AC21" s="8" t="e">
        <f t="shared" si="4"/>
        <v>#DIV/0!</v>
      </c>
      <c r="AD21" s="40"/>
    </row>
    <row r="22" spans="1:30" ht="15" x14ac:dyDescent="0.25">
      <c r="A22" s="59" t="s">
        <v>225</v>
      </c>
      <c r="B22" s="453">
        <v>41812.746245000002</v>
      </c>
      <c r="C22" s="290"/>
      <c r="E22" s="8">
        <f t="shared" si="0"/>
        <v>0</v>
      </c>
      <c r="F22" s="40"/>
      <c r="G22" s="59" t="s">
        <v>36</v>
      </c>
      <c r="H22" s="453">
        <v>51668.822524000003</v>
      </c>
      <c r="I22" s="8"/>
      <c r="J22" s="8"/>
      <c r="K22" s="8">
        <f t="shared" si="1"/>
        <v>0</v>
      </c>
      <c r="L22" s="40"/>
      <c r="M22" s="59" t="s">
        <v>36</v>
      </c>
      <c r="N22" s="453">
        <v>43104.034</v>
      </c>
      <c r="Q22" s="8">
        <f t="shared" si="2"/>
        <v>0</v>
      </c>
      <c r="R22" s="40"/>
      <c r="S22" s="59" t="s">
        <v>36</v>
      </c>
      <c r="T22" s="346"/>
      <c r="W22" s="8" t="e">
        <f t="shared" si="3"/>
        <v>#DIV/0!</v>
      </c>
      <c r="X22" s="40"/>
      <c r="Y22" s="59" t="s">
        <v>36</v>
      </c>
      <c r="Z22" s="346"/>
      <c r="AC22" s="8" t="e">
        <f t="shared" si="4"/>
        <v>#DIV/0!</v>
      </c>
      <c r="AD22" s="40"/>
    </row>
    <row r="23" spans="1:30" ht="15" x14ac:dyDescent="0.25">
      <c r="A23" s="59" t="s">
        <v>226</v>
      </c>
      <c r="B23" s="453"/>
      <c r="C23" s="290"/>
      <c r="E23" s="8" t="e">
        <f t="shared" si="0"/>
        <v>#DIV/0!</v>
      </c>
      <c r="F23" s="40"/>
      <c r="G23" s="59" t="s">
        <v>142</v>
      </c>
      <c r="H23" s="453"/>
      <c r="I23" s="8"/>
      <c r="J23" s="8"/>
      <c r="K23" s="8" t="e">
        <f t="shared" si="1"/>
        <v>#DIV/0!</v>
      </c>
      <c r="L23" s="40"/>
      <c r="M23" s="59" t="s">
        <v>142</v>
      </c>
      <c r="N23" s="453">
        <v>0</v>
      </c>
      <c r="Q23" s="8" t="e">
        <f t="shared" si="2"/>
        <v>#DIV/0!</v>
      </c>
      <c r="R23" s="40"/>
      <c r="S23" s="59" t="s">
        <v>142</v>
      </c>
      <c r="T23" s="346"/>
      <c r="W23" s="8" t="e">
        <f t="shared" si="3"/>
        <v>#DIV/0!</v>
      </c>
      <c r="X23" s="40"/>
      <c r="Y23" s="59" t="s">
        <v>142</v>
      </c>
      <c r="Z23" s="346"/>
      <c r="AC23" s="8" t="e">
        <f t="shared" si="4"/>
        <v>#DIV/0!</v>
      </c>
      <c r="AD23" s="40"/>
    </row>
    <row r="24" spans="1:30" ht="15" x14ac:dyDescent="0.25">
      <c r="A24" s="59" t="s">
        <v>227</v>
      </c>
      <c r="B24" s="453">
        <v>0.88</v>
      </c>
      <c r="C24" s="290"/>
      <c r="E24" s="8">
        <f t="shared" si="0"/>
        <v>0</v>
      </c>
      <c r="F24" s="40"/>
      <c r="G24" s="59" t="s">
        <v>143</v>
      </c>
      <c r="H24" s="453">
        <v>30.5</v>
      </c>
      <c r="I24" s="8"/>
      <c r="J24" s="8"/>
      <c r="K24" s="8">
        <f t="shared" si="1"/>
        <v>0</v>
      </c>
      <c r="L24" s="40"/>
      <c r="M24" s="59" t="s">
        <v>143</v>
      </c>
      <c r="N24" s="453">
        <v>7.93</v>
      </c>
      <c r="Q24" s="8">
        <f t="shared" si="2"/>
        <v>0</v>
      </c>
      <c r="R24" s="40"/>
      <c r="S24" s="59" t="s">
        <v>143</v>
      </c>
      <c r="T24" s="346"/>
      <c r="W24" s="8" t="e">
        <f t="shared" si="3"/>
        <v>#DIV/0!</v>
      </c>
      <c r="X24" s="40"/>
      <c r="Y24" s="59" t="s">
        <v>143</v>
      </c>
      <c r="Z24" s="346"/>
      <c r="AC24" s="8" t="e">
        <f t="shared" si="4"/>
        <v>#DIV/0!</v>
      </c>
      <c r="AD24" s="40"/>
    </row>
    <row r="25" spans="1:30" ht="15" x14ac:dyDescent="0.25">
      <c r="A25" s="59" t="s">
        <v>228</v>
      </c>
      <c r="B25" s="453">
        <v>1642.49</v>
      </c>
      <c r="C25" s="290"/>
      <c r="E25" s="8">
        <f t="shared" si="0"/>
        <v>0</v>
      </c>
      <c r="F25" s="40"/>
      <c r="G25" s="59" t="s">
        <v>144</v>
      </c>
      <c r="H25" s="453">
        <v>1628.63</v>
      </c>
      <c r="I25" s="8"/>
      <c r="J25" s="8"/>
      <c r="K25" s="8">
        <f t="shared" si="1"/>
        <v>0</v>
      </c>
      <c r="L25" s="40"/>
      <c r="M25" s="59" t="s">
        <v>144</v>
      </c>
      <c r="N25" s="453">
        <v>1374.76</v>
      </c>
      <c r="Q25" s="8">
        <f t="shared" si="2"/>
        <v>0</v>
      </c>
      <c r="R25" s="40"/>
      <c r="S25" s="59" t="s">
        <v>144</v>
      </c>
      <c r="T25" s="346"/>
      <c r="W25" s="8" t="e">
        <f t="shared" si="3"/>
        <v>#DIV/0!</v>
      </c>
      <c r="X25" s="40"/>
      <c r="Y25" s="59" t="s">
        <v>144</v>
      </c>
      <c r="Z25" s="346"/>
      <c r="AC25" s="8" t="e">
        <f t="shared" si="4"/>
        <v>#DIV/0!</v>
      </c>
      <c r="AD25" s="40"/>
    </row>
    <row r="26" spans="1:30" ht="15" x14ac:dyDescent="0.25">
      <c r="A26" s="59" t="s">
        <v>229</v>
      </c>
      <c r="B26" s="453">
        <v>2391.37</v>
      </c>
      <c r="C26" s="290"/>
      <c r="E26" s="8"/>
      <c r="F26" s="40"/>
      <c r="G26" s="59" t="s">
        <v>145</v>
      </c>
      <c r="H26" s="453">
        <v>2272.2800000000002</v>
      </c>
      <c r="I26" s="8"/>
      <c r="J26" s="8"/>
      <c r="K26" s="8"/>
      <c r="L26" s="40"/>
      <c r="M26" s="59" t="s">
        <v>145</v>
      </c>
      <c r="N26" s="453">
        <v>2379.81</v>
      </c>
      <c r="Q26" s="8"/>
      <c r="R26" s="40"/>
      <c r="S26" s="59" t="s">
        <v>145</v>
      </c>
      <c r="T26" s="346"/>
      <c r="W26" s="8"/>
      <c r="X26" s="40"/>
      <c r="Y26" s="59" t="s">
        <v>145</v>
      </c>
      <c r="Z26" s="346"/>
      <c r="AC26" s="8"/>
      <c r="AD26" s="40"/>
    </row>
    <row r="27" spans="1:30" ht="15" x14ac:dyDescent="0.25">
      <c r="A27" s="59" t="s">
        <v>230</v>
      </c>
      <c r="B27" s="453">
        <v>178.01</v>
      </c>
      <c r="C27" s="290"/>
      <c r="E27" s="8"/>
      <c r="F27" s="40"/>
      <c r="G27" s="59" t="s">
        <v>146</v>
      </c>
      <c r="H27" s="453">
        <v>241.82</v>
      </c>
      <c r="I27" s="8"/>
      <c r="J27" s="8"/>
      <c r="K27" s="8"/>
      <c r="L27" s="40"/>
      <c r="M27" s="59" t="s">
        <v>146</v>
      </c>
      <c r="N27" s="453">
        <v>216.76</v>
      </c>
      <c r="Q27" s="8"/>
      <c r="R27" s="40"/>
      <c r="S27" s="59" t="s">
        <v>146</v>
      </c>
      <c r="T27" s="346"/>
      <c r="W27" s="8"/>
      <c r="X27" s="40"/>
      <c r="Y27" s="59" t="s">
        <v>146</v>
      </c>
      <c r="Z27" s="346"/>
      <c r="AC27" s="8"/>
      <c r="AD27" s="40"/>
    </row>
    <row r="28" spans="1:30" ht="15" x14ac:dyDescent="0.25">
      <c r="A28" s="88" t="s">
        <v>231</v>
      </c>
      <c r="B28" s="453">
        <v>26.172432000000001</v>
      </c>
      <c r="C28" s="290"/>
      <c r="E28" s="8"/>
      <c r="F28" s="40"/>
      <c r="G28" s="88" t="s">
        <v>61</v>
      </c>
      <c r="H28" s="453">
        <v>107.670264</v>
      </c>
      <c r="I28" s="8"/>
      <c r="J28" s="8"/>
      <c r="K28" s="8"/>
      <c r="L28" s="40"/>
      <c r="M28" s="88" t="s">
        <v>61</v>
      </c>
      <c r="N28" s="453">
        <v>86.755343999999994</v>
      </c>
      <c r="Q28" s="8"/>
      <c r="R28" s="40"/>
      <c r="S28" s="88" t="s">
        <v>61</v>
      </c>
      <c r="T28" s="346"/>
      <c r="W28" s="8"/>
      <c r="X28" s="40"/>
      <c r="Y28" s="88" t="s">
        <v>61</v>
      </c>
      <c r="Z28" s="346"/>
      <c r="AC28" s="8"/>
      <c r="AD28" s="40"/>
    </row>
    <row r="29" spans="1:30" ht="15" x14ac:dyDescent="0.25">
      <c r="A29" s="59" t="s">
        <v>232</v>
      </c>
      <c r="B29" s="453">
        <v>2404.9727520000001</v>
      </c>
      <c r="C29" s="290"/>
      <c r="E29" s="8">
        <f t="shared" si="0"/>
        <v>0</v>
      </c>
      <c r="F29" s="40"/>
      <c r="G29" s="59" t="s">
        <v>60</v>
      </c>
      <c r="H29" s="453">
        <v>2302.6623359999999</v>
      </c>
      <c r="I29" s="8"/>
      <c r="J29" s="8"/>
      <c r="K29" s="8">
        <f t="shared" si="1"/>
        <v>0</v>
      </c>
      <c r="L29" s="40"/>
      <c r="M29" s="59" t="s">
        <v>60</v>
      </c>
      <c r="N29" s="453">
        <v>2257.5065760000002</v>
      </c>
      <c r="Q29" s="8">
        <f t="shared" si="2"/>
        <v>0</v>
      </c>
      <c r="R29" s="40"/>
      <c r="S29" s="59" t="s">
        <v>60</v>
      </c>
      <c r="T29" s="346"/>
      <c r="W29" s="8" t="e">
        <f t="shared" si="3"/>
        <v>#DIV/0!</v>
      </c>
      <c r="X29" s="40"/>
      <c r="Y29" s="59" t="s">
        <v>60</v>
      </c>
      <c r="Z29" s="346"/>
      <c r="AC29" s="8" t="e">
        <f t="shared" si="4"/>
        <v>#DIV/0!</v>
      </c>
      <c r="AD29" s="40"/>
    </row>
    <row r="30" spans="1:30" ht="15" x14ac:dyDescent="0.25">
      <c r="A30" s="59" t="s">
        <v>233</v>
      </c>
      <c r="B30" s="453">
        <v>2611.7554319999999</v>
      </c>
      <c r="C30" s="290"/>
      <c r="E30" s="8">
        <f t="shared" si="0"/>
        <v>0</v>
      </c>
      <c r="F30" s="40"/>
      <c r="G30" s="59" t="s">
        <v>37</v>
      </c>
      <c r="H30" s="453">
        <v>2486.70084</v>
      </c>
      <c r="I30" s="8"/>
      <c r="J30" s="8"/>
      <c r="K30" s="8">
        <f t="shared" si="1"/>
        <v>0</v>
      </c>
      <c r="L30" s="40"/>
      <c r="M30" s="59" t="s">
        <v>37</v>
      </c>
      <c r="N30" s="453">
        <v>2246.0833200000002</v>
      </c>
      <c r="Q30" s="8">
        <f t="shared" si="2"/>
        <v>0</v>
      </c>
      <c r="R30" s="40"/>
      <c r="S30" s="59" t="s">
        <v>37</v>
      </c>
      <c r="T30" s="346"/>
      <c r="W30" s="8" t="e">
        <f t="shared" si="3"/>
        <v>#DIV/0!</v>
      </c>
      <c r="X30" s="40"/>
      <c r="Y30" s="59" t="s">
        <v>37</v>
      </c>
      <c r="Z30" s="346"/>
      <c r="AC30" s="8" t="e">
        <f t="shared" si="4"/>
        <v>#DIV/0!</v>
      </c>
      <c r="AD30" s="40"/>
    </row>
    <row r="31" spans="1:30" ht="15" x14ac:dyDescent="0.25">
      <c r="A31" s="59" t="s">
        <v>234</v>
      </c>
      <c r="B31" s="453">
        <v>0.61</v>
      </c>
      <c r="C31" s="290"/>
      <c r="E31" s="8">
        <f t="shared" si="0"/>
        <v>0</v>
      </c>
      <c r="F31" s="40"/>
      <c r="G31" s="59" t="s">
        <v>147</v>
      </c>
      <c r="H31" s="453"/>
      <c r="I31" s="8"/>
      <c r="J31" s="8"/>
      <c r="K31" s="8" t="e">
        <f t="shared" si="1"/>
        <v>#DIV/0!</v>
      </c>
      <c r="L31" s="40"/>
      <c r="M31" s="59" t="s">
        <v>147</v>
      </c>
      <c r="N31" s="453">
        <v>1.83</v>
      </c>
      <c r="Q31" s="8">
        <f t="shared" si="2"/>
        <v>0</v>
      </c>
      <c r="R31" s="40"/>
      <c r="S31" s="59" t="s">
        <v>147</v>
      </c>
      <c r="T31" s="346"/>
      <c r="W31" s="8" t="e">
        <f t="shared" si="3"/>
        <v>#DIV/0!</v>
      </c>
      <c r="X31" s="40"/>
      <c r="Y31" s="59" t="s">
        <v>147</v>
      </c>
      <c r="Z31" s="346"/>
      <c r="AC31" s="8" t="e">
        <f t="shared" si="4"/>
        <v>#DIV/0!</v>
      </c>
      <c r="AD31" s="40"/>
    </row>
    <row r="32" spans="1:30" ht="15" x14ac:dyDescent="0.25">
      <c r="A32" s="59" t="s">
        <v>235</v>
      </c>
      <c r="B32" s="453">
        <v>171.9</v>
      </c>
      <c r="C32" s="290"/>
      <c r="E32" s="8">
        <f t="shared" si="0"/>
        <v>0</v>
      </c>
      <c r="F32" s="40"/>
      <c r="G32" s="59" t="s">
        <v>148</v>
      </c>
      <c r="H32" s="453">
        <v>160.97</v>
      </c>
      <c r="I32" s="8"/>
      <c r="J32" s="8"/>
      <c r="K32" s="8">
        <f t="shared" si="1"/>
        <v>0</v>
      </c>
      <c r="L32" s="40"/>
      <c r="M32" s="59" t="s">
        <v>148</v>
      </c>
      <c r="N32" s="453">
        <v>211.98</v>
      </c>
      <c r="Q32" s="8">
        <f t="shared" si="2"/>
        <v>0</v>
      </c>
      <c r="R32" s="40"/>
      <c r="S32" s="59" t="s">
        <v>148</v>
      </c>
      <c r="T32" s="346"/>
      <c r="W32" s="8" t="e">
        <f t="shared" si="3"/>
        <v>#DIV/0!</v>
      </c>
      <c r="X32" s="40"/>
      <c r="Y32" s="59" t="s">
        <v>148</v>
      </c>
      <c r="Z32" s="346"/>
      <c r="AC32" s="8" t="e">
        <f t="shared" si="4"/>
        <v>#DIV/0!</v>
      </c>
      <c r="AD32" s="40"/>
    </row>
    <row r="33" spans="1:30" ht="15" x14ac:dyDescent="0.25">
      <c r="A33" s="88" t="s">
        <v>236</v>
      </c>
      <c r="B33" s="453">
        <v>329.83</v>
      </c>
      <c r="C33" s="290"/>
      <c r="E33" s="8"/>
      <c r="F33" s="40"/>
      <c r="G33" s="88" t="s">
        <v>149</v>
      </c>
      <c r="H33" s="453">
        <v>326.89999999999998</v>
      </c>
      <c r="I33" s="8"/>
      <c r="J33" s="8"/>
      <c r="K33" s="8"/>
      <c r="L33" s="40"/>
      <c r="M33" s="88" t="s">
        <v>149</v>
      </c>
      <c r="N33" s="453">
        <v>343.83</v>
      </c>
      <c r="Q33" s="8"/>
      <c r="R33" s="40"/>
      <c r="S33" s="88" t="s">
        <v>149</v>
      </c>
      <c r="T33" s="346"/>
      <c r="W33" s="8"/>
      <c r="X33" s="40"/>
      <c r="Y33" s="88" t="s">
        <v>149</v>
      </c>
      <c r="Z33" s="346"/>
      <c r="AC33" s="8"/>
      <c r="AD33" s="40"/>
    </row>
    <row r="34" spans="1:30" ht="15" x14ac:dyDescent="0.25">
      <c r="A34" s="59" t="s">
        <v>237</v>
      </c>
      <c r="B34" s="453">
        <v>16.149999999999999</v>
      </c>
      <c r="C34" s="290"/>
      <c r="E34" s="8">
        <f t="shared" si="0"/>
        <v>0</v>
      </c>
      <c r="F34" s="40"/>
      <c r="G34" s="59" t="s">
        <v>150</v>
      </c>
      <c r="H34" s="453">
        <v>53.16</v>
      </c>
      <c r="I34" s="8"/>
      <c r="J34" s="8"/>
      <c r="K34" s="8">
        <f t="shared" si="1"/>
        <v>0</v>
      </c>
      <c r="L34" s="40"/>
      <c r="M34" s="59" t="s">
        <v>150</v>
      </c>
      <c r="N34" s="453">
        <v>75.209999999999994</v>
      </c>
      <c r="Q34" s="8">
        <f t="shared" si="2"/>
        <v>0</v>
      </c>
      <c r="R34" s="40"/>
      <c r="S34" s="59" t="s">
        <v>150</v>
      </c>
      <c r="T34" s="346"/>
      <c r="W34" s="8" t="e">
        <f t="shared" si="3"/>
        <v>#DIV/0!</v>
      </c>
      <c r="X34" s="40"/>
      <c r="Y34" s="59" t="s">
        <v>150</v>
      </c>
      <c r="Z34" s="346"/>
      <c r="AC34" s="8" t="e">
        <f t="shared" si="4"/>
        <v>#DIV/0!</v>
      </c>
      <c r="AD34" s="40"/>
    </row>
    <row r="35" spans="1:30" ht="15" x14ac:dyDescent="0.25">
      <c r="A35" s="59" t="s">
        <v>238</v>
      </c>
      <c r="B35" s="453">
        <v>135.13468800000001</v>
      </c>
      <c r="C35" s="290"/>
      <c r="E35" s="8">
        <f t="shared" si="0"/>
        <v>0</v>
      </c>
      <c r="F35" s="40"/>
      <c r="G35" s="59" t="s">
        <v>59</v>
      </c>
      <c r="H35" s="453">
        <v>146.19976800000001</v>
      </c>
      <c r="I35" s="8"/>
      <c r="J35" s="8"/>
      <c r="K35" s="8">
        <f t="shared" si="1"/>
        <v>0</v>
      </c>
      <c r="L35" s="40"/>
      <c r="M35" s="59" t="s">
        <v>59</v>
      </c>
      <c r="N35" s="453">
        <v>102.233664</v>
      </c>
      <c r="Q35" s="8">
        <f t="shared" si="2"/>
        <v>0</v>
      </c>
      <c r="R35" s="40"/>
      <c r="S35" s="59" t="s">
        <v>59</v>
      </c>
      <c r="T35" s="346"/>
      <c r="W35" s="8" t="e">
        <f t="shared" si="3"/>
        <v>#DIV/0!</v>
      </c>
      <c r="X35" s="40"/>
      <c r="Y35" s="59" t="s">
        <v>59</v>
      </c>
      <c r="Z35" s="346"/>
      <c r="AC35" s="8" t="e">
        <f t="shared" si="4"/>
        <v>#DIV/0!</v>
      </c>
      <c r="AD35" s="40"/>
    </row>
    <row r="36" spans="1:30" ht="15" x14ac:dyDescent="0.25">
      <c r="A36" s="59" t="s">
        <v>239</v>
      </c>
      <c r="B36" s="453">
        <v>6.1</v>
      </c>
      <c r="C36" s="290"/>
      <c r="E36" s="8">
        <f t="shared" si="0"/>
        <v>0</v>
      </c>
      <c r="F36" s="40"/>
      <c r="G36" s="59" t="s">
        <v>151</v>
      </c>
      <c r="H36" s="453"/>
      <c r="I36" s="8"/>
      <c r="J36" s="8"/>
      <c r="K36" s="8" t="e">
        <f t="shared" si="1"/>
        <v>#DIV/0!</v>
      </c>
      <c r="L36" s="40"/>
      <c r="M36" s="59" t="s">
        <v>151</v>
      </c>
      <c r="N36" s="453">
        <v>0</v>
      </c>
      <c r="Q36" s="8" t="e">
        <f t="shared" si="2"/>
        <v>#DIV/0!</v>
      </c>
      <c r="R36" s="40"/>
      <c r="S36" s="59" t="s">
        <v>151</v>
      </c>
      <c r="T36" s="346"/>
      <c r="W36" s="8" t="e">
        <f t="shared" si="3"/>
        <v>#DIV/0!</v>
      </c>
      <c r="X36" s="40"/>
      <c r="Y36" s="59" t="s">
        <v>151</v>
      </c>
      <c r="Z36" s="346"/>
      <c r="AC36" s="8" t="e">
        <f t="shared" si="4"/>
        <v>#DIV/0!</v>
      </c>
      <c r="AD36" s="40"/>
    </row>
    <row r="37" spans="1:30" ht="15" x14ac:dyDescent="0.25">
      <c r="A37" s="59" t="s">
        <v>240</v>
      </c>
      <c r="B37" s="453">
        <v>888.110184</v>
      </c>
      <c r="C37" s="290"/>
      <c r="E37" s="8"/>
      <c r="F37" s="40"/>
      <c r="G37" s="59" t="s">
        <v>38</v>
      </c>
      <c r="H37" s="453">
        <v>979.07409600000005</v>
      </c>
      <c r="I37" s="8"/>
      <c r="J37" s="8"/>
      <c r="K37" s="8"/>
      <c r="L37" s="40"/>
      <c r="M37" s="59" t="s">
        <v>38</v>
      </c>
      <c r="N37" s="453">
        <v>768.93991200000005</v>
      </c>
      <c r="Q37" s="8"/>
      <c r="R37" s="40"/>
      <c r="S37" s="59" t="s">
        <v>38</v>
      </c>
      <c r="T37" s="346"/>
      <c r="W37" s="8"/>
      <c r="X37" s="40"/>
      <c r="Y37" s="59" t="s">
        <v>38</v>
      </c>
      <c r="Z37" s="346"/>
      <c r="AC37" s="8"/>
      <c r="AD37" s="40"/>
    </row>
    <row r="38" spans="1:30" ht="15" x14ac:dyDescent="0.25">
      <c r="A38" s="88" t="s">
        <v>241</v>
      </c>
      <c r="B38" s="453">
        <v>16784.856503999999</v>
      </c>
      <c r="C38" s="290"/>
      <c r="E38" s="8"/>
      <c r="F38" s="40"/>
      <c r="G38" s="88" t="s">
        <v>39</v>
      </c>
      <c r="H38" s="453">
        <v>17855.751575999999</v>
      </c>
      <c r="I38" s="8"/>
      <c r="J38" s="8"/>
      <c r="K38" s="8"/>
      <c r="L38" s="40"/>
      <c r="M38" s="88" t="s">
        <v>39</v>
      </c>
      <c r="N38" s="453">
        <v>14747.269992</v>
      </c>
      <c r="Q38" s="8"/>
      <c r="R38" s="40"/>
      <c r="S38" s="88" t="s">
        <v>39</v>
      </c>
      <c r="T38" s="346"/>
      <c r="W38" s="8"/>
      <c r="X38" s="40"/>
      <c r="Y38" s="88" t="s">
        <v>39</v>
      </c>
      <c r="Z38" s="346"/>
      <c r="AC38" s="8"/>
      <c r="AD38" s="40"/>
    </row>
    <row r="39" spans="1:30" ht="15" x14ac:dyDescent="0.25">
      <c r="A39" s="59" t="s">
        <v>242</v>
      </c>
      <c r="B39" s="453"/>
      <c r="C39" s="290"/>
      <c r="E39" s="8" t="e">
        <f t="shared" si="0"/>
        <v>#DIV/0!</v>
      </c>
      <c r="F39" s="40"/>
      <c r="G39" s="59" t="s">
        <v>152</v>
      </c>
      <c r="H39" s="453"/>
      <c r="I39" s="8"/>
      <c r="J39" s="8"/>
      <c r="K39" s="8" t="e">
        <f t="shared" si="1"/>
        <v>#DIV/0!</v>
      </c>
      <c r="L39" s="40"/>
      <c r="M39" s="59" t="s">
        <v>152</v>
      </c>
      <c r="N39" s="453">
        <v>0</v>
      </c>
      <c r="Q39" s="8" t="e">
        <f t="shared" si="2"/>
        <v>#DIV/0!</v>
      </c>
      <c r="R39" s="40"/>
      <c r="S39" s="59" t="s">
        <v>152</v>
      </c>
      <c r="T39" s="346"/>
      <c r="W39" s="8" t="e">
        <f t="shared" si="3"/>
        <v>#DIV/0!</v>
      </c>
      <c r="X39" s="40"/>
      <c r="Y39" s="59" t="s">
        <v>152</v>
      </c>
      <c r="Z39" s="346"/>
      <c r="AC39" s="8" t="e">
        <f t="shared" si="4"/>
        <v>#DIV/0!</v>
      </c>
      <c r="AD39" s="40"/>
    </row>
    <row r="40" spans="1:30" ht="15" x14ac:dyDescent="0.25">
      <c r="A40" s="88" t="s">
        <v>243</v>
      </c>
      <c r="B40" s="453">
        <v>22064.306784</v>
      </c>
      <c r="C40" s="290"/>
      <c r="E40" s="8">
        <f t="shared" si="0"/>
        <v>0</v>
      </c>
      <c r="F40" s="40"/>
      <c r="G40" s="88" t="s">
        <v>40</v>
      </c>
      <c r="H40" s="453">
        <v>21959.668224000001</v>
      </c>
      <c r="I40" s="8"/>
      <c r="J40" s="8"/>
      <c r="K40" s="8">
        <f t="shared" si="1"/>
        <v>0</v>
      </c>
      <c r="L40" s="40"/>
      <c r="M40" s="88" t="s">
        <v>40</v>
      </c>
      <c r="N40" s="453">
        <v>19928.746343999999</v>
      </c>
      <c r="Q40" s="8">
        <f t="shared" si="2"/>
        <v>0</v>
      </c>
      <c r="R40" s="40"/>
      <c r="S40" s="88" t="s">
        <v>40</v>
      </c>
      <c r="T40" s="346"/>
      <c r="W40" s="8" t="e">
        <f t="shared" si="3"/>
        <v>#DIV/0!</v>
      </c>
      <c r="X40" s="40"/>
      <c r="Y40" s="88" t="s">
        <v>40</v>
      </c>
      <c r="Z40" s="346"/>
      <c r="AC40" s="8" t="e">
        <f t="shared" si="4"/>
        <v>#DIV/0!</v>
      </c>
      <c r="AD40" s="40"/>
    </row>
    <row r="41" spans="1:30" ht="15" x14ac:dyDescent="0.25">
      <c r="A41" s="59" t="s">
        <v>244</v>
      </c>
      <c r="B41" s="453">
        <v>1.22</v>
      </c>
      <c r="C41" s="290"/>
      <c r="E41" s="8">
        <f t="shared" si="0"/>
        <v>0</v>
      </c>
      <c r="F41" s="40"/>
      <c r="G41" s="59" t="s">
        <v>153</v>
      </c>
      <c r="H41" s="453">
        <v>13.42</v>
      </c>
      <c r="I41" s="8"/>
      <c r="J41" s="8"/>
      <c r="K41" s="8">
        <f t="shared" si="1"/>
        <v>0</v>
      </c>
      <c r="L41" s="40"/>
      <c r="M41" s="59" t="s">
        <v>153</v>
      </c>
      <c r="N41" s="453">
        <v>11.59</v>
      </c>
      <c r="Q41" s="8">
        <f t="shared" si="2"/>
        <v>0</v>
      </c>
      <c r="R41" s="40"/>
      <c r="S41" s="59" t="s">
        <v>153</v>
      </c>
      <c r="T41" s="346"/>
      <c r="W41" s="8" t="e">
        <f t="shared" si="3"/>
        <v>#DIV/0!</v>
      </c>
      <c r="X41" s="40"/>
      <c r="Y41" s="59" t="s">
        <v>153</v>
      </c>
      <c r="Z41" s="346"/>
      <c r="AC41" s="8" t="e">
        <f t="shared" si="4"/>
        <v>#DIV/0!</v>
      </c>
      <c r="AD41" s="40"/>
    </row>
    <row r="42" spans="1:30" ht="15" x14ac:dyDescent="0.25">
      <c r="A42" s="59" t="s">
        <v>245</v>
      </c>
      <c r="B42" s="453">
        <v>305.92068</v>
      </c>
      <c r="C42" s="290"/>
      <c r="E42" s="8">
        <f t="shared" si="0"/>
        <v>0</v>
      </c>
      <c r="F42" s="40"/>
      <c r="G42" s="59" t="s">
        <v>41</v>
      </c>
      <c r="H42" s="453">
        <v>274.31164799999999</v>
      </c>
      <c r="I42" s="8"/>
      <c r="J42" s="8"/>
      <c r="K42" s="8">
        <f t="shared" si="1"/>
        <v>0</v>
      </c>
      <c r="L42" s="40"/>
      <c r="M42" s="59" t="s">
        <v>41</v>
      </c>
      <c r="N42" s="453">
        <v>365.90236800000002</v>
      </c>
      <c r="Q42" s="8">
        <f t="shared" si="2"/>
        <v>0</v>
      </c>
      <c r="R42" s="40"/>
      <c r="S42" s="59" t="s">
        <v>41</v>
      </c>
      <c r="T42" s="346"/>
      <c r="W42" s="8" t="e">
        <f t="shared" si="3"/>
        <v>#DIV/0!</v>
      </c>
      <c r="X42" s="40"/>
      <c r="Y42" s="59" t="s">
        <v>41</v>
      </c>
      <c r="Z42" s="346"/>
      <c r="AC42" s="8" t="e">
        <f t="shared" si="4"/>
        <v>#DIV/0!</v>
      </c>
      <c r="AD42" s="40"/>
    </row>
    <row r="43" spans="1:30" ht="15" x14ac:dyDescent="0.25">
      <c r="A43" s="59" t="s">
        <v>246</v>
      </c>
      <c r="B43" s="453"/>
      <c r="C43" s="290"/>
      <c r="E43" s="8"/>
      <c r="F43" s="40"/>
      <c r="G43" s="59" t="s">
        <v>154</v>
      </c>
      <c r="H43" s="453">
        <v>1.22</v>
      </c>
      <c r="I43" s="8"/>
      <c r="J43" s="8"/>
      <c r="K43" s="8"/>
      <c r="L43" s="40"/>
      <c r="M43" s="59" t="s">
        <v>154</v>
      </c>
      <c r="N43" s="453">
        <v>0</v>
      </c>
      <c r="Q43" s="8"/>
      <c r="R43" s="40"/>
      <c r="S43" s="59" t="s">
        <v>154</v>
      </c>
      <c r="T43" s="346"/>
      <c r="W43" s="8"/>
      <c r="X43" s="40"/>
      <c r="Y43" s="59" t="s">
        <v>154</v>
      </c>
      <c r="Z43" s="346"/>
      <c r="AC43" s="8"/>
      <c r="AD43" s="40"/>
    </row>
    <row r="44" spans="1:30" ht="15" x14ac:dyDescent="0.25">
      <c r="A44" s="59" t="s">
        <v>247</v>
      </c>
      <c r="B44" s="453">
        <v>41.07</v>
      </c>
      <c r="C44" s="290"/>
      <c r="E44" s="8">
        <f t="shared" si="0"/>
        <v>0</v>
      </c>
      <c r="F44" s="40"/>
      <c r="G44" s="59" t="s">
        <v>155</v>
      </c>
      <c r="H44" s="453">
        <v>86.73</v>
      </c>
      <c r="I44" s="8"/>
      <c r="J44" s="8"/>
      <c r="K44" s="8">
        <f t="shared" si="1"/>
        <v>0</v>
      </c>
      <c r="L44" s="40"/>
      <c r="M44" s="59" t="s">
        <v>155</v>
      </c>
      <c r="N44" s="453">
        <v>82.64</v>
      </c>
      <c r="Q44" s="8">
        <f t="shared" si="2"/>
        <v>0</v>
      </c>
      <c r="R44" s="40"/>
      <c r="S44" s="59" t="s">
        <v>155</v>
      </c>
      <c r="T44" s="346"/>
      <c r="W44" s="8" t="e">
        <f t="shared" si="3"/>
        <v>#DIV/0!</v>
      </c>
      <c r="X44" s="40"/>
      <c r="Y44" s="59" t="s">
        <v>155</v>
      </c>
      <c r="Z44" s="346"/>
      <c r="AC44" s="8" t="e">
        <f t="shared" si="4"/>
        <v>#DIV/0!</v>
      </c>
      <c r="AD44" s="40"/>
    </row>
    <row r="45" spans="1:30" ht="15" x14ac:dyDescent="0.25">
      <c r="A45" s="59" t="s">
        <v>248</v>
      </c>
      <c r="B45" s="453"/>
      <c r="C45" s="290"/>
      <c r="E45" s="8"/>
      <c r="F45" s="40"/>
      <c r="G45" s="59" t="s">
        <v>156</v>
      </c>
      <c r="H45" s="453"/>
      <c r="I45" s="8"/>
      <c r="J45" s="8"/>
      <c r="K45" s="8"/>
      <c r="L45" s="40"/>
      <c r="M45" s="59" t="s">
        <v>156</v>
      </c>
      <c r="N45" s="453">
        <v>0</v>
      </c>
      <c r="Q45" s="8"/>
      <c r="R45" s="40"/>
      <c r="S45" s="59" t="s">
        <v>156</v>
      </c>
      <c r="T45" s="346"/>
      <c r="W45" s="8"/>
      <c r="X45" s="40"/>
      <c r="Y45" s="59" t="s">
        <v>156</v>
      </c>
      <c r="Z45" s="346"/>
      <c r="AC45" s="8"/>
      <c r="AD45" s="40"/>
    </row>
    <row r="46" spans="1:30" ht="15" x14ac:dyDescent="0.25">
      <c r="A46" s="59" t="s">
        <v>249</v>
      </c>
      <c r="B46" s="453">
        <v>44.25</v>
      </c>
      <c r="C46" s="290"/>
      <c r="E46" s="8"/>
      <c r="F46" s="40"/>
      <c r="G46" s="59" t="s">
        <v>157</v>
      </c>
      <c r="H46" s="453">
        <v>50.83</v>
      </c>
      <c r="I46" s="8"/>
      <c r="J46" s="8"/>
      <c r="K46" s="8"/>
      <c r="L46" s="40"/>
      <c r="M46" s="59" t="s">
        <v>157</v>
      </c>
      <c r="N46" s="453">
        <v>45.45</v>
      </c>
      <c r="Q46" s="8"/>
      <c r="R46" s="40"/>
      <c r="S46" s="59" t="s">
        <v>157</v>
      </c>
      <c r="T46" s="346"/>
      <c r="W46" s="8"/>
      <c r="X46" s="40"/>
      <c r="Y46" s="59" t="s">
        <v>157</v>
      </c>
      <c r="Z46" s="346"/>
      <c r="AC46" s="8"/>
      <c r="AD46" s="40"/>
    </row>
    <row r="47" spans="1:30" ht="15" x14ac:dyDescent="0.25">
      <c r="A47" s="59" t="s">
        <v>250</v>
      </c>
      <c r="B47" s="453">
        <v>695.123154</v>
      </c>
      <c r="C47" s="290"/>
      <c r="E47" s="8"/>
      <c r="F47" s="40"/>
      <c r="G47" s="59" t="s">
        <v>158</v>
      </c>
      <c r="H47" s="453">
        <v>735.25827300000003</v>
      </c>
      <c r="I47" s="8"/>
      <c r="J47" s="8"/>
      <c r="K47" s="8"/>
      <c r="L47" s="40"/>
      <c r="M47" s="59" t="s">
        <v>158</v>
      </c>
      <c r="N47" s="453">
        <v>710.81000700000004</v>
      </c>
      <c r="Q47" s="8"/>
      <c r="R47" s="40"/>
      <c r="S47" s="59" t="s">
        <v>158</v>
      </c>
      <c r="T47" s="346"/>
      <c r="W47" s="8"/>
      <c r="X47" s="40"/>
      <c r="Y47" s="59" t="s">
        <v>158</v>
      </c>
      <c r="Z47" s="346"/>
      <c r="AC47" s="8"/>
      <c r="AD47" s="40"/>
    </row>
    <row r="48" spans="1:30" ht="15" x14ac:dyDescent="0.25">
      <c r="A48" s="88" t="s">
        <v>251</v>
      </c>
      <c r="B48" s="453">
        <v>537.41750400000001</v>
      </c>
      <c r="C48" s="290"/>
      <c r="E48" s="8"/>
      <c r="F48" s="40"/>
      <c r="G48" s="88" t="s">
        <v>58</v>
      </c>
      <c r="H48" s="453">
        <v>674.58612000000005</v>
      </c>
      <c r="I48" s="8"/>
      <c r="J48" s="8"/>
      <c r="K48" s="8"/>
      <c r="L48" s="40"/>
      <c r="M48" s="88" t="s">
        <v>58</v>
      </c>
      <c r="N48" s="453">
        <v>535.12773600000003</v>
      </c>
      <c r="Q48" s="8"/>
      <c r="R48" s="40"/>
      <c r="S48" s="88" t="s">
        <v>58</v>
      </c>
      <c r="T48" s="346"/>
      <c r="W48" s="8"/>
      <c r="X48" s="40"/>
      <c r="Y48" s="88" t="s">
        <v>58</v>
      </c>
      <c r="Z48" s="346"/>
      <c r="AC48" s="8"/>
      <c r="AD48" s="40"/>
    </row>
    <row r="49" spans="1:30" ht="15" x14ac:dyDescent="0.25">
      <c r="A49" s="59" t="s">
        <v>252</v>
      </c>
      <c r="B49" s="453">
        <v>440.70602400000001</v>
      </c>
      <c r="C49" s="290"/>
      <c r="E49" s="8">
        <f t="shared" si="0"/>
        <v>0</v>
      </c>
      <c r="F49" s="40"/>
      <c r="G49" s="59" t="s">
        <v>159</v>
      </c>
      <c r="H49" s="453">
        <v>520.64186700000005</v>
      </c>
      <c r="I49" s="8"/>
      <c r="J49" s="8"/>
      <c r="K49" s="8">
        <f t="shared" si="1"/>
        <v>0</v>
      </c>
      <c r="L49" s="40"/>
      <c r="M49" s="59" t="s">
        <v>159</v>
      </c>
      <c r="N49" s="453">
        <v>573.34280799999999</v>
      </c>
      <c r="Q49" s="8">
        <f t="shared" si="2"/>
        <v>0</v>
      </c>
      <c r="R49" s="40"/>
      <c r="S49" s="59" t="s">
        <v>159</v>
      </c>
      <c r="T49" s="346"/>
      <c r="W49" s="8" t="e">
        <f t="shared" si="3"/>
        <v>#DIV/0!</v>
      </c>
      <c r="X49" s="40"/>
      <c r="Y49" s="59" t="s">
        <v>159</v>
      </c>
      <c r="Z49" s="346"/>
      <c r="AC49" s="8" t="e">
        <f t="shared" si="4"/>
        <v>#DIV/0!</v>
      </c>
      <c r="AD49" s="40"/>
    </row>
    <row r="50" spans="1:30" ht="15" x14ac:dyDescent="0.25">
      <c r="A50" s="59" t="s">
        <v>253</v>
      </c>
      <c r="B50" s="453">
        <v>656.32399999999996</v>
      </c>
      <c r="C50" s="290"/>
      <c r="E50" s="8">
        <f t="shared" si="0"/>
        <v>0</v>
      </c>
      <c r="F50" s="40"/>
      <c r="G50" s="59" t="s">
        <v>160</v>
      </c>
      <c r="H50" s="453">
        <v>577.99400000000003</v>
      </c>
      <c r="I50" s="8"/>
      <c r="J50" s="8"/>
      <c r="K50" s="8">
        <f t="shared" si="1"/>
        <v>0</v>
      </c>
      <c r="L50" s="40"/>
      <c r="M50" s="59" t="s">
        <v>160</v>
      </c>
      <c r="N50" s="453">
        <v>555.71600000000001</v>
      </c>
      <c r="Q50" s="8">
        <f t="shared" si="2"/>
        <v>0</v>
      </c>
      <c r="R50" s="40"/>
      <c r="S50" s="59" t="s">
        <v>160</v>
      </c>
      <c r="T50" s="346"/>
      <c r="W50" s="8" t="e">
        <f t="shared" si="3"/>
        <v>#DIV/0!</v>
      </c>
      <c r="X50" s="40"/>
      <c r="Y50" s="59" t="s">
        <v>160</v>
      </c>
      <c r="Z50" s="346"/>
      <c r="AC50" s="8" t="e">
        <f t="shared" si="4"/>
        <v>#DIV/0!</v>
      </c>
      <c r="AD50" s="40"/>
    </row>
    <row r="51" spans="1:30" ht="15" x14ac:dyDescent="0.25">
      <c r="A51" s="59" t="s">
        <v>254</v>
      </c>
      <c r="B51" s="453">
        <v>2773.9452000000001</v>
      </c>
      <c r="C51" s="290"/>
      <c r="E51" s="8">
        <f t="shared" si="0"/>
        <v>0</v>
      </c>
      <c r="F51" s="40"/>
      <c r="G51" s="59" t="s">
        <v>42</v>
      </c>
      <c r="H51" s="453">
        <v>2801.1921600000001</v>
      </c>
      <c r="I51" s="8"/>
      <c r="J51" s="8"/>
      <c r="K51" s="8">
        <f t="shared" si="1"/>
        <v>0</v>
      </c>
      <c r="L51" s="40"/>
      <c r="M51" s="59" t="s">
        <v>42</v>
      </c>
      <c r="N51" s="453">
        <v>2647.944</v>
      </c>
      <c r="Q51" s="8">
        <f t="shared" si="2"/>
        <v>0</v>
      </c>
      <c r="R51" s="40"/>
      <c r="S51" s="59" t="s">
        <v>42</v>
      </c>
      <c r="T51" s="346"/>
      <c r="W51" s="8" t="e">
        <f t="shared" si="3"/>
        <v>#DIV/0!</v>
      </c>
      <c r="X51" s="40"/>
      <c r="Y51" s="59" t="s">
        <v>42</v>
      </c>
      <c r="Z51" s="346"/>
      <c r="AC51" s="8" t="e">
        <f t="shared" si="4"/>
        <v>#DIV/0!</v>
      </c>
      <c r="AD51" s="40"/>
    </row>
    <row r="52" spans="1:30" ht="15" x14ac:dyDescent="0.25">
      <c r="A52" s="88" t="s">
        <v>255</v>
      </c>
      <c r="B52" s="453">
        <v>427.16494499999999</v>
      </c>
      <c r="C52" s="290"/>
      <c r="E52" s="8"/>
      <c r="F52" s="40"/>
      <c r="G52" s="88" t="s">
        <v>161</v>
      </c>
      <c r="H52" s="453">
        <v>552.22812099999999</v>
      </c>
      <c r="I52" s="8"/>
      <c r="J52" s="8"/>
      <c r="K52" s="8"/>
      <c r="L52" s="40"/>
      <c r="M52" s="88" t="s">
        <v>161</v>
      </c>
      <c r="N52" s="453">
        <v>452.58690899999999</v>
      </c>
      <c r="Q52" s="8"/>
      <c r="R52" s="40"/>
      <c r="S52" s="88" t="s">
        <v>161</v>
      </c>
      <c r="T52" s="346"/>
      <c r="W52" s="8"/>
      <c r="X52" s="40"/>
      <c r="Y52" s="88" t="s">
        <v>161</v>
      </c>
      <c r="Z52" s="346"/>
      <c r="AC52" s="8"/>
      <c r="AD52" s="40"/>
    </row>
    <row r="53" spans="1:30" ht="15" x14ac:dyDescent="0.25">
      <c r="A53" s="59" t="s">
        <v>256</v>
      </c>
      <c r="B53" s="453">
        <v>6360.1696080000002</v>
      </c>
      <c r="C53" s="290"/>
      <c r="E53" s="8">
        <f t="shared" si="0"/>
        <v>0</v>
      </c>
      <c r="F53" s="40"/>
      <c r="G53" s="59" t="s">
        <v>11</v>
      </c>
      <c r="H53" s="453">
        <v>6183.2050799999997</v>
      </c>
      <c r="I53" s="8"/>
      <c r="J53" s="8"/>
      <c r="K53" s="8">
        <f t="shared" si="1"/>
        <v>0</v>
      </c>
      <c r="L53" s="40"/>
      <c r="M53" s="59" t="s">
        <v>11</v>
      </c>
      <c r="N53" s="453">
        <v>5511.2029439999997</v>
      </c>
      <c r="Q53" s="8">
        <f t="shared" si="2"/>
        <v>0</v>
      </c>
      <c r="R53" s="40"/>
      <c r="S53" s="59" t="s">
        <v>11</v>
      </c>
      <c r="T53" s="346"/>
      <c r="W53" s="8" t="e">
        <f t="shared" si="3"/>
        <v>#DIV/0!</v>
      </c>
      <c r="X53" s="40"/>
      <c r="Y53" s="59" t="s">
        <v>11</v>
      </c>
      <c r="Z53" s="346"/>
      <c r="AC53" s="8" t="e">
        <f t="shared" si="4"/>
        <v>#DIV/0!</v>
      </c>
      <c r="AD53" s="40"/>
    </row>
    <row r="54" spans="1:30" ht="15" x14ac:dyDescent="0.25">
      <c r="A54" s="59" t="s">
        <v>257</v>
      </c>
      <c r="B54" s="453">
        <v>16019.833635000001</v>
      </c>
      <c r="C54" s="290"/>
      <c r="E54" s="8">
        <f t="shared" si="0"/>
        <v>0</v>
      </c>
      <c r="F54" s="40"/>
      <c r="G54" s="59" t="s">
        <v>13</v>
      </c>
      <c r="H54" s="453">
        <v>17126.374005000001</v>
      </c>
      <c r="I54" s="8"/>
      <c r="J54" s="8"/>
      <c r="K54" s="8">
        <f t="shared" si="1"/>
        <v>0</v>
      </c>
      <c r="L54" s="40"/>
      <c r="M54" s="59" t="s">
        <v>13</v>
      </c>
      <c r="N54" s="453">
        <v>16091.42769</v>
      </c>
      <c r="Q54" s="8">
        <f t="shared" si="2"/>
        <v>0</v>
      </c>
      <c r="R54" s="40"/>
      <c r="S54" s="59" t="s">
        <v>13</v>
      </c>
      <c r="T54" s="346"/>
      <c r="W54" s="8" t="e">
        <f t="shared" si="3"/>
        <v>#DIV/0!</v>
      </c>
      <c r="X54" s="40"/>
      <c r="Y54" s="59" t="s">
        <v>13</v>
      </c>
      <c r="Z54" s="346"/>
      <c r="AC54" s="8" t="e">
        <f t="shared" si="4"/>
        <v>#DIV/0!</v>
      </c>
      <c r="AD54" s="40"/>
    </row>
    <row r="55" spans="1:30" ht="15" x14ac:dyDescent="0.25">
      <c r="A55" s="59" t="s">
        <v>258</v>
      </c>
      <c r="B55" s="453">
        <v>57.06</v>
      </c>
      <c r="C55" s="290"/>
      <c r="E55" s="8">
        <f t="shared" si="0"/>
        <v>0</v>
      </c>
      <c r="F55" s="40"/>
      <c r="G55" s="59" t="s">
        <v>162</v>
      </c>
      <c r="H55" s="453">
        <v>34.380000000000003</v>
      </c>
      <c r="I55" s="8"/>
      <c r="J55" s="8"/>
      <c r="K55" s="8">
        <f t="shared" si="1"/>
        <v>0</v>
      </c>
      <c r="L55" s="40"/>
      <c r="M55" s="59" t="s">
        <v>162</v>
      </c>
      <c r="N55" s="453">
        <v>42.42</v>
      </c>
      <c r="Q55" s="8">
        <f t="shared" si="2"/>
        <v>0</v>
      </c>
      <c r="R55" s="40"/>
      <c r="S55" s="59" t="s">
        <v>162</v>
      </c>
      <c r="T55" s="346"/>
      <c r="W55" s="8" t="e">
        <f t="shared" si="3"/>
        <v>#DIV/0!</v>
      </c>
      <c r="X55" s="40"/>
      <c r="Y55" s="59" t="s">
        <v>162</v>
      </c>
      <c r="Z55" s="346"/>
      <c r="AC55" s="8" t="e">
        <f t="shared" si="4"/>
        <v>#DIV/0!</v>
      </c>
      <c r="AD55" s="40"/>
    </row>
    <row r="56" spans="1:30" ht="15" x14ac:dyDescent="0.25">
      <c r="A56" s="59" t="s">
        <v>259</v>
      </c>
      <c r="B56" s="453">
        <v>49.16</v>
      </c>
      <c r="C56" s="290"/>
      <c r="E56" s="8"/>
      <c r="F56" s="40"/>
      <c r="G56" s="59" t="s">
        <v>163</v>
      </c>
      <c r="H56" s="453">
        <v>52.64</v>
      </c>
      <c r="I56" s="8"/>
      <c r="J56" s="8"/>
      <c r="K56" s="8"/>
      <c r="L56" s="40"/>
      <c r="M56" s="59" t="s">
        <v>163</v>
      </c>
      <c r="N56" s="453">
        <v>47.58</v>
      </c>
      <c r="Q56" s="8"/>
      <c r="R56" s="40"/>
      <c r="S56" s="59" t="s">
        <v>163</v>
      </c>
      <c r="T56" s="346"/>
      <c r="W56" s="8"/>
      <c r="X56" s="40"/>
      <c r="Y56" s="59" t="s">
        <v>163</v>
      </c>
      <c r="Z56" s="346"/>
      <c r="AC56" s="8"/>
      <c r="AD56" s="40"/>
    </row>
    <row r="57" spans="1:30" ht="15" x14ac:dyDescent="0.25">
      <c r="A57" s="59" t="s">
        <v>260</v>
      </c>
      <c r="B57" s="453"/>
      <c r="C57" s="290"/>
      <c r="E57" s="8" t="e">
        <f t="shared" si="0"/>
        <v>#DIV/0!</v>
      </c>
      <c r="F57" s="40"/>
      <c r="G57" s="59" t="s">
        <v>164</v>
      </c>
      <c r="H57" s="453"/>
      <c r="I57" s="8"/>
      <c r="J57" s="8"/>
      <c r="K57" s="8" t="e">
        <f t="shared" si="1"/>
        <v>#DIV/0!</v>
      </c>
      <c r="L57" s="40"/>
      <c r="M57" s="59" t="s">
        <v>164</v>
      </c>
      <c r="N57" s="453">
        <v>0.6</v>
      </c>
      <c r="Q57" s="8">
        <f t="shared" si="2"/>
        <v>0</v>
      </c>
      <c r="R57" s="40"/>
      <c r="S57" s="59" t="s">
        <v>164</v>
      </c>
      <c r="T57" s="346"/>
      <c r="W57" s="8" t="e">
        <f t="shared" si="3"/>
        <v>#DIV/0!</v>
      </c>
      <c r="X57" s="40"/>
      <c r="Y57" s="59" t="s">
        <v>164</v>
      </c>
      <c r="Z57" s="346"/>
      <c r="AC57" s="8" t="e">
        <f t="shared" si="4"/>
        <v>#DIV/0!</v>
      </c>
      <c r="AD57" s="40"/>
    </row>
    <row r="58" spans="1:30" ht="15" x14ac:dyDescent="0.25">
      <c r="A58" s="59" t="s">
        <v>314</v>
      </c>
      <c r="B58" s="453"/>
      <c r="C58" s="290"/>
      <c r="E58" s="8"/>
      <c r="F58" s="40"/>
      <c r="G58" s="88" t="s">
        <v>203</v>
      </c>
      <c r="H58" s="453"/>
      <c r="I58" s="8"/>
      <c r="J58" s="8"/>
      <c r="K58" s="8"/>
      <c r="L58" s="40"/>
      <c r="M58" s="88" t="s">
        <v>203</v>
      </c>
      <c r="N58" s="453">
        <v>0</v>
      </c>
      <c r="Q58" s="8"/>
      <c r="R58" s="40"/>
      <c r="S58" s="88" t="s">
        <v>203</v>
      </c>
      <c r="T58" s="346"/>
      <c r="W58" s="8"/>
      <c r="X58" s="40"/>
      <c r="Y58" s="88" t="s">
        <v>203</v>
      </c>
      <c r="Z58" s="346"/>
      <c r="AC58" s="8"/>
      <c r="AD58" s="40"/>
    </row>
    <row r="59" spans="1:30" ht="15" x14ac:dyDescent="0.25">
      <c r="A59" s="88" t="s">
        <v>261</v>
      </c>
      <c r="B59" s="453">
        <v>119.170272</v>
      </c>
      <c r="C59" s="290"/>
      <c r="E59" s="8">
        <f t="shared" si="0"/>
        <v>0</v>
      </c>
      <c r="F59" s="40"/>
      <c r="G59" s="59" t="s">
        <v>57</v>
      </c>
      <c r="H59" s="453">
        <v>69.985032000000004</v>
      </c>
      <c r="I59" s="8"/>
      <c r="J59" s="8"/>
      <c r="K59" s="8">
        <f t="shared" si="1"/>
        <v>0</v>
      </c>
      <c r="L59" s="40"/>
      <c r="M59" s="59" t="s">
        <v>57</v>
      </c>
      <c r="N59" s="453">
        <v>118.888848</v>
      </c>
      <c r="Q59" s="8">
        <f t="shared" si="2"/>
        <v>0</v>
      </c>
      <c r="R59" s="40"/>
      <c r="S59" s="59" t="s">
        <v>57</v>
      </c>
      <c r="T59" s="346"/>
      <c r="W59" s="8" t="e">
        <f t="shared" si="3"/>
        <v>#DIV/0!</v>
      </c>
      <c r="X59" s="40"/>
      <c r="Y59" s="59" t="s">
        <v>57</v>
      </c>
      <c r="Z59" s="346"/>
      <c r="AC59" s="8" t="e">
        <f t="shared" si="4"/>
        <v>#DIV/0!</v>
      </c>
      <c r="AD59" s="40"/>
    </row>
    <row r="60" spans="1:30" ht="15" x14ac:dyDescent="0.25">
      <c r="A60" s="88" t="s">
        <v>262</v>
      </c>
      <c r="B60" s="453">
        <v>44.708039999999997</v>
      </c>
      <c r="C60" s="290"/>
      <c r="E60" s="8"/>
      <c r="F60" s="40"/>
      <c r="G60" s="88" t="s">
        <v>56</v>
      </c>
      <c r="H60" s="453">
        <v>21.094007999999999</v>
      </c>
      <c r="I60" s="8"/>
      <c r="J60" s="8"/>
      <c r="K60" s="8"/>
      <c r="L60" s="40"/>
      <c r="M60" s="88" t="s">
        <v>56</v>
      </c>
      <c r="N60" s="453">
        <v>39.117936</v>
      </c>
      <c r="Q60" s="8"/>
      <c r="R60" s="40"/>
      <c r="S60" s="88" t="s">
        <v>56</v>
      </c>
      <c r="T60" s="346"/>
      <c r="W60" s="8"/>
      <c r="X60" s="40"/>
      <c r="Y60" s="88" t="s">
        <v>56</v>
      </c>
      <c r="Z60" s="346"/>
      <c r="AC60" s="8"/>
      <c r="AD60" s="40"/>
    </row>
    <row r="61" spans="1:30" ht="15" x14ac:dyDescent="0.25">
      <c r="A61" s="59" t="s">
        <v>263</v>
      </c>
      <c r="B61" s="453">
        <v>715.04721600000005</v>
      </c>
      <c r="C61" s="290"/>
      <c r="E61" s="8"/>
      <c r="F61" s="40"/>
      <c r="G61" s="88" t="s">
        <v>43</v>
      </c>
      <c r="H61" s="453">
        <v>849.36321599999997</v>
      </c>
      <c r="I61" s="8"/>
      <c r="J61" s="8"/>
      <c r="K61" s="8"/>
      <c r="L61" s="40"/>
      <c r="M61" s="88" t="s">
        <v>43</v>
      </c>
      <c r="N61" s="453">
        <v>549.30127200000004</v>
      </c>
      <c r="Q61" s="8"/>
      <c r="R61" s="40"/>
      <c r="S61" s="88" t="s">
        <v>43</v>
      </c>
      <c r="T61" s="346"/>
      <c r="W61" s="8"/>
      <c r="X61" s="40"/>
      <c r="Y61" s="88" t="s">
        <v>43</v>
      </c>
      <c r="Z61" s="346"/>
      <c r="AC61" s="8"/>
      <c r="AD61" s="40"/>
    </row>
    <row r="62" spans="1:30" ht="15" x14ac:dyDescent="0.25">
      <c r="A62" s="59" t="s">
        <v>264</v>
      </c>
      <c r="B62" s="453">
        <v>19.22</v>
      </c>
      <c r="C62" s="290"/>
      <c r="E62" s="8">
        <f t="shared" si="0"/>
        <v>0</v>
      </c>
      <c r="F62" s="40"/>
      <c r="G62" s="59" t="s">
        <v>165</v>
      </c>
      <c r="H62" s="453">
        <v>21.7</v>
      </c>
      <c r="I62" s="8"/>
      <c r="J62" s="8"/>
      <c r="K62" s="8">
        <f t="shared" si="1"/>
        <v>0</v>
      </c>
      <c r="L62" s="40"/>
      <c r="M62" s="59" t="s">
        <v>165</v>
      </c>
      <c r="N62" s="453">
        <v>45.14</v>
      </c>
      <c r="Q62" s="8">
        <f t="shared" si="2"/>
        <v>0</v>
      </c>
      <c r="R62" s="40"/>
      <c r="S62" s="59" t="s">
        <v>165</v>
      </c>
      <c r="T62" s="346"/>
      <c r="W62" s="8" t="e">
        <f t="shared" si="3"/>
        <v>#DIV/0!</v>
      </c>
      <c r="X62" s="40"/>
      <c r="Y62" s="59" t="s">
        <v>165</v>
      </c>
      <c r="Z62" s="346"/>
      <c r="AC62" s="8" t="e">
        <f t="shared" si="4"/>
        <v>#DIV/0!</v>
      </c>
      <c r="AD62" s="40"/>
    </row>
    <row r="63" spans="1:30" ht="15" x14ac:dyDescent="0.25">
      <c r="A63" s="59" t="s">
        <v>265</v>
      </c>
      <c r="B63" s="453">
        <v>452.54</v>
      </c>
      <c r="C63" s="290"/>
      <c r="E63" s="8">
        <f t="shared" si="0"/>
        <v>0</v>
      </c>
      <c r="F63" s="40"/>
      <c r="G63" s="59" t="s">
        <v>166</v>
      </c>
      <c r="H63" s="453">
        <v>422.12</v>
      </c>
      <c r="I63" s="8"/>
      <c r="J63" s="8"/>
      <c r="K63" s="8">
        <f t="shared" si="1"/>
        <v>0</v>
      </c>
      <c r="L63" s="40"/>
      <c r="M63" s="59" t="s">
        <v>166</v>
      </c>
      <c r="N63" s="453">
        <v>350.73</v>
      </c>
      <c r="Q63" s="8">
        <f t="shared" si="2"/>
        <v>0</v>
      </c>
      <c r="R63" s="40"/>
      <c r="S63" s="59" t="s">
        <v>166</v>
      </c>
      <c r="T63" s="346"/>
      <c r="W63" s="8" t="e">
        <f t="shared" si="3"/>
        <v>#DIV/0!</v>
      </c>
      <c r="X63" s="40"/>
      <c r="Y63" s="59" t="s">
        <v>166</v>
      </c>
      <c r="Z63" s="346"/>
      <c r="AC63" s="8" t="e">
        <f t="shared" si="4"/>
        <v>#DIV/0!</v>
      </c>
      <c r="AD63" s="40"/>
    </row>
    <row r="64" spans="1:30" ht="15" x14ac:dyDescent="0.25">
      <c r="A64" s="88" t="s">
        <v>266</v>
      </c>
      <c r="B64" s="453">
        <v>64.906608000000006</v>
      </c>
      <c r="C64" s="290"/>
      <c r="E64" s="8"/>
      <c r="F64" s="40"/>
      <c r="G64" s="59" t="s">
        <v>55</v>
      </c>
      <c r="H64" s="453">
        <v>70.061784000000003</v>
      </c>
      <c r="I64" s="8"/>
      <c r="J64" s="8"/>
      <c r="K64" s="8"/>
      <c r="L64" s="40"/>
      <c r="M64" s="59" t="s">
        <v>55</v>
      </c>
      <c r="N64" s="453">
        <v>103.013976</v>
      </c>
      <c r="Q64" s="8"/>
      <c r="R64" s="40"/>
      <c r="S64" s="59" t="s">
        <v>55</v>
      </c>
      <c r="T64" s="346"/>
      <c r="W64" s="8"/>
      <c r="X64" s="40"/>
      <c r="Y64" s="59" t="s">
        <v>55</v>
      </c>
      <c r="Z64" s="346"/>
      <c r="AC64" s="8"/>
      <c r="AD64" s="40"/>
    </row>
    <row r="65" spans="1:30" ht="15" x14ac:dyDescent="0.25">
      <c r="A65" s="88" t="s">
        <v>267</v>
      </c>
      <c r="B65" s="453">
        <v>11.25</v>
      </c>
      <c r="C65" s="290"/>
      <c r="E65" s="8"/>
      <c r="F65" s="40"/>
      <c r="G65" s="88" t="s">
        <v>167</v>
      </c>
      <c r="H65" s="453">
        <v>10.37</v>
      </c>
      <c r="I65" s="8"/>
      <c r="J65" s="8"/>
      <c r="K65" s="8"/>
      <c r="L65" s="40"/>
      <c r="M65" s="88" t="s">
        <v>167</v>
      </c>
      <c r="N65" s="453">
        <v>15.7</v>
      </c>
      <c r="Q65" s="8"/>
      <c r="R65" s="40"/>
      <c r="S65" s="88" t="s">
        <v>167</v>
      </c>
      <c r="T65" s="346"/>
      <c r="W65" s="8"/>
      <c r="X65" s="40"/>
      <c r="Y65" s="88" t="s">
        <v>167</v>
      </c>
      <c r="Z65" s="346"/>
      <c r="AC65" s="8"/>
      <c r="AD65" s="40"/>
    </row>
    <row r="66" spans="1:30" ht="15" x14ac:dyDescent="0.25">
      <c r="A66" s="88" t="s">
        <v>268</v>
      </c>
      <c r="B66" s="453">
        <v>10964.130649999999</v>
      </c>
      <c r="C66" s="290"/>
      <c r="E66" s="8"/>
      <c r="F66" s="40"/>
      <c r="G66" s="88" t="s">
        <v>73</v>
      </c>
      <c r="H66" s="453">
        <v>10586.575939</v>
      </c>
      <c r="I66" s="8"/>
      <c r="J66" s="8"/>
      <c r="K66" s="8"/>
      <c r="L66" s="40"/>
      <c r="M66" s="88" t="s">
        <v>73</v>
      </c>
      <c r="N66" s="453">
        <v>11210.659275</v>
      </c>
      <c r="Q66" s="8"/>
      <c r="R66" s="40"/>
      <c r="S66" s="88" t="s">
        <v>73</v>
      </c>
      <c r="T66" s="346"/>
      <c r="W66" s="8"/>
      <c r="X66" s="40"/>
      <c r="Y66" s="88" t="s">
        <v>73</v>
      </c>
      <c r="Z66" s="346"/>
      <c r="AC66" s="8"/>
      <c r="AD66" s="40"/>
    </row>
    <row r="67" spans="1:30" ht="15" x14ac:dyDescent="0.25">
      <c r="A67" s="88" t="s">
        <v>269</v>
      </c>
      <c r="B67" s="453"/>
      <c r="C67" s="290"/>
      <c r="E67" s="8"/>
      <c r="F67" s="40"/>
      <c r="G67" s="88" t="s">
        <v>168</v>
      </c>
      <c r="H67" s="453"/>
      <c r="I67" s="8"/>
      <c r="J67" s="8"/>
      <c r="K67" s="8"/>
      <c r="L67" s="40"/>
      <c r="M67" s="88" t="s">
        <v>168</v>
      </c>
      <c r="N67" s="453">
        <v>0.61</v>
      </c>
      <c r="Q67" s="8"/>
      <c r="R67" s="40"/>
      <c r="S67" s="88" t="s">
        <v>168</v>
      </c>
      <c r="T67" s="346"/>
      <c r="W67" s="8"/>
      <c r="X67" s="40"/>
      <c r="Y67" s="88" t="s">
        <v>168</v>
      </c>
      <c r="Z67" s="346"/>
      <c r="AC67" s="8"/>
      <c r="AD67" s="40"/>
    </row>
    <row r="68" spans="1:30" ht="15" x14ac:dyDescent="0.25">
      <c r="A68" s="88" t="s">
        <v>313</v>
      </c>
      <c r="B68" s="453">
        <v>4.2</v>
      </c>
      <c r="C68" s="290"/>
      <c r="E68" s="8"/>
      <c r="F68" s="40"/>
      <c r="G68" s="88" t="s">
        <v>169</v>
      </c>
      <c r="H68" s="453">
        <v>7.8</v>
      </c>
      <c r="I68" s="8"/>
      <c r="J68" s="8"/>
      <c r="K68" s="8"/>
      <c r="L68" s="40"/>
      <c r="M68" s="88" t="s">
        <v>169</v>
      </c>
      <c r="N68" s="453">
        <v>1.47</v>
      </c>
      <c r="Q68" s="8"/>
      <c r="R68" s="40"/>
      <c r="S68" s="88" t="s">
        <v>169</v>
      </c>
      <c r="T68" s="346"/>
      <c r="W68" s="8"/>
      <c r="X68" s="40"/>
      <c r="Y68" s="88" t="s">
        <v>169</v>
      </c>
      <c r="Z68" s="346"/>
      <c r="AC68" s="8"/>
      <c r="AD68" s="40"/>
    </row>
    <row r="69" spans="1:30" ht="15" x14ac:dyDescent="0.25">
      <c r="A69" s="88" t="s">
        <v>270</v>
      </c>
      <c r="B69" s="453"/>
      <c r="C69" s="290"/>
      <c r="E69" s="8"/>
      <c r="F69" s="40"/>
      <c r="G69" s="88" t="s">
        <v>170</v>
      </c>
      <c r="H69" s="453">
        <v>1.8</v>
      </c>
      <c r="I69" s="8"/>
      <c r="J69" s="8"/>
      <c r="K69" s="8"/>
      <c r="L69" s="40"/>
      <c r="M69" s="88" t="s">
        <v>170</v>
      </c>
      <c r="N69" s="453">
        <v>2.48</v>
      </c>
      <c r="Q69" s="8"/>
      <c r="R69" s="40"/>
      <c r="S69" s="88" t="s">
        <v>170</v>
      </c>
      <c r="T69" s="346"/>
      <c r="W69" s="8"/>
      <c r="X69" s="40"/>
      <c r="Y69" s="88" t="s">
        <v>170</v>
      </c>
      <c r="Z69" s="346"/>
      <c r="AC69" s="8"/>
      <c r="AD69" s="40"/>
    </row>
    <row r="70" spans="1:30" ht="15" x14ac:dyDescent="0.25">
      <c r="A70" s="88" t="s">
        <v>312</v>
      </c>
      <c r="B70" s="453"/>
      <c r="C70" s="290"/>
      <c r="E70" s="8"/>
      <c r="F70" s="40"/>
      <c r="G70" s="88" t="s">
        <v>204</v>
      </c>
      <c r="H70" s="453"/>
      <c r="I70" s="8"/>
      <c r="J70" s="8"/>
      <c r="K70" s="8"/>
      <c r="L70" s="40"/>
      <c r="M70" s="88" t="s">
        <v>204</v>
      </c>
      <c r="N70" s="453">
        <v>0</v>
      </c>
      <c r="Q70" s="8"/>
      <c r="R70" s="40"/>
      <c r="S70" s="88" t="s">
        <v>204</v>
      </c>
      <c r="T70" s="346"/>
      <c r="W70" s="8"/>
      <c r="X70" s="40"/>
      <c r="Y70" s="88" t="s">
        <v>204</v>
      </c>
      <c r="Z70" s="346"/>
      <c r="AC70" s="8"/>
      <c r="AD70" s="40"/>
    </row>
    <row r="71" spans="1:30" ht="15" x14ac:dyDescent="0.25">
      <c r="A71" s="88" t="s">
        <v>271</v>
      </c>
      <c r="B71" s="453">
        <v>44.8</v>
      </c>
      <c r="C71" s="290"/>
      <c r="E71" s="8"/>
      <c r="F71" s="40"/>
      <c r="G71" s="88" t="s">
        <v>171</v>
      </c>
      <c r="H71" s="453">
        <v>24.4</v>
      </c>
      <c r="I71" s="8"/>
      <c r="J71" s="8"/>
      <c r="K71" s="8"/>
      <c r="L71" s="40"/>
      <c r="M71" s="88" t="s">
        <v>171</v>
      </c>
      <c r="N71" s="453">
        <v>56.12</v>
      </c>
      <c r="Q71" s="8"/>
      <c r="R71" s="40"/>
      <c r="S71" s="88" t="s">
        <v>171</v>
      </c>
      <c r="T71" s="346"/>
      <c r="W71" s="8"/>
      <c r="X71" s="40"/>
      <c r="Y71" s="88" t="s">
        <v>171</v>
      </c>
      <c r="Z71" s="346"/>
      <c r="AC71" s="8"/>
      <c r="AD71" s="40"/>
    </row>
    <row r="72" spans="1:30" ht="15" x14ac:dyDescent="0.25">
      <c r="A72" s="88" t="s">
        <v>94</v>
      </c>
      <c r="B72" s="453">
        <v>25.01</v>
      </c>
      <c r="C72" s="290"/>
      <c r="E72" s="8"/>
      <c r="F72" s="40"/>
      <c r="G72" s="88" t="s">
        <v>172</v>
      </c>
      <c r="H72" s="453">
        <v>26.23</v>
      </c>
      <c r="I72" s="8"/>
      <c r="J72" s="8"/>
      <c r="K72" s="8"/>
      <c r="L72" s="40"/>
      <c r="M72" s="88" t="s">
        <v>172</v>
      </c>
      <c r="N72" s="453">
        <v>36.64</v>
      </c>
      <c r="Q72" s="8"/>
      <c r="R72" s="40"/>
      <c r="S72" s="88" t="s">
        <v>172</v>
      </c>
      <c r="T72" s="346"/>
      <c r="W72" s="8"/>
      <c r="X72" s="40"/>
      <c r="Y72" s="88" t="s">
        <v>172</v>
      </c>
      <c r="Z72" s="346"/>
      <c r="AC72" s="8"/>
      <c r="AD72" s="40"/>
    </row>
    <row r="73" spans="1:30" ht="15" x14ac:dyDescent="0.25">
      <c r="A73" s="88" t="s">
        <v>272</v>
      </c>
      <c r="B73" s="453"/>
      <c r="C73" s="290"/>
      <c r="E73" s="8"/>
      <c r="F73" s="40"/>
      <c r="G73" s="88" t="s">
        <v>173</v>
      </c>
      <c r="H73" s="453"/>
      <c r="I73" s="8"/>
      <c r="J73" s="8"/>
      <c r="K73" s="8"/>
      <c r="L73" s="40"/>
      <c r="M73" s="88" t="s">
        <v>173</v>
      </c>
      <c r="N73" s="453">
        <v>0</v>
      </c>
      <c r="Q73" s="8"/>
      <c r="R73" s="40"/>
      <c r="S73" s="88" t="s">
        <v>173</v>
      </c>
      <c r="T73" s="346"/>
      <c r="W73" s="8"/>
      <c r="X73" s="40"/>
      <c r="Y73" s="88" t="s">
        <v>173</v>
      </c>
      <c r="Z73" s="346"/>
      <c r="AC73" s="8"/>
      <c r="AD73" s="40"/>
    </row>
    <row r="74" spans="1:30" ht="15" x14ac:dyDescent="0.25">
      <c r="A74" s="88" t="s">
        <v>273</v>
      </c>
      <c r="B74" s="453">
        <v>7281.6797040000001</v>
      </c>
      <c r="C74" s="290"/>
      <c r="E74" s="8"/>
      <c r="F74" s="40"/>
      <c r="G74" s="88" t="s">
        <v>44</v>
      </c>
      <c r="H74" s="453">
        <v>7356.16752</v>
      </c>
      <c r="I74" s="8"/>
      <c r="J74" s="8"/>
      <c r="K74" s="8"/>
      <c r="L74" s="40"/>
      <c r="M74" s="88" t="s">
        <v>44</v>
      </c>
      <c r="N74" s="453">
        <v>7465.7182080000002</v>
      </c>
      <c r="Q74" s="8"/>
      <c r="R74" s="40"/>
      <c r="S74" s="88" t="s">
        <v>44</v>
      </c>
      <c r="T74" s="346"/>
      <c r="W74" s="8"/>
      <c r="X74" s="40"/>
      <c r="Y74" s="88" t="s">
        <v>44</v>
      </c>
      <c r="Z74" s="346"/>
      <c r="AC74" s="8"/>
      <c r="AD74" s="40"/>
    </row>
    <row r="75" spans="1:30" ht="15" x14ac:dyDescent="0.25">
      <c r="A75" s="88" t="s">
        <v>274</v>
      </c>
      <c r="B75" s="453">
        <v>3326.7359120000001</v>
      </c>
      <c r="C75" s="290"/>
      <c r="E75" s="8"/>
      <c r="F75" s="40"/>
      <c r="G75" s="88" t="s">
        <v>45</v>
      </c>
      <c r="H75" s="453">
        <v>3575.9879759999999</v>
      </c>
      <c r="I75" s="8"/>
      <c r="J75" s="8"/>
      <c r="K75" s="8"/>
      <c r="L75" s="40"/>
      <c r="M75" s="88" t="s">
        <v>45</v>
      </c>
      <c r="N75" s="453">
        <v>3535.8272280000001</v>
      </c>
      <c r="Q75" s="8"/>
      <c r="R75" s="40"/>
      <c r="S75" s="88" t="s">
        <v>45</v>
      </c>
      <c r="T75" s="346"/>
      <c r="W75" s="8"/>
      <c r="X75" s="40"/>
      <c r="Y75" s="88" t="s">
        <v>45</v>
      </c>
      <c r="Z75" s="346"/>
      <c r="AC75" s="8"/>
      <c r="AD75" s="40"/>
    </row>
    <row r="76" spans="1:30" ht="15" x14ac:dyDescent="0.25">
      <c r="A76" s="88" t="s">
        <v>275</v>
      </c>
      <c r="B76" s="453">
        <v>24.06</v>
      </c>
      <c r="C76" s="290"/>
      <c r="E76" s="8"/>
      <c r="F76" s="40"/>
      <c r="G76" s="88" t="s">
        <v>174</v>
      </c>
      <c r="H76" s="453">
        <v>14.32</v>
      </c>
      <c r="I76" s="8"/>
      <c r="J76" s="8"/>
      <c r="K76" s="8"/>
      <c r="L76" s="40"/>
      <c r="M76" s="88" t="s">
        <v>174</v>
      </c>
      <c r="N76" s="453">
        <v>28.67</v>
      </c>
      <c r="Q76" s="8"/>
      <c r="R76" s="40"/>
      <c r="S76" s="88" t="s">
        <v>174</v>
      </c>
      <c r="T76" s="346"/>
      <c r="W76" s="8"/>
      <c r="X76" s="40"/>
      <c r="Y76" s="88" t="s">
        <v>174</v>
      </c>
      <c r="Z76" s="346"/>
      <c r="AC76" s="8"/>
      <c r="AD76" s="40"/>
    </row>
    <row r="77" spans="1:30" ht="15" x14ac:dyDescent="0.25">
      <c r="A77" s="88" t="s">
        <v>276</v>
      </c>
      <c r="B77" s="453"/>
      <c r="C77" s="290"/>
      <c r="E77" s="8"/>
      <c r="F77" s="40"/>
      <c r="G77" s="88" t="s">
        <v>175</v>
      </c>
      <c r="H77" s="453"/>
      <c r="I77" s="8"/>
      <c r="J77" s="8"/>
      <c r="K77" s="8"/>
      <c r="L77" s="40"/>
      <c r="M77" s="88" t="s">
        <v>175</v>
      </c>
      <c r="N77" s="453">
        <v>0</v>
      </c>
      <c r="Q77" s="8"/>
      <c r="R77" s="40"/>
      <c r="S77" s="88" t="s">
        <v>175</v>
      </c>
      <c r="T77" s="346"/>
      <c r="W77" s="8"/>
      <c r="X77" s="40"/>
      <c r="Y77" s="88" t="s">
        <v>175</v>
      </c>
      <c r="Z77" s="346"/>
      <c r="AC77" s="8"/>
      <c r="AD77" s="40"/>
    </row>
    <row r="78" spans="1:30" ht="15" x14ac:dyDescent="0.25">
      <c r="A78" s="88" t="s">
        <v>277</v>
      </c>
      <c r="B78" s="453">
        <v>161.58000000000001</v>
      </c>
      <c r="C78" s="290"/>
      <c r="E78" s="8"/>
      <c r="F78" s="40"/>
      <c r="G78" s="88" t="s">
        <v>176</v>
      </c>
      <c r="H78" s="453">
        <v>152.29</v>
      </c>
      <c r="I78" s="8"/>
      <c r="J78" s="8"/>
      <c r="K78" s="8"/>
      <c r="L78" s="40"/>
      <c r="M78" s="88" t="s">
        <v>176</v>
      </c>
      <c r="N78" s="453">
        <v>133.68</v>
      </c>
      <c r="Q78" s="8"/>
      <c r="R78" s="40"/>
      <c r="S78" s="88" t="s">
        <v>176</v>
      </c>
      <c r="T78" s="346"/>
      <c r="W78" s="8"/>
      <c r="X78" s="40"/>
      <c r="Y78" s="88" t="s">
        <v>176</v>
      </c>
      <c r="Z78" s="346"/>
      <c r="AC78" s="8"/>
      <c r="AD78" s="40"/>
    </row>
    <row r="79" spans="1:30" ht="15" x14ac:dyDescent="0.25">
      <c r="A79" s="88" t="s">
        <v>278</v>
      </c>
      <c r="B79" s="453">
        <v>2690.119224</v>
      </c>
      <c r="C79" s="290"/>
      <c r="E79" s="8"/>
      <c r="F79" s="40"/>
      <c r="G79" s="88" t="s">
        <v>46</v>
      </c>
      <c r="H79" s="453">
        <v>3283.783152</v>
      </c>
      <c r="I79" s="8"/>
      <c r="J79" s="8"/>
      <c r="K79" s="8"/>
      <c r="L79" s="40"/>
      <c r="M79" s="88" t="s">
        <v>46</v>
      </c>
      <c r="N79" s="453">
        <v>2766.7049280000001</v>
      </c>
      <c r="Q79" s="8"/>
      <c r="R79" s="40"/>
      <c r="S79" s="88" t="s">
        <v>46</v>
      </c>
      <c r="T79" s="346"/>
      <c r="W79" s="8"/>
      <c r="X79" s="40"/>
      <c r="Y79" s="88" t="s">
        <v>46</v>
      </c>
      <c r="Z79" s="346"/>
      <c r="AC79" s="8"/>
      <c r="AD79" s="40"/>
    </row>
    <row r="80" spans="1:30" ht="15" x14ac:dyDescent="0.25">
      <c r="A80" s="88" t="s">
        <v>279</v>
      </c>
      <c r="B80" s="453">
        <v>102.61</v>
      </c>
      <c r="C80" s="290"/>
      <c r="E80" s="8"/>
      <c r="F80" s="40"/>
      <c r="G80" s="88" t="s">
        <v>177</v>
      </c>
      <c r="H80" s="453">
        <v>162.12</v>
      </c>
      <c r="I80" s="8"/>
      <c r="J80" s="8"/>
      <c r="K80" s="8"/>
      <c r="L80" s="40"/>
      <c r="M80" s="88" t="s">
        <v>177</v>
      </c>
      <c r="N80" s="453">
        <v>116.73</v>
      </c>
      <c r="Q80" s="8"/>
      <c r="R80" s="40"/>
      <c r="S80" s="88" t="s">
        <v>177</v>
      </c>
      <c r="T80" s="346"/>
      <c r="W80" s="8"/>
      <c r="X80" s="40"/>
      <c r="Y80" s="88" t="s">
        <v>177</v>
      </c>
      <c r="Z80" s="346"/>
      <c r="AC80" s="8"/>
      <c r="AD80" s="40"/>
    </row>
    <row r="81" spans="1:30" ht="15" x14ac:dyDescent="0.25">
      <c r="A81" s="88" t="s">
        <v>280</v>
      </c>
      <c r="B81" s="453">
        <v>6.1</v>
      </c>
      <c r="C81" s="290"/>
      <c r="E81" s="8"/>
      <c r="F81" s="40"/>
      <c r="G81" s="88" t="s">
        <v>178</v>
      </c>
      <c r="H81" s="453">
        <v>1.49</v>
      </c>
      <c r="I81" s="8"/>
      <c r="J81" s="8"/>
      <c r="K81" s="8"/>
      <c r="L81" s="40"/>
      <c r="M81" s="88" t="s">
        <v>178</v>
      </c>
      <c r="N81" s="453">
        <v>8.5399999999999991</v>
      </c>
      <c r="Q81" s="8"/>
      <c r="R81" s="40"/>
      <c r="S81" s="88" t="s">
        <v>178</v>
      </c>
      <c r="T81" s="346"/>
      <c r="W81" s="8"/>
      <c r="X81" s="40"/>
      <c r="Y81" s="88" t="s">
        <v>178</v>
      </c>
      <c r="Z81" s="346"/>
      <c r="AC81" s="8"/>
      <c r="AD81" s="40"/>
    </row>
    <row r="82" spans="1:30" ht="15" x14ac:dyDescent="0.25">
      <c r="A82" s="88" t="s">
        <v>281</v>
      </c>
      <c r="B82" s="453">
        <v>43.21</v>
      </c>
      <c r="C82" s="290"/>
      <c r="E82" s="8"/>
      <c r="F82" s="40"/>
      <c r="G82" s="88" t="s">
        <v>179</v>
      </c>
      <c r="H82" s="453">
        <v>64</v>
      </c>
      <c r="I82" s="8"/>
      <c r="J82" s="8"/>
      <c r="K82" s="8"/>
      <c r="L82" s="40"/>
      <c r="M82" s="88" t="s">
        <v>179</v>
      </c>
      <c r="N82" s="453">
        <v>72.09</v>
      </c>
      <c r="Q82" s="8"/>
      <c r="R82" s="40"/>
      <c r="S82" s="88" t="s">
        <v>179</v>
      </c>
      <c r="T82" s="346"/>
      <c r="W82" s="8"/>
      <c r="X82" s="40"/>
      <c r="Y82" s="88" t="s">
        <v>179</v>
      </c>
      <c r="Z82" s="346"/>
      <c r="AC82" s="8"/>
      <c r="AD82" s="40"/>
    </row>
    <row r="83" spans="1:30" ht="15" x14ac:dyDescent="0.25">
      <c r="A83" s="88" t="s">
        <v>282</v>
      </c>
      <c r="B83" s="453">
        <v>409.88</v>
      </c>
      <c r="C83" s="290"/>
      <c r="E83" s="8"/>
      <c r="F83" s="40"/>
      <c r="G83" s="88" t="s">
        <v>180</v>
      </c>
      <c r="H83" s="453">
        <v>383.37</v>
      </c>
      <c r="I83" s="8"/>
      <c r="J83" s="8"/>
      <c r="K83" s="8"/>
      <c r="L83" s="40"/>
      <c r="M83" s="88" t="s">
        <v>180</v>
      </c>
      <c r="N83" s="453">
        <v>379.67</v>
      </c>
      <c r="Q83" s="8"/>
      <c r="R83" s="40"/>
      <c r="S83" s="88" t="s">
        <v>180</v>
      </c>
      <c r="T83" s="346"/>
      <c r="W83" s="8"/>
      <c r="X83" s="40"/>
      <c r="Y83" s="88" t="s">
        <v>180</v>
      </c>
      <c r="Z83" s="346"/>
      <c r="AC83" s="8"/>
      <c r="AD83" s="40"/>
    </row>
    <row r="84" spans="1:30" ht="15" x14ac:dyDescent="0.25">
      <c r="A84" s="88" t="s">
        <v>283</v>
      </c>
      <c r="B84" s="453">
        <v>281.35000000000002</v>
      </c>
      <c r="C84" s="290"/>
      <c r="E84" s="8"/>
      <c r="F84" s="40"/>
      <c r="G84" s="88" t="s">
        <v>181</v>
      </c>
      <c r="H84" s="453">
        <v>305.85000000000002</v>
      </c>
      <c r="I84" s="8"/>
      <c r="J84" s="8"/>
      <c r="K84" s="8"/>
      <c r="L84" s="40"/>
      <c r="M84" s="88" t="s">
        <v>181</v>
      </c>
      <c r="N84" s="453">
        <v>241.79</v>
      </c>
      <c r="Q84" s="8"/>
      <c r="R84" s="40"/>
      <c r="S84" s="88" t="s">
        <v>181</v>
      </c>
      <c r="T84" s="346"/>
      <c r="W84" s="8"/>
      <c r="X84" s="40"/>
      <c r="Y84" s="88" t="s">
        <v>181</v>
      </c>
      <c r="Z84" s="346"/>
      <c r="AC84" s="8"/>
      <c r="AD84" s="40"/>
    </row>
    <row r="85" spans="1:30" ht="15" x14ac:dyDescent="0.25">
      <c r="A85" s="88" t="s">
        <v>284</v>
      </c>
      <c r="B85" s="453">
        <v>1073.8756080000001</v>
      </c>
      <c r="C85" s="290"/>
      <c r="E85" s="8"/>
      <c r="F85" s="40"/>
      <c r="G85" s="88" t="s">
        <v>54</v>
      </c>
      <c r="H85" s="453">
        <v>1040.50128</v>
      </c>
      <c r="I85" s="8"/>
      <c r="J85" s="8"/>
      <c r="K85" s="8"/>
      <c r="L85" s="40"/>
      <c r="M85" s="88" t="s">
        <v>54</v>
      </c>
      <c r="N85" s="453">
        <v>923.72311200000001</v>
      </c>
      <c r="Q85" s="8"/>
      <c r="R85" s="40"/>
      <c r="S85" s="88" t="s">
        <v>54</v>
      </c>
      <c r="T85" s="346"/>
      <c r="W85" s="8"/>
      <c r="X85" s="40"/>
      <c r="Y85" s="88" t="s">
        <v>54</v>
      </c>
      <c r="Z85" s="346"/>
      <c r="AC85" s="8"/>
      <c r="AD85" s="40"/>
    </row>
    <row r="86" spans="1:30" ht="15" x14ac:dyDescent="0.25">
      <c r="A86" s="88" t="s">
        <v>285</v>
      </c>
      <c r="B86" s="453">
        <v>954.51345600000002</v>
      </c>
      <c r="C86" s="290"/>
      <c r="E86" s="8"/>
      <c r="F86" s="40"/>
      <c r="G86" s="88" t="s">
        <v>47</v>
      </c>
      <c r="H86" s="453">
        <v>1239.5320079999999</v>
      </c>
      <c r="I86" s="8"/>
      <c r="J86" s="8"/>
      <c r="K86" s="8"/>
      <c r="L86" s="40"/>
      <c r="M86" s="88" t="s">
        <v>47</v>
      </c>
      <c r="N86" s="453">
        <v>896.07960000000003</v>
      </c>
      <c r="Q86" s="8"/>
      <c r="R86" s="40"/>
      <c r="S86" s="88" t="s">
        <v>47</v>
      </c>
      <c r="T86" s="346"/>
      <c r="W86" s="8"/>
      <c r="X86" s="40"/>
      <c r="Y86" s="88" t="s">
        <v>47</v>
      </c>
      <c r="Z86" s="346"/>
      <c r="AC86" s="8"/>
      <c r="AD86" s="40"/>
    </row>
    <row r="87" spans="1:30" ht="15" x14ac:dyDescent="0.25">
      <c r="A87" s="88" t="s">
        <v>286</v>
      </c>
      <c r="B87" s="453">
        <v>132.550704</v>
      </c>
      <c r="C87" s="290"/>
      <c r="E87" s="8"/>
      <c r="F87" s="40"/>
      <c r="G87" s="88" t="s">
        <v>53</v>
      </c>
      <c r="H87" s="453">
        <v>167.76707999999999</v>
      </c>
      <c r="I87" s="8"/>
      <c r="J87" s="8"/>
      <c r="K87" s="8"/>
      <c r="L87" s="40"/>
      <c r="M87" s="88" t="s">
        <v>53</v>
      </c>
      <c r="N87" s="453">
        <v>160.15584000000001</v>
      </c>
      <c r="Q87" s="8"/>
      <c r="R87" s="40"/>
      <c r="S87" s="88" t="s">
        <v>53</v>
      </c>
      <c r="T87" s="346"/>
      <c r="W87" s="8"/>
      <c r="X87" s="40"/>
      <c r="Y87" s="88" t="s">
        <v>53</v>
      </c>
      <c r="Z87" s="346"/>
      <c r="AC87" s="8"/>
      <c r="AD87" s="40"/>
    </row>
    <row r="88" spans="1:30" ht="15" x14ac:dyDescent="0.25">
      <c r="A88" s="88" t="s">
        <v>311</v>
      </c>
      <c r="B88" s="453">
        <v>5372.3380260000004</v>
      </c>
      <c r="C88" s="290"/>
      <c r="E88" s="8"/>
      <c r="F88" s="40"/>
      <c r="G88" s="88" t="s">
        <v>182</v>
      </c>
      <c r="H88" s="453">
        <v>5482.7779829999999</v>
      </c>
      <c r="I88" s="8"/>
      <c r="J88" s="8"/>
      <c r="K88" s="8"/>
      <c r="L88" s="40"/>
      <c r="M88" s="88" t="s">
        <v>182</v>
      </c>
      <c r="N88" s="453">
        <v>4068.1666439999999</v>
      </c>
      <c r="Q88" s="8"/>
      <c r="R88" s="40"/>
      <c r="S88" s="88" t="s">
        <v>182</v>
      </c>
      <c r="T88" s="346"/>
      <c r="W88" s="8"/>
      <c r="X88" s="40"/>
      <c r="Y88" s="88" t="s">
        <v>182</v>
      </c>
      <c r="Z88" s="346"/>
      <c r="AC88" s="8"/>
      <c r="AD88" s="40"/>
    </row>
    <row r="89" spans="1:30" ht="15" x14ac:dyDescent="0.25">
      <c r="A89" s="88" t="s">
        <v>287</v>
      </c>
      <c r="B89" s="453">
        <v>2.44</v>
      </c>
      <c r="C89" s="290"/>
      <c r="E89" s="8"/>
      <c r="F89" s="40"/>
      <c r="G89" s="88" t="s">
        <v>183</v>
      </c>
      <c r="H89" s="453">
        <v>1.83</v>
      </c>
      <c r="I89" s="8"/>
      <c r="J89" s="8"/>
      <c r="K89" s="8"/>
      <c r="L89" s="40"/>
      <c r="M89" s="88" t="s">
        <v>183</v>
      </c>
      <c r="N89" s="453">
        <v>11.86</v>
      </c>
      <c r="Q89" s="8"/>
      <c r="R89" s="40"/>
      <c r="S89" s="88" t="s">
        <v>183</v>
      </c>
      <c r="T89" s="346"/>
      <c r="W89" s="8"/>
      <c r="X89" s="40"/>
      <c r="Y89" s="88" t="s">
        <v>183</v>
      </c>
      <c r="Z89" s="346"/>
      <c r="AC89" s="8"/>
      <c r="AD89" s="40"/>
    </row>
    <row r="90" spans="1:30" ht="15" x14ac:dyDescent="0.25">
      <c r="A90" s="88" t="s">
        <v>288</v>
      </c>
      <c r="B90" s="453">
        <v>881.61061099999995</v>
      </c>
      <c r="C90" s="290"/>
      <c r="E90" s="8"/>
      <c r="F90" s="40"/>
      <c r="G90" s="88" t="s">
        <v>184</v>
      </c>
      <c r="H90" s="453">
        <v>947.03412300000002</v>
      </c>
      <c r="I90" s="8"/>
      <c r="J90" s="8"/>
      <c r="K90" s="8"/>
      <c r="L90" s="40"/>
      <c r="M90" s="88" t="s">
        <v>184</v>
      </c>
      <c r="N90" s="453">
        <v>801.90368699999999</v>
      </c>
      <c r="Q90" s="8"/>
      <c r="R90" s="40"/>
      <c r="S90" s="88" t="s">
        <v>184</v>
      </c>
      <c r="T90" s="346"/>
      <c r="W90" s="8"/>
      <c r="X90" s="40"/>
      <c r="Y90" s="88" t="s">
        <v>184</v>
      </c>
      <c r="Z90" s="346"/>
      <c r="AC90" s="8"/>
      <c r="AD90" s="40"/>
    </row>
    <row r="91" spans="1:30" ht="15" x14ac:dyDescent="0.25">
      <c r="A91" s="88" t="s">
        <v>289</v>
      </c>
      <c r="B91" s="453">
        <v>437.39685600000001</v>
      </c>
      <c r="C91" s="290"/>
      <c r="E91" s="8"/>
      <c r="F91" s="40"/>
      <c r="G91" s="88" t="s">
        <v>52</v>
      </c>
      <c r="H91" s="453">
        <v>499.97532000000001</v>
      </c>
      <c r="I91" s="8"/>
      <c r="J91" s="8"/>
      <c r="K91" s="8"/>
      <c r="L91" s="40"/>
      <c r="M91" s="88" t="s">
        <v>52</v>
      </c>
      <c r="N91" s="453">
        <v>584.683944</v>
      </c>
      <c r="Q91" s="8"/>
      <c r="R91" s="40"/>
      <c r="S91" s="88" t="s">
        <v>52</v>
      </c>
      <c r="T91" s="346"/>
      <c r="W91" s="8"/>
      <c r="X91" s="40"/>
      <c r="Y91" s="88" t="s">
        <v>52</v>
      </c>
      <c r="Z91" s="346"/>
      <c r="AC91" s="8"/>
      <c r="AD91" s="40"/>
    </row>
    <row r="92" spans="1:30" ht="15" x14ac:dyDescent="0.25">
      <c r="A92" s="88" t="s">
        <v>290</v>
      </c>
      <c r="B92" s="453">
        <v>20.633496000000001</v>
      </c>
      <c r="C92" s="290"/>
      <c r="E92" s="8"/>
      <c r="F92" s="40"/>
      <c r="G92" s="88" t="s">
        <v>90</v>
      </c>
      <c r="H92" s="453">
        <v>27.681888000000001</v>
      </c>
      <c r="I92" s="8"/>
      <c r="J92" s="8"/>
      <c r="K92" s="8"/>
      <c r="L92" s="40"/>
      <c r="M92" s="88" t="s">
        <v>90</v>
      </c>
      <c r="N92" s="453">
        <v>107.529552</v>
      </c>
      <c r="Q92" s="8"/>
      <c r="R92" s="40"/>
      <c r="S92" s="88" t="s">
        <v>90</v>
      </c>
      <c r="T92" s="346"/>
      <c r="W92" s="8"/>
      <c r="X92" s="40"/>
      <c r="Y92" s="88" t="s">
        <v>90</v>
      </c>
      <c r="Z92" s="346"/>
      <c r="AC92" s="8"/>
      <c r="AD92" s="40"/>
    </row>
    <row r="93" spans="1:30" ht="15" x14ac:dyDescent="0.25">
      <c r="A93" s="88" t="s">
        <v>291</v>
      </c>
      <c r="B93" s="453">
        <v>2076.402</v>
      </c>
      <c r="C93" s="290"/>
      <c r="E93" s="8"/>
      <c r="F93" s="40"/>
      <c r="G93" s="88" t="s">
        <v>185</v>
      </c>
      <c r="H93" s="453">
        <v>2121.7060000000001</v>
      </c>
      <c r="I93" s="8"/>
      <c r="J93" s="8"/>
      <c r="K93" s="8"/>
      <c r="L93" s="40"/>
      <c r="M93" s="88" t="s">
        <v>185</v>
      </c>
      <c r="N93" s="453">
        <v>1845.684</v>
      </c>
      <c r="Q93" s="8"/>
      <c r="R93" s="40"/>
      <c r="S93" s="88" t="s">
        <v>185</v>
      </c>
      <c r="T93" s="346"/>
      <c r="W93" s="8"/>
      <c r="X93" s="40"/>
      <c r="Y93" s="88" t="s">
        <v>185</v>
      </c>
      <c r="Z93" s="346"/>
      <c r="AC93" s="8"/>
      <c r="AD93" s="40"/>
    </row>
    <row r="94" spans="1:30" ht="15" x14ac:dyDescent="0.25">
      <c r="A94" s="88" t="s">
        <v>292</v>
      </c>
      <c r="B94" s="453">
        <v>4759.7496959999999</v>
      </c>
      <c r="C94" s="290"/>
      <c r="E94" s="8"/>
      <c r="F94" s="40"/>
      <c r="G94" s="88" t="s">
        <v>48</v>
      </c>
      <c r="H94" s="453">
        <v>4635.2963280000004</v>
      </c>
      <c r="I94" s="8"/>
      <c r="J94" s="8"/>
      <c r="K94" s="8"/>
      <c r="L94" s="40"/>
      <c r="M94" s="88" t="s">
        <v>48</v>
      </c>
      <c r="N94" s="453">
        <v>4590.1149839999998</v>
      </c>
      <c r="Q94" s="8"/>
      <c r="R94" s="40"/>
      <c r="S94" s="88" t="s">
        <v>48</v>
      </c>
      <c r="T94" s="346"/>
      <c r="W94" s="8"/>
      <c r="X94" s="40"/>
      <c r="Y94" s="88" t="s">
        <v>48</v>
      </c>
      <c r="Z94" s="346"/>
      <c r="AC94" s="8"/>
      <c r="AD94" s="40"/>
    </row>
    <row r="95" spans="1:30" ht="15" x14ac:dyDescent="0.25">
      <c r="A95" s="88" t="s">
        <v>293</v>
      </c>
      <c r="B95" s="453">
        <v>26.66</v>
      </c>
      <c r="C95" s="290"/>
      <c r="E95" s="8"/>
      <c r="F95" s="40"/>
      <c r="G95" s="88" t="s">
        <v>186</v>
      </c>
      <c r="H95" s="453">
        <v>25.18</v>
      </c>
      <c r="I95" s="8"/>
      <c r="J95" s="8"/>
      <c r="K95" s="8"/>
      <c r="L95" s="40"/>
      <c r="M95" s="88" t="s">
        <v>186</v>
      </c>
      <c r="N95" s="453">
        <v>22.32</v>
      </c>
      <c r="Q95" s="8"/>
      <c r="R95" s="40"/>
      <c r="S95" s="88" t="s">
        <v>186</v>
      </c>
      <c r="T95" s="346"/>
      <c r="W95" s="8"/>
      <c r="X95" s="40"/>
      <c r="Y95" s="88" t="s">
        <v>186</v>
      </c>
      <c r="Z95" s="346"/>
      <c r="AC95" s="8"/>
      <c r="AD95" s="40"/>
    </row>
    <row r="96" spans="1:30" ht="15" x14ac:dyDescent="0.25">
      <c r="A96" s="88" t="s">
        <v>294</v>
      </c>
      <c r="B96" s="453"/>
      <c r="C96" s="290"/>
      <c r="E96" s="8"/>
      <c r="F96" s="40"/>
      <c r="G96" s="88" t="s">
        <v>187</v>
      </c>
      <c r="H96" s="453"/>
      <c r="I96" s="8"/>
      <c r="J96" s="8"/>
      <c r="K96" s="8"/>
      <c r="L96" s="40"/>
      <c r="M96" s="88" t="s">
        <v>187</v>
      </c>
      <c r="N96" s="453">
        <v>0</v>
      </c>
      <c r="Q96" s="8"/>
      <c r="R96" s="40"/>
      <c r="S96" s="88" t="s">
        <v>187</v>
      </c>
      <c r="T96" s="346"/>
      <c r="W96" s="8"/>
      <c r="X96" s="40"/>
      <c r="Y96" s="88" t="s">
        <v>187</v>
      </c>
      <c r="Z96" s="346"/>
      <c r="AC96" s="8"/>
      <c r="AD96" s="40"/>
    </row>
    <row r="97" spans="1:30" ht="15" x14ac:dyDescent="0.25">
      <c r="A97" s="88" t="s">
        <v>295</v>
      </c>
      <c r="B97" s="453">
        <v>2259.1439519999999</v>
      </c>
      <c r="C97" s="290"/>
      <c r="E97" s="8"/>
      <c r="F97" s="40"/>
      <c r="G97" s="88" t="s">
        <v>49</v>
      </c>
      <c r="H97" s="453">
        <v>1901.4284640000001</v>
      </c>
      <c r="I97" s="8"/>
      <c r="J97" s="8"/>
      <c r="K97" s="8"/>
      <c r="L97" s="40"/>
      <c r="M97" s="88" t="s">
        <v>49</v>
      </c>
      <c r="N97" s="453">
        <v>2093.9352720000002</v>
      </c>
      <c r="Q97" s="8"/>
      <c r="R97" s="40"/>
      <c r="S97" s="88" t="s">
        <v>49</v>
      </c>
      <c r="T97" s="346"/>
      <c r="W97" s="8"/>
      <c r="X97" s="40"/>
      <c r="Y97" s="88" t="s">
        <v>49</v>
      </c>
      <c r="Z97" s="346"/>
      <c r="AC97" s="8"/>
      <c r="AD97" s="40"/>
    </row>
    <row r="98" spans="1:30" ht="15" x14ac:dyDescent="0.25">
      <c r="A98" s="88" t="s">
        <v>296</v>
      </c>
      <c r="B98" s="453">
        <v>9114.1848719999998</v>
      </c>
      <c r="C98" s="290"/>
      <c r="E98" s="8"/>
      <c r="F98" s="40"/>
      <c r="G98" s="88" t="s">
        <v>50</v>
      </c>
      <c r="H98" s="453">
        <v>8247.4884959999999</v>
      </c>
      <c r="I98" s="8"/>
      <c r="J98" s="8"/>
      <c r="K98" s="8"/>
      <c r="L98" s="40"/>
      <c r="M98" s="88" t="s">
        <v>50</v>
      </c>
      <c r="N98" s="453">
        <v>7842.250728</v>
      </c>
      <c r="Q98" s="8"/>
      <c r="R98" s="40"/>
      <c r="S98" s="88" t="s">
        <v>50</v>
      </c>
      <c r="T98" s="346"/>
      <c r="W98" s="8"/>
      <c r="X98" s="40"/>
      <c r="Y98" s="88" t="s">
        <v>50</v>
      </c>
      <c r="Z98" s="346"/>
      <c r="AC98" s="8"/>
      <c r="AD98" s="40"/>
    </row>
    <row r="99" spans="1:30" ht="15" x14ac:dyDescent="0.25">
      <c r="A99" s="88" t="s">
        <v>297</v>
      </c>
      <c r="B99" s="453">
        <v>831.23364800000002</v>
      </c>
      <c r="C99" s="290"/>
      <c r="E99" s="8"/>
      <c r="F99" s="40"/>
      <c r="G99" s="88" t="s">
        <v>188</v>
      </c>
      <c r="H99" s="453">
        <v>848.89748799999995</v>
      </c>
      <c r="I99" s="8"/>
      <c r="J99" s="8"/>
      <c r="K99" s="8"/>
      <c r="L99" s="40"/>
      <c r="M99" s="88" t="s">
        <v>188</v>
      </c>
      <c r="N99" s="453">
        <v>707.58676800000001</v>
      </c>
      <c r="Q99" s="8"/>
      <c r="R99" s="40"/>
      <c r="S99" s="88" t="s">
        <v>188</v>
      </c>
      <c r="T99" s="346"/>
      <c r="W99" s="8"/>
      <c r="X99" s="40"/>
      <c r="Y99" s="88" t="s">
        <v>188</v>
      </c>
      <c r="Z99" s="346"/>
      <c r="AC99" s="8"/>
      <c r="AD99" s="40"/>
    </row>
    <row r="100" spans="1:30" ht="15" x14ac:dyDescent="0.25">
      <c r="A100" s="88" t="s">
        <v>298</v>
      </c>
      <c r="B100" s="453"/>
      <c r="C100" s="290"/>
      <c r="E100" s="8"/>
      <c r="F100" s="40"/>
      <c r="G100" s="88" t="s">
        <v>189</v>
      </c>
      <c r="H100" s="453">
        <v>0.6</v>
      </c>
      <c r="I100" s="8"/>
      <c r="J100" s="8"/>
      <c r="K100" s="8"/>
      <c r="L100" s="40"/>
      <c r="M100" s="88" t="s">
        <v>189</v>
      </c>
      <c r="N100" s="453">
        <v>17.399999999999999</v>
      </c>
      <c r="Q100" s="8"/>
      <c r="R100" s="40"/>
      <c r="S100" s="88" t="s">
        <v>189</v>
      </c>
      <c r="T100" s="346"/>
      <c r="W100" s="8"/>
      <c r="X100" s="40"/>
      <c r="Y100" s="88" t="s">
        <v>189</v>
      </c>
      <c r="Z100" s="346"/>
      <c r="AC100" s="8"/>
      <c r="AD100" s="40"/>
    </row>
    <row r="101" spans="1:30" ht="15" x14ac:dyDescent="0.25">
      <c r="A101" s="88" t="s">
        <v>299</v>
      </c>
      <c r="B101" s="453">
        <v>362.01</v>
      </c>
      <c r="C101" s="290"/>
      <c r="E101" s="8"/>
      <c r="F101" s="40"/>
      <c r="G101" s="88" t="s">
        <v>190</v>
      </c>
      <c r="H101" s="453">
        <v>451.48</v>
      </c>
      <c r="I101" s="8"/>
      <c r="J101" s="8"/>
      <c r="K101" s="8"/>
      <c r="L101" s="40"/>
      <c r="M101" s="88" t="s">
        <v>190</v>
      </c>
      <c r="N101" s="453">
        <v>524.91</v>
      </c>
      <c r="Q101" s="8"/>
      <c r="R101" s="40"/>
      <c r="S101" s="88" t="s">
        <v>190</v>
      </c>
      <c r="T101" s="346"/>
      <c r="W101" s="8"/>
      <c r="X101" s="40"/>
      <c r="Y101" s="88" t="s">
        <v>190</v>
      </c>
      <c r="Z101" s="346"/>
      <c r="AC101" s="8"/>
      <c r="AD101" s="40"/>
    </row>
    <row r="102" spans="1:30" ht="15" x14ac:dyDescent="0.25">
      <c r="A102" s="88" t="s">
        <v>300</v>
      </c>
      <c r="B102" s="453">
        <v>52.66</v>
      </c>
      <c r="C102" s="290"/>
      <c r="E102" s="8"/>
      <c r="F102" s="40"/>
      <c r="G102" s="88" t="s">
        <v>191</v>
      </c>
      <c r="H102" s="453">
        <v>21.28</v>
      </c>
      <c r="I102" s="8"/>
      <c r="J102" s="8"/>
      <c r="K102" s="8"/>
      <c r="L102" s="40"/>
      <c r="M102" s="88" t="s">
        <v>191</v>
      </c>
      <c r="N102" s="453">
        <v>82.62</v>
      </c>
      <c r="Q102" s="8"/>
      <c r="R102" s="40"/>
      <c r="S102" s="88" t="s">
        <v>191</v>
      </c>
      <c r="T102" s="346"/>
      <c r="W102" s="8"/>
      <c r="X102" s="40"/>
      <c r="Y102" s="88" t="s">
        <v>191</v>
      </c>
      <c r="Z102" s="346"/>
      <c r="AC102" s="8"/>
      <c r="AD102" s="40"/>
    </row>
    <row r="103" spans="1:30" ht="15" x14ac:dyDescent="0.25">
      <c r="A103" s="88" t="s">
        <v>301</v>
      </c>
      <c r="B103" s="453">
        <v>898.75761699999998</v>
      </c>
      <c r="C103" s="290"/>
      <c r="E103" s="8"/>
      <c r="F103" s="40"/>
      <c r="G103" s="88" t="s">
        <v>192</v>
      </c>
      <c r="H103" s="453">
        <v>980.57669699999997</v>
      </c>
      <c r="I103" s="8"/>
      <c r="J103" s="8"/>
      <c r="K103" s="8"/>
      <c r="L103" s="40"/>
      <c r="M103" s="88" t="s">
        <v>192</v>
      </c>
      <c r="N103" s="453">
        <v>937.63930200000004</v>
      </c>
      <c r="Q103" s="8"/>
      <c r="R103" s="40"/>
      <c r="S103" s="88" t="s">
        <v>192</v>
      </c>
      <c r="T103" s="346"/>
      <c r="W103" s="8"/>
      <c r="X103" s="40"/>
      <c r="Y103" s="88" t="s">
        <v>192</v>
      </c>
      <c r="Z103" s="346"/>
      <c r="AC103" s="8"/>
      <c r="AD103" s="40"/>
    </row>
    <row r="104" spans="1:30" ht="15" x14ac:dyDescent="0.25">
      <c r="A104" s="88" t="s">
        <v>302</v>
      </c>
      <c r="B104" s="453"/>
      <c r="C104" s="290"/>
      <c r="E104" s="8"/>
      <c r="F104" s="40"/>
      <c r="G104" s="88" t="s">
        <v>193</v>
      </c>
      <c r="H104" s="453"/>
      <c r="I104" s="8"/>
      <c r="J104" s="8"/>
      <c r="K104" s="8"/>
      <c r="L104" s="40"/>
      <c r="M104" s="88" t="s">
        <v>193</v>
      </c>
      <c r="N104" s="453">
        <v>0</v>
      </c>
      <c r="Q104" s="8"/>
      <c r="R104" s="40"/>
      <c r="S104" s="88" t="s">
        <v>193</v>
      </c>
      <c r="T104" s="346"/>
      <c r="W104" s="8"/>
      <c r="X104" s="40"/>
      <c r="Y104" s="88" t="s">
        <v>193</v>
      </c>
      <c r="Z104" s="346"/>
      <c r="AC104" s="8"/>
      <c r="AD104" s="40"/>
    </row>
    <row r="105" spans="1:30" ht="15" x14ac:dyDescent="0.25">
      <c r="A105" s="88" t="s">
        <v>303</v>
      </c>
      <c r="B105" s="453"/>
      <c r="C105" s="290"/>
      <c r="E105" s="8"/>
      <c r="F105" s="40"/>
      <c r="G105" s="88" t="s">
        <v>194</v>
      </c>
      <c r="H105" s="453">
        <v>0.61</v>
      </c>
      <c r="I105" s="8"/>
      <c r="J105" s="8"/>
      <c r="K105" s="8"/>
      <c r="L105" s="40"/>
      <c r="M105" s="88" t="s">
        <v>194</v>
      </c>
      <c r="N105" s="453">
        <v>1.22</v>
      </c>
      <c r="Q105" s="8"/>
      <c r="R105" s="40"/>
      <c r="S105" s="88" t="s">
        <v>194</v>
      </c>
      <c r="T105" s="346"/>
      <c r="W105" s="8"/>
      <c r="X105" s="40"/>
      <c r="Y105" s="88" t="s">
        <v>194</v>
      </c>
      <c r="Z105" s="346"/>
      <c r="AC105" s="8"/>
      <c r="AD105" s="40"/>
    </row>
    <row r="106" spans="1:30" ht="15" x14ac:dyDescent="0.25">
      <c r="A106" s="88" t="s">
        <v>304</v>
      </c>
      <c r="B106" s="453">
        <v>80.760000000000005</v>
      </c>
      <c r="C106" s="290"/>
      <c r="E106" s="8"/>
      <c r="F106" s="40"/>
      <c r="G106" s="88" t="s">
        <v>195</v>
      </c>
      <c r="H106" s="453">
        <v>150.66</v>
      </c>
      <c r="I106" s="8"/>
      <c r="J106" s="8"/>
      <c r="K106" s="8"/>
      <c r="L106" s="40"/>
      <c r="M106" s="88" t="s">
        <v>195</v>
      </c>
      <c r="N106" s="453">
        <v>36.36</v>
      </c>
      <c r="Q106" s="8"/>
      <c r="R106" s="40"/>
      <c r="S106" s="88" t="s">
        <v>195</v>
      </c>
      <c r="T106" s="346"/>
      <c r="W106" s="8"/>
      <c r="X106" s="40"/>
      <c r="Y106" s="88" t="s">
        <v>195</v>
      </c>
      <c r="Z106" s="346"/>
      <c r="AC106" s="8"/>
      <c r="AD106" s="40"/>
    </row>
    <row r="107" spans="1:30" ht="15" x14ac:dyDescent="0.25">
      <c r="A107" s="88" t="s">
        <v>305</v>
      </c>
      <c r="B107" s="453">
        <v>82736.954664000004</v>
      </c>
      <c r="C107" s="290"/>
      <c r="E107" s="8"/>
      <c r="F107" s="40"/>
      <c r="G107" s="88" t="s">
        <v>72</v>
      </c>
      <c r="H107" s="453">
        <v>89725.799904</v>
      </c>
      <c r="I107" s="8"/>
      <c r="J107" s="8"/>
      <c r="K107" s="8"/>
      <c r="L107" s="40"/>
      <c r="M107" s="88" t="s">
        <v>72</v>
      </c>
      <c r="N107" s="453">
        <v>83172.105328000005</v>
      </c>
      <c r="Q107" s="8"/>
      <c r="R107" s="40"/>
      <c r="S107" s="88" t="s">
        <v>72</v>
      </c>
      <c r="T107" s="346"/>
      <c r="W107" s="8"/>
      <c r="X107" s="40"/>
      <c r="Y107" s="88" t="s">
        <v>72</v>
      </c>
      <c r="Z107" s="346"/>
      <c r="AC107" s="8"/>
      <c r="AD107" s="40"/>
    </row>
    <row r="108" spans="1:30" ht="15" x14ac:dyDescent="0.25">
      <c r="A108" s="88" t="s">
        <v>51</v>
      </c>
      <c r="B108" s="453">
        <v>314805.13</v>
      </c>
      <c r="C108" s="290"/>
      <c r="E108" s="8"/>
      <c r="F108" s="40"/>
      <c r="G108" s="88" t="s">
        <v>201</v>
      </c>
      <c r="H108" s="453">
        <v>446697.33</v>
      </c>
      <c r="I108" s="8"/>
      <c r="J108" s="8"/>
      <c r="K108" s="8"/>
      <c r="L108" s="40"/>
      <c r="M108" s="88" t="s">
        <v>201</v>
      </c>
      <c r="N108" s="453">
        <v>352096.24</v>
      </c>
      <c r="Q108" s="8"/>
      <c r="R108" s="40"/>
      <c r="S108" s="88" t="s">
        <v>201</v>
      </c>
      <c r="T108" s="346"/>
      <c r="W108" s="8"/>
      <c r="X108" s="40"/>
      <c r="Y108" s="88" t="s">
        <v>201</v>
      </c>
      <c r="Z108" s="346"/>
      <c r="AC108" s="8"/>
      <c r="AD108" s="40"/>
    </row>
    <row r="109" spans="1:30" ht="15" x14ac:dyDescent="0.25">
      <c r="A109" s="88" t="s">
        <v>306</v>
      </c>
      <c r="B109" s="453"/>
      <c r="C109" s="290"/>
      <c r="E109" s="8"/>
      <c r="F109" s="40"/>
      <c r="G109" s="88" t="s">
        <v>196</v>
      </c>
      <c r="H109" s="453">
        <v>6</v>
      </c>
      <c r="I109" s="8"/>
      <c r="J109" s="8"/>
      <c r="K109" s="8"/>
      <c r="L109" s="40"/>
      <c r="M109" s="88" t="s">
        <v>196</v>
      </c>
      <c r="N109" s="453">
        <v>0.6</v>
      </c>
      <c r="Q109" s="8"/>
      <c r="R109" s="40"/>
      <c r="S109" s="88" t="s">
        <v>196</v>
      </c>
      <c r="T109" s="346"/>
      <c r="W109" s="8"/>
      <c r="X109" s="40"/>
      <c r="Y109" s="88" t="s">
        <v>196</v>
      </c>
      <c r="Z109" s="346"/>
      <c r="AC109" s="8"/>
      <c r="AD109" s="40"/>
    </row>
    <row r="110" spans="1:30" ht="15" x14ac:dyDescent="0.25">
      <c r="A110" s="88" t="s">
        <v>307</v>
      </c>
      <c r="B110" s="453">
        <v>176.13</v>
      </c>
      <c r="C110" s="290"/>
      <c r="E110" s="8"/>
      <c r="F110" s="40"/>
      <c r="G110" s="88" t="s">
        <v>197</v>
      </c>
      <c r="H110" s="453">
        <v>58.47</v>
      </c>
      <c r="I110" s="8"/>
      <c r="J110" s="8"/>
      <c r="K110" s="8"/>
      <c r="L110" s="40"/>
      <c r="M110" s="88" t="s">
        <v>197</v>
      </c>
      <c r="N110" s="453">
        <v>94.95</v>
      </c>
      <c r="Q110" s="8"/>
      <c r="R110" s="40"/>
      <c r="S110" s="88" t="s">
        <v>197</v>
      </c>
      <c r="T110" s="346"/>
      <c r="W110" s="8"/>
      <c r="X110" s="40"/>
      <c r="Y110" s="88" t="s">
        <v>197</v>
      </c>
      <c r="Z110" s="346"/>
      <c r="AC110" s="8"/>
      <c r="AD110" s="40"/>
    </row>
    <row r="111" spans="1:30" ht="15" x14ac:dyDescent="0.25">
      <c r="A111" s="88" t="s">
        <v>308</v>
      </c>
      <c r="B111" s="453">
        <v>11.78</v>
      </c>
      <c r="C111" s="290"/>
      <c r="E111" s="8"/>
      <c r="F111" s="40"/>
      <c r="G111" s="88" t="s">
        <v>198</v>
      </c>
      <c r="H111" s="453">
        <v>26.54</v>
      </c>
      <c r="I111" s="8"/>
      <c r="J111" s="8"/>
      <c r="K111" s="8"/>
      <c r="L111" s="40"/>
      <c r="M111" s="88" t="s">
        <v>198</v>
      </c>
      <c r="N111" s="453">
        <v>57.03</v>
      </c>
      <c r="Q111" s="8"/>
      <c r="R111" s="40"/>
      <c r="S111" s="88" t="s">
        <v>198</v>
      </c>
      <c r="T111" s="346"/>
      <c r="W111" s="8"/>
      <c r="X111" s="40"/>
      <c r="Y111" s="88" t="s">
        <v>198</v>
      </c>
      <c r="Z111" s="346"/>
      <c r="AC111" s="8"/>
      <c r="AD111" s="40"/>
    </row>
    <row r="112" spans="1:30" ht="15" x14ac:dyDescent="0.25">
      <c r="A112" s="88" t="s">
        <v>310</v>
      </c>
      <c r="B112" s="453">
        <v>10.37</v>
      </c>
      <c r="C112" s="290"/>
      <c r="E112" s="8"/>
      <c r="F112" s="40"/>
      <c r="G112" s="88" t="s">
        <v>199</v>
      </c>
      <c r="H112" s="453">
        <v>1.83</v>
      </c>
      <c r="I112" s="8"/>
      <c r="J112" s="8"/>
      <c r="K112" s="8"/>
      <c r="L112" s="40"/>
      <c r="M112" s="88" t="s">
        <v>199</v>
      </c>
      <c r="N112" s="453">
        <v>1.22</v>
      </c>
      <c r="Q112" s="8"/>
      <c r="R112" s="40"/>
      <c r="S112" s="88" t="s">
        <v>199</v>
      </c>
      <c r="T112" s="346"/>
      <c r="W112" s="8"/>
      <c r="X112" s="40"/>
      <c r="Y112" s="88" t="s">
        <v>199</v>
      </c>
      <c r="Z112" s="346"/>
      <c r="AC112" s="8"/>
      <c r="AD112" s="40"/>
    </row>
    <row r="113" spans="1:30" ht="15" x14ac:dyDescent="0.25">
      <c r="A113" s="88" t="s">
        <v>309</v>
      </c>
      <c r="B113" s="453">
        <v>2.44</v>
      </c>
      <c r="C113" s="290"/>
      <c r="E113" s="8"/>
      <c r="F113" s="40"/>
      <c r="G113" s="88" t="s">
        <v>200</v>
      </c>
      <c r="H113" s="453">
        <v>1.83</v>
      </c>
      <c r="I113" s="8"/>
      <c r="J113" s="8"/>
      <c r="K113" s="8"/>
      <c r="L113" s="40"/>
      <c r="M113" s="88" t="s">
        <v>200</v>
      </c>
      <c r="N113" s="453">
        <v>12.81</v>
      </c>
      <c r="Q113" s="8"/>
      <c r="R113" s="40"/>
      <c r="S113" s="88" t="s">
        <v>200</v>
      </c>
      <c r="T113" s="346"/>
      <c r="W113" s="8"/>
      <c r="X113" s="40"/>
      <c r="Y113" s="88" t="s">
        <v>200</v>
      </c>
      <c r="Z113" s="346"/>
      <c r="AC113" s="8"/>
      <c r="AD113" s="40"/>
    </row>
    <row r="114" spans="1:30" ht="15" x14ac:dyDescent="0.25">
      <c r="A114" s="89" t="s">
        <v>21</v>
      </c>
      <c r="B114" s="90">
        <f>SUM(B2:B113)</f>
        <v>675674.88137099997</v>
      </c>
      <c r="C114" s="90">
        <f>SUM(C2:C113)</f>
        <v>0</v>
      </c>
      <c r="D114" s="90">
        <f>SUM(D2:D113)</f>
        <v>0</v>
      </c>
      <c r="E114" s="8">
        <f>IF(C114 &gt; 0, C114/B114, 0)</f>
        <v>0</v>
      </c>
      <c r="F114" s="40"/>
      <c r="G114" s="91" t="s">
        <v>21</v>
      </c>
      <c r="H114" s="90">
        <f>SUM(H2:H113)</f>
        <v>823801.90225999989</v>
      </c>
      <c r="I114" s="90">
        <f>SUM(I2:I113)</f>
        <v>0</v>
      </c>
      <c r="J114" s="90">
        <f>SUM(J2:J113)</f>
        <v>0</v>
      </c>
      <c r="K114" s="8">
        <f>IF(I114 &gt; 0, I114/H114, 0)</f>
        <v>0</v>
      </c>
      <c r="L114" s="40"/>
      <c r="M114" s="89" t="s">
        <v>21</v>
      </c>
      <c r="N114" s="90">
        <f>SUM(N2:N113)</f>
        <v>699783.94416200009</v>
      </c>
      <c r="O114" s="90">
        <f>SUM(O2:O113)</f>
        <v>0</v>
      </c>
      <c r="P114" s="90">
        <f>SUM(P2:P113)</f>
        <v>0</v>
      </c>
      <c r="Q114" s="8">
        <f>IF(O114 &gt; 0, O114/N114, 0)</f>
        <v>0</v>
      </c>
      <c r="R114" s="40"/>
      <c r="S114" s="89" t="s">
        <v>21</v>
      </c>
      <c r="T114" s="90">
        <f>SUM(T2:T113)</f>
        <v>0</v>
      </c>
      <c r="U114" s="90">
        <f>SUM(U2:U113)</f>
        <v>0</v>
      </c>
      <c r="V114" s="90">
        <f>SUM(V2:V113)</f>
        <v>0</v>
      </c>
      <c r="W114" s="8" t="e">
        <f>U114/T114</f>
        <v>#DIV/0!</v>
      </c>
      <c r="X114" s="40"/>
      <c r="Y114" s="14" t="s">
        <v>22</v>
      </c>
      <c r="Z114" s="90">
        <f>SUM(Z2:Z113)</f>
        <v>0</v>
      </c>
      <c r="AA114" s="90">
        <f>SUM(AA2:AA113)</f>
        <v>0</v>
      </c>
      <c r="AB114" s="90">
        <f>SUM(AB2:AB113)</f>
        <v>0</v>
      </c>
      <c r="AC114" s="8">
        <f>IF(AA114 &gt; 0, AA114/Z114, 0)</f>
        <v>0</v>
      </c>
      <c r="AD114" s="40"/>
    </row>
    <row r="115" spans="1:30" ht="15" x14ac:dyDescent="0.25">
      <c r="A115" s="8"/>
      <c r="B115" s="8"/>
      <c r="C115" s="8"/>
      <c r="D115" s="8"/>
      <c r="E115" s="8"/>
      <c r="F115" s="40"/>
      <c r="G115" s="8"/>
      <c r="H115" s="8"/>
      <c r="I115" s="8"/>
      <c r="J115" s="8"/>
      <c r="K115" s="8"/>
      <c r="L115" s="40"/>
      <c r="M115" s="8"/>
      <c r="N115" s="8"/>
      <c r="O115" s="8"/>
      <c r="P115" s="8"/>
      <c r="Q115" s="8"/>
      <c r="R115" s="40"/>
      <c r="S115" s="8"/>
      <c r="T115" s="8"/>
      <c r="U115" s="8"/>
      <c r="V115" s="8"/>
      <c r="W115" s="8"/>
      <c r="X115" s="40"/>
      <c r="Y115" s="8"/>
      <c r="Z115" s="8"/>
      <c r="AA115" s="8"/>
      <c r="AB115" s="8"/>
      <c r="AC115" s="8"/>
      <c r="AD115" s="40"/>
    </row>
    <row r="116" spans="1:30" ht="15" x14ac:dyDescent="0.25">
      <c r="A116" s="16" t="s">
        <v>9</v>
      </c>
      <c r="B116" s="17">
        <f>SUM(B22,B66,B108)</f>
        <v>367582.006895</v>
      </c>
      <c r="C116" s="92">
        <f>C11+C63+C40</f>
        <v>0</v>
      </c>
      <c r="D116" s="92">
        <f>D11+D63+D40</f>
        <v>0</v>
      </c>
      <c r="E116" s="18">
        <f>IF(C116 &gt; 0, C116/B116, 0)</f>
        <v>0</v>
      </c>
      <c r="F116" s="40"/>
      <c r="G116" s="16" t="s">
        <v>9</v>
      </c>
      <c r="H116" s="17">
        <f>SUM(H22,H66,H108)</f>
        <v>508952.72846300004</v>
      </c>
      <c r="I116" s="92">
        <f>I11+I63+I40</f>
        <v>0</v>
      </c>
      <c r="J116" s="92">
        <f>J11+J63+J40</f>
        <v>0</v>
      </c>
      <c r="K116" s="18">
        <f>IF(I116 &gt; 0, I116/H116, 0)</f>
        <v>0</v>
      </c>
      <c r="L116" s="40"/>
      <c r="M116" s="16" t="s">
        <v>9</v>
      </c>
      <c r="N116" s="17">
        <f>SUM(N22,N66,N108)</f>
        <v>406410.93327499996</v>
      </c>
      <c r="O116" s="92">
        <f>O11+O63+O40</f>
        <v>0</v>
      </c>
      <c r="P116" s="92">
        <f>P11+P63+P40</f>
        <v>0</v>
      </c>
      <c r="Q116" s="18">
        <f>IF(O116 &gt; 0, O116/N116, 0)</f>
        <v>0</v>
      </c>
      <c r="R116" s="40"/>
      <c r="S116" s="16" t="s">
        <v>9</v>
      </c>
      <c r="T116" s="17">
        <f>SUM(T22,T66,T108)</f>
        <v>0</v>
      </c>
      <c r="U116" s="92">
        <f>U11+U63+U40</f>
        <v>0</v>
      </c>
      <c r="V116" s="92">
        <f>V11+V63+V40</f>
        <v>0</v>
      </c>
      <c r="W116" s="18">
        <f>IF(U116 &gt; 0, U116/T116, 0)</f>
        <v>0</v>
      </c>
      <c r="X116" s="40"/>
      <c r="Y116" s="16" t="s">
        <v>9</v>
      </c>
      <c r="Z116" s="17">
        <f>SUM(Z22,Z66,Z108)</f>
        <v>0</v>
      </c>
      <c r="AA116" s="92">
        <f>AA11+AA63+AA40</f>
        <v>0</v>
      </c>
      <c r="AB116" s="92">
        <f>AB11+AB63+AB40</f>
        <v>0</v>
      </c>
      <c r="AC116" s="18">
        <f>IF(AA116 &gt; 0, AA116/Z116, 0)</f>
        <v>0</v>
      </c>
      <c r="AD116" s="40"/>
    </row>
    <row r="117" spans="1:30" ht="15" x14ac:dyDescent="0.25">
      <c r="A117" s="8"/>
      <c r="B117" s="8"/>
      <c r="C117" s="8"/>
      <c r="D117" s="8"/>
      <c r="E117" s="8" t="str">
        <f>IF(C117 &gt; 0, C117/B117, "")</f>
        <v/>
      </c>
      <c r="F117" s="40"/>
      <c r="G117" s="8"/>
      <c r="H117" s="8"/>
      <c r="I117" s="8"/>
      <c r="J117" s="8"/>
      <c r="K117" s="8" t="str">
        <f>IF(I117 &gt; 0, I117/H117, "")</f>
        <v/>
      </c>
      <c r="L117" s="40"/>
      <c r="M117" s="8"/>
      <c r="N117" s="8"/>
      <c r="O117" s="8"/>
      <c r="P117" s="8"/>
      <c r="Q117" s="8" t="str">
        <f>IF(O117 &gt; 0, O117/N117, "")</f>
        <v/>
      </c>
      <c r="R117" s="40"/>
      <c r="S117" s="8"/>
      <c r="T117" s="8"/>
      <c r="U117" s="8"/>
      <c r="V117" s="8"/>
      <c r="W117" s="8" t="str">
        <f>IF(U117 &gt; 0, U117/T117, "")</f>
        <v/>
      </c>
      <c r="X117" s="40"/>
      <c r="Y117" s="8"/>
      <c r="Z117" s="8"/>
      <c r="AA117" s="8"/>
      <c r="AB117" s="8"/>
      <c r="AC117" s="8" t="str">
        <f>IF(AA117 &gt; 0, AA117/Z117, "")</f>
        <v/>
      </c>
      <c r="AD117" s="40"/>
    </row>
    <row r="118" spans="1:30" ht="15" x14ac:dyDescent="0.25">
      <c r="A118" s="93" t="s">
        <v>23</v>
      </c>
      <c r="B118" s="20">
        <f>B107</f>
        <v>82736.954664000004</v>
      </c>
      <c r="C118" s="41">
        <f>C62</f>
        <v>0</v>
      </c>
      <c r="D118" s="41">
        <f>D62</f>
        <v>0</v>
      </c>
      <c r="E118" s="8">
        <f t="shared" ref="E118:E125" si="5">IF(C118 &gt; 0, C118/B118, 0)</f>
        <v>0</v>
      </c>
      <c r="F118" s="40"/>
      <c r="G118" s="93" t="s">
        <v>23</v>
      </c>
      <c r="H118" s="20">
        <f>H107</f>
        <v>89725.799904</v>
      </c>
      <c r="I118" s="41">
        <f>I62</f>
        <v>0</v>
      </c>
      <c r="J118" s="41">
        <f>J62</f>
        <v>0</v>
      </c>
      <c r="K118" s="8">
        <f t="shared" ref="K118:K125" si="6">IF(I118 &gt; 0, I118/H118, 0)</f>
        <v>0</v>
      </c>
      <c r="L118" s="40"/>
      <c r="M118" s="93" t="s">
        <v>23</v>
      </c>
      <c r="N118" s="20">
        <f>N107</f>
        <v>83172.105328000005</v>
      </c>
      <c r="O118" s="41">
        <f>O62</f>
        <v>0</v>
      </c>
      <c r="P118" s="41">
        <f>P62</f>
        <v>0</v>
      </c>
      <c r="Q118" s="8">
        <f t="shared" ref="Q118:Q125" si="7">IF(O118 &gt; 0, O118/N118, 0)</f>
        <v>0</v>
      </c>
      <c r="R118" s="40"/>
      <c r="S118" s="93" t="s">
        <v>23</v>
      </c>
      <c r="T118" s="20">
        <f>T107</f>
        <v>0</v>
      </c>
      <c r="U118" s="41">
        <f>U62</f>
        <v>0</v>
      </c>
      <c r="V118" s="41">
        <f>V62</f>
        <v>0</v>
      </c>
      <c r="W118" s="8">
        <f t="shared" ref="W118:W125" si="8">IF(U118 &gt; 0, U118/T118, 0)</f>
        <v>0</v>
      </c>
      <c r="X118" s="40"/>
      <c r="Y118" s="93" t="s">
        <v>23</v>
      </c>
      <c r="Z118" s="20">
        <f>Z107</f>
        <v>0</v>
      </c>
      <c r="AA118" s="41">
        <f>AA62</f>
        <v>0</v>
      </c>
      <c r="AB118" s="41">
        <f>AB62</f>
        <v>0</v>
      </c>
      <c r="AC118" s="8">
        <f t="shared" ref="AC118:AC125" si="9">IF(AA118 &gt; 0, AA118/Z118, 0)</f>
        <v>0</v>
      </c>
      <c r="AD118" s="40"/>
    </row>
    <row r="119" spans="1:30" ht="15" x14ac:dyDescent="0.25">
      <c r="A119" s="94" t="s">
        <v>93</v>
      </c>
      <c r="B119" s="20">
        <f>SUM(B12,B38,B61,B74)</f>
        <v>30893.844072</v>
      </c>
      <c r="C119" s="41">
        <f>C23+C59+C5+C36</f>
        <v>0</v>
      </c>
      <c r="D119" s="41">
        <f>D23+D5+D36+D41</f>
        <v>0</v>
      </c>
      <c r="E119" s="8">
        <f t="shared" si="5"/>
        <v>0</v>
      </c>
      <c r="F119" s="40"/>
      <c r="G119" s="94" t="s">
        <v>93</v>
      </c>
      <c r="H119" s="20">
        <f>SUM(H12,H38,H61,H74)</f>
        <v>32720.925432</v>
      </c>
      <c r="I119" s="41">
        <f>I23+I59+I5+I36</f>
        <v>0</v>
      </c>
      <c r="J119" s="41">
        <f>J23+J5+J36+J41</f>
        <v>0</v>
      </c>
      <c r="K119" s="8">
        <f t="shared" si="6"/>
        <v>0</v>
      </c>
      <c r="L119" s="40"/>
      <c r="M119" s="94" t="s">
        <v>93</v>
      </c>
      <c r="N119" s="20">
        <f>SUM(N12,N38,N61,N74)</f>
        <v>28853.686368000002</v>
      </c>
      <c r="O119" s="41">
        <f>O23+O59+O5+O36</f>
        <v>0</v>
      </c>
      <c r="P119" s="41">
        <f>P23+P5+P36+P41</f>
        <v>0</v>
      </c>
      <c r="Q119" s="8">
        <f t="shared" si="7"/>
        <v>0</v>
      </c>
      <c r="R119" s="40"/>
      <c r="S119" s="94" t="s">
        <v>93</v>
      </c>
      <c r="T119" s="20">
        <f>SUM(T12,T38,T61,T74)</f>
        <v>0</v>
      </c>
      <c r="U119" s="41">
        <f>U23+U59+U5+U36</f>
        <v>0</v>
      </c>
      <c r="V119" s="41">
        <f>V23+V5+V36+V41</f>
        <v>0</v>
      </c>
      <c r="W119" s="8">
        <f t="shared" si="8"/>
        <v>0</v>
      </c>
      <c r="X119" s="40"/>
      <c r="Y119" s="94" t="s">
        <v>93</v>
      </c>
      <c r="Z119" s="20">
        <f>SUM(Z12,Z38,Z61,Z74)</f>
        <v>0</v>
      </c>
      <c r="AA119" s="41">
        <f>AA23+AA59+AA5+AA36</f>
        <v>0</v>
      </c>
      <c r="AB119" s="41">
        <f>AB23+AB5+AB36+AB41</f>
        <v>0</v>
      </c>
      <c r="AC119" s="8">
        <f t="shared" si="9"/>
        <v>0</v>
      </c>
      <c r="AD119" s="40"/>
    </row>
    <row r="120" spans="1:30" ht="15" x14ac:dyDescent="0.25">
      <c r="A120" s="94" t="s">
        <v>87</v>
      </c>
      <c r="B120" s="20">
        <f>SUM(B7,B40,B98)</f>
        <v>34046.892983999998</v>
      </c>
      <c r="C120" s="41">
        <f>C24+C4</f>
        <v>0</v>
      </c>
      <c r="D120" s="41">
        <f>D24+D4+D59</f>
        <v>0</v>
      </c>
      <c r="E120" s="8">
        <f t="shared" si="5"/>
        <v>0</v>
      </c>
      <c r="F120" s="40"/>
      <c r="G120" s="94" t="s">
        <v>87</v>
      </c>
      <c r="H120" s="20">
        <f>SUM(H7,H40,H98)</f>
        <v>32771.568960000004</v>
      </c>
      <c r="I120" s="41">
        <f>I24+I4</f>
        <v>0</v>
      </c>
      <c r="J120" s="41">
        <f>J24+J4+J59</f>
        <v>0</v>
      </c>
      <c r="K120" s="8">
        <f t="shared" si="6"/>
        <v>0</v>
      </c>
      <c r="L120" s="40"/>
      <c r="M120" s="94" t="s">
        <v>87</v>
      </c>
      <c r="N120" s="20">
        <f>SUM(N7,N40,N98)</f>
        <v>30288.475463999999</v>
      </c>
      <c r="O120" s="41">
        <f>O24+O4</f>
        <v>0</v>
      </c>
      <c r="P120" s="41">
        <f>P24+P4+P59</f>
        <v>0</v>
      </c>
      <c r="Q120" s="8">
        <f t="shared" si="7"/>
        <v>0</v>
      </c>
      <c r="R120" s="40"/>
      <c r="S120" s="94" t="s">
        <v>87</v>
      </c>
      <c r="T120" s="20">
        <f>SUM(T7,T40,T98)</f>
        <v>0</v>
      </c>
      <c r="U120" s="41">
        <f>U24+U4</f>
        <v>0</v>
      </c>
      <c r="V120" s="41">
        <f>V24+V4+V59</f>
        <v>0</v>
      </c>
      <c r="W120" s="8">
        <f t="shared" si="8"/>
        <v>0</v>
      </c>
      <c r="X120" s="40"/>
      <c r="Y120" s="94" t="s">
        <v>87</v>
      </c>
      <c r="Z120" s="20">
        <f>SUM(Z7,Z40,Z98)</f>
        <v>0</v>
      </c>
      <c r="AA120" s="41">
        <f>AA24+AA4</f>
        <v>0</v>
      </c>
      <c r="AB120" s="41">
        <f>AB24+AB4+AB59</f>
        <v>0</v>
      </c>
      <c r="AC120" s="8">
        <f t="shared" si="9"/>
        <v>0</v>
      </c>
      <c r="AD120" s="40"/>
    </row>
    <row r="121" spans="1:30" ht="15" x14ac:dyDescent="0.25">
      <c r="A121" s="94" t="s">
        <v>75</v>
      </c>
      <c r="B121" s="20">
        <f>SUM(B94,B86,B53)</f>
        <v>12074.43276</v>
      </c>
      <c r="C121" s="41">
        <f>C55+C50+C31</f>
        <v>0</v>
      </c>
      <c r="D121" s="41">
        <f>D55+D50+D31</f>
        <v>0</v>
      </c>
      <c r="E121" s="8">
        <f>IF(C121 &gt; 0, C121/B121, 0)</f>
        <v>0</v>
      </c>
      <c r="F121" s="40"/>
      <c r="G121" s="94" t="s">
        <v>75</v>
      </c>
      <c r="H121" s="20">
        <f>SUM(H94,H86,H53)</f>
        <v>12058.033416</v>
      </c>
      <c r="I121" s="41">
        <f>I55+I50+I31</f>
        <v>0</v>
      </c>
      <c r="J121" s="41">
        <f>J55+J50+J31</f>
        <v>0</v>
      </c>
      <c r="K121" s="8">
        <f t="shared" si="6"/>
        <v>0</v>
      </c>
      <c r="L121" s="40"/>
      <c r="M121" s="94" t="s">
        <v>75</v>
      </c>
      <c r="N121" s="20">
        <f>SUM(N94,N86,N53)</f>
        <v>10997.397528</v>
      </c>
      <c r="O121" s="41">
        <f>O55+O50+O31</f>
        <v>0</v>
      </c>
      <c r="P121" s="41">
        <f>P55+P50+P31</f>
        <v>0</v>
      </c>
      <c r="Q121" s="8">
        <f t="shared" si="7"/>
        <v>0</v>
      </c>
      <c r="R121" s="40"/>
      <c r="S121" s="94" t="s">
        <v>75</v>
      </c>
      <c r="T121" s="20">
        <f>SUM(T94,T86,T53)</f>
        <v>0</v>
      </c>
      <c r="U121" s="41">
        <f>U55+U50+U31</f>
        <v>0</v>
      </c>
      <c r="V121" s="41">
        <f>V55+V50+V31</f>
        <v>0</v>
      </c>
      <c r="W121" s="8">
        <f t="shared" si="8"/>
        <v>0</v>
      </c>
      <c r="X121" s="40"/>
      <c r="Y121" s="94" t="s">
        <v>75</v>
      </c>
      <c r="Z121" s="20">
        <f>SUM(Z94,Z86,Z53)</f>
        <v>0</v>
      </c>
      <c r="AA121" s="41">
        <f>AA55+AA50+AA31</f>
        <v>0</v>
      </c>
      <c r="AB121" s="41">
        <f>AB55+AB50+AB31</f>
        <v>0</v>
      </c>
      <c r="AC121" s="8">
        <f t="shared" si="9"/>
        <v>0</v>
      </c>
      <c r="AD121" s="40"/>
    </row>
    <row r="122" spans="1:30" ht="15" x14ac:dyDescent="0.25">
      <c r="A122" s="94" t="s">
        <v>97</v>
      </c>
      <c r="B122" s="20">
        <f>SUM(B97,B30,B37,B79)</f>
        <v>8449.1287919999995</v>
      </c>
      <c r="C122" s="41">
        <f>C17+C22+C44+C57</f>
        <v>0</v>
      </c>
      <c r="D122" s="41">
        <f>D17+D22+D44+D57</f>
        <v>0</v>
      </c>
      <c r="E122" s="8"/>
      <c r="F122" s="40"/>
      <c r="G122" s="94" t="s">
        <v>97</v>
      </c>
      <c r="H122" s="20">
        <f>SUM(H97,H30,H37,H79)</f>
        <v>8650.9865520000003</v>
      </c>
      <c r="I122" s="41">
        <f>I17+I22+I44+I57</f>
        <v>0</v>
      </c>
      <c r="J122" s="41">
        <f>J17+J22+J44+J57</f>
        <v>0</v>
      </c>
      <c r="K122" s="8"/>
      <c r="L122" s="40"/>
      <c r="M122" s="94" t="s">
        <v>97</v>
      </c>
      <c r="N122" s="20">
        <f>SUM(N97,N30,N37,N79)</f>
        <v>7875.6634320000003</v>
      </c>
      <c r="O122" s="41">
        <f>O17+O22+O44+O57</f>
        <v>0</v>
      </c>
      <c r="P122" s="41">
        <f>P17+P22+P44+P57</f>
        <v>0</v>
      </c>
      <c r="Q122" s="8"/>
      <c r="R122" s="40"/>
      <c r="S122" s="94" t="s">
        <v>97</v>
      </c>
      <c r="T122" s="20">
        <f>SUM(T97,T30,T37,T79)</f>
        <v>0</v>
      </c>
      <c r="U122" s="41">
        <f>U17+U22+U44+U57</f>
        <v>0</v>
      </c>
      <c r="V122" s="41">
        <f>V17+V22+V44+V57</f>
        <v>0</v>
      </c>
      <c r="W122" s="8"/>
      <c r="X122" s="40"/>
      <c r="Y122" s="94" t="s">
        <v>97</v>
      </c>
      <c r="Z122" s="20">
        <f>SUM(Z97,Z30,Z37,Z79)</f>
        <v>0</v>
      </c>
      <c r="AA122" s="41">
        <f>AA17+AA22+AA44+AA57</f>
        <v>0</v>
      </c>
      <c r="AB122" s="41">
        <f>AB17+AB22+AB44+AB57</f>
        <v>0</v>
      </c>
      <c r="AC122" s="8"/>
      <c r="AD122" s="40"/>
    </row>
    <row r="123" spans="1:30" ht="15" x14ac:dyDescent="0.25">
      <c r="A123" s="94" t="s">
        <v>64</v>
      </c>
      <c r="B123" s="20">
        <f>SUM(B51,B42)</f>
        <v>3079.8658800000003</v>
      </c>
      <c r="C123" s="41">
        <f>C17+C22+C25+C30+C41+C44+C57</f>
        <v>0</v>
      </c>
      <c r="D123" s="41">
        <f>D17+D22+D25+D30+D44+D57</f>
        <v>0</v>
      </c>
      <c r="E123" s="8">
        <f t="shared" si="5"/>
        <v>0</v>
      </c>
      <c r="F123" s="40"/>
      <c r="G123" s="94" t="s">
        <v>64</v>
      </c>
      <c r="H123" s="20">
        <f>SUM(H51,H42)</f>
        <v>3075.5038079999999</v>
      </c>
      <c r="I123" s="41">
        <f>I17+I22+I25+I30+I41+I44+I57</f>
        <v>0</v>
      </c>
      <c r="J123" s="41">
        <f>J17+J22+J25+J30+J44+J57</f>
        <v>0</v>
      </c>
      <c r="K123" s="8">
        <f t="shared" si="6"/>
        <v>0</v>
      </c>
      <c r="L123" s="40"/>
      <c r="M123" s="94" t="s">
        <v>64</v>
      </c>
      <c r="N123" s="20">
        <f>SUM(N51,N42)</f>
        <v>3013.846368</v>
      </c>
      <c r="O123" s="41">
        <f>O17+O22+O25+O30+O41+O44+O57</f>
        <v>0</v>
      </c>
      <c r="P123" s="41">
        <f>P17+P22+P25+P30+P44+P57</f>
        <v>0</v>
      </c>
      <c r="Q123" s="8">
        <f t="shared" si="7"/>
        <v>0</v>
      </c>
      <c r="R123" s="40"/>
      <c r="S123" s="94" t="s">
        <v>64</v>
      </c>
      <c r="T123" s="20">
        <f>SUM(T51,T42)</f>
        <v>0</v>
      </c>
      <c r="U123" s="41">
        <f>U17+U22+U25+U30+U41+U44+U57</f>
        <v>0</v>
      </c>
      <c r="V123" s="41">
        <f>V17+V22+V25+V30+V44+V57</f>
        <v>0</v>
      </c>
      <c r="W123" s="8">
        <f t="shared" si="8"/>
        <v>0</v>
      </c>
      <c r="X123" s="40"/>
      <c r="Y123" s="94" t="s">
        <v>64</v>
      </c>
      <c r="Z123" s="20">
        <f>SUM(Z51,Z42)</f>
        <v>0</v>
      </c>
      <c r="AA123" s="41">
        <f>AA17+AA22+AA25+AA30+AA41+AA44+AA57</f>
        <v>0</v>
      </c>
      <c r="AB123" s="41">
        <f>AB17+AB22+AB25+AB30+AB44+AB57</f>
        <v>0</v>
      </c>
      <c r="AC123" s="8">
        <f t="shared" si="9"/>
        <v>0</v>
      </c>
      <c r="AD123" s="40"/>
    </row>
    <row r="124" spans="1:30" ht="15" x14ac:dyDescent="0.25">
      <c r="A124" s="94" t="s">
        <v>89</v>
      </c>
      <c r="B124" s="20">
        <f>SUM(B19,B28:B29,B35,B48,B59,B60,B64,B85,B87,B91:B92)</f>
        <v>5060.5407840000016</v>
      </c>
      <c r="C124" s="41">
        <f>C9+C15+C16+C21+C29+C34+C35+C39+C49+C51+C53+C54</f>
        <v>0</v>
      </c>
      <c r="D124" s="41">
        <f>D9+D15+D16+D21+D29+D34+D35+D39+D49+D51+D53+D54</f>
        <v>0</v>
      </c>
      <c r="E124" s="8"/>
      <c r="F124" s="40"/>
      <c r="G124" s="94" t="s">
        <v>89</v>
      </c>
      <c r="H124" s="20">
        <f>SUM(H19,H28:H29,H35,H48,H59,H60,H64,H85,H87,H91:H92)</f>
        <v>5196.0080639999987</v>
      </c>
      <c r="I124" s="41">
        <f>I9+I15+I16+I21+I29+I34+I35+I39+I49+I51+I53+I54</f>
        <v>0</v>
      </c>
      <c r="J124" s="41">
        <f>J9+J15+J16+J21+J29+J34+J35+J39+J49+J51+J53+J54</f>
        <v>0</v>
      </c>
      <c r="K124" s="8"/>
      <c r="L124" s="40"/>
      <c r="M124" s="94" t="s">
        <v>89</v>
      </c>
      <c r="N124" s="20">
        <f>SUM(N19,N28:N29,N35,N48,N59,N60,N64,N85,N87,N91:N92)</f>
        <v>5086.9306800000013</v>
      </c>
      <c r="O124" s="41">
        <f>O9+O15+O16+O21+O29+O34+O35+O39+O49+O51+O53+O54</f>
        <v>0</v>
      </c>
      <c r="P124" s="41">
        <f>P9+P15+P16+P21+P29+P34+P35+P39+P49+P51+P53+P54</f>
        <v>0</v>
      </c>
      <c r="Q124" s="8"/>
      <c r="R124" s="40"/>
      <c r="S124" s="94" t="s">
        <v>89</v>
      </c>
      <c r="T124" s="20">
        <f>SUM(T19,T28:T29,T35,T48,T59,T60,T64,T85,T87,T91:T92)</f>
        <v>0</v>
      </c>
      <c r="U124" s="41">
        <f>U9+U15+U16+U21+U29+U34+U35+U39+U49+U51+U53+U54</f>
        <v>0</v>
      </c>
      <c r="V124" s="41">
        <f>V9+V15+V16+V21+V29+V34+V35+V39+V49+V51+V53+V54</f>
        <v>0</v>
      </c>
      <c r="W124" s="8"/>
      <c r="X124" s="40"/>
      <c r="Y124" s="94" t="s">
        <v>89</v>
      </c>
      <c r="Z124" s="20">
        <f>SUM(Z19,Z28:Z29,Z35,Z48,Z59,Z60,Z64,Z85,Z87,Z91:Z92)</f>
        <v>0</v>
      </c>
      <c r="AA124" s="41">
        <f>AA9+AA15+AA16+AA21+AA29+AA34+AA35+AA39+AA49+AA51+AA53+AA54</f>
        <v>0</v>
      </c>
      <c r="AB124" s="41">
        <f>AB9+AB15+AB16+AB21+AB29+AB34+AB35+AB39+AB49+AB51+AB53+AB54</f>
        <v>0</v>
      </c>
      <c r="AC124" s="8"/>
      <c r="AD124" s="40"/>
    </row>
    <row r="125" spans="1:30" ht="15" x14ac:dyDescent="0.25">
      <c r="A125" s="16" t="s">
        <v>24</v>
      </c>
      <c r="B125" s="92">
        <f>SUM(B118:B124)</f>
        <v>176341.65993600001</v>
      </c>
      <c r="C125" s="92">
        <f>SUM(C118:C124)</f>
        <v>0</v>
      </c>
      <c r="D125" s="92">
        <f>SUM(D118:D124)</f>
        <v>0</v>
      </c>
      <c r="E125" s="18">
        <f t="shared" si="5"/>
        <v>0</v>
      </c>
      <c r="F125" s="40"/>
      <c r="G125" s="16" t="s">
        <v>24</v>
      </c>
      <c r="H125" s="92">
        <f>SUM(H118:H124)</f>
        <v>184198.82613599999</v>
      </c>
      <c r="I125" s="92">
        <f>SUM(I118:I124)</f>
        <v>0</v>
      </c>
      <c r="J125" s="92">
        <f>SUM(J118:J124)</f>
        <v>0</v>
      </c>
      <c r="K125" s="18">
        <f t="shared" si="6"/>
        <v>0</v>
      </c>
      <c r="L125" s="40"/>
      <c r="M125" s="16" t="s">
        <v>24</v>
      </c>
      <c r="N125" s="92">
        <f>SUM(N118:N124)</f>
        <v>169288.10516799998</v>
      </c>
      <c r="O125" s="92">
        <f>SUM(O118:O124)</f>
        <v>0</v>
      </c>
      <c r="P125" s="92">
        <f>SUM(P118:P124)</f>
        <v>0</v>
      </c>
      <c r="Q125" s="18">
        <f t="shared" si="7"/>
        <v>0</v>
      </c>
      <c r="R125" s="40"/>
      <c r="S125" s="16" t="s">
        <v>24</v>
      </c>
      <c r="T125" s="92">
        <f>SUM(T118:T124)</f>
        <v>0</v>
      </c>
      <c r="U125" s="92">
        <f>SUM(U118:U124)</f>
        <v>0</v>
      </c>
      <c r="V125" s="92">
        <f>SUM(V118:V124)</f>
        <v>0</v>
      </c>
      <c r="W125" s="18">
        <f t="shared" si="8"/>
        <v>0</v>
      </c>
      <c r="X125" s="40"/>
      <c r="Y125" s="16" t="s">
        <v>24</v>
      </c>
      <c r="Z125" s="92">
        <f>SUM(Z118:Z124)</f>
        <v>0</v>
      </c>
      <c r="AA125" s="92">
        <f>SUM(AA118:AA124)</f>
        <v>0</v>
      </c>
      <c r="AB125" s="92">
        <f>SUM(AB118:AB124)</f>
        <v>0</v>
      </c>
      <c r="AC125" s="18">
        <f t="shared" si="9"/>
        <v>0</v>
      </c>
      <c r="AD125" s="40"/>
    </row>
    <row r="126" spans="1:30" ht="15" x14ac:dyDescent="0.25">
      <c r="A126" s="8"/>
      <c r="B126" s="8"/>
      <c r="C126" s="8"/>
      <c r="D126" s="8"/>
      <c r="E126" s="8" t="str">
        <f>IF(C126 &gt; 0, C126/B126, "")</f>
        <v/>
      </c>
      <c r="F126" s="40"/>
      <c r="G126" s="8"/>
      <c r="H126" s="8"/>
      <c r="I126" s="8"/>
      <c r="J126" s="8"/>
      <c r="K126" s="8" t="str">
        <f>IF(I126 &gt; 0, I126/H126, "")</f>
        <v/>
      </c>
      <c r="L126" s="40"/>
      <c r="M126" s="8"/>
      <c r="N126" s="8"/>
      <c r="O126" s="8"/>
      <c r="P126" s="8"/>
      <c r="Q126" s="8" t="str">
        <f>IF(O126 &gt; 0, O126/N126, "")</f>
        <v/>
      </c>
      <c r="R126" s="40"/>
      <c r="S126" s="8"/>
      <c r="T126" s="8"/>
      <c r="U126" s="8"/>
      <c r="V126" s="8"/>
      <c r="W126" s="8" t="str">
        <f>IF(U126 &gt; 0, U126/T126, "")</f>
        <v/>
      </c>
      <c r="X126" s="40"/>
      <c r="Y126" s="8"/>
      <c r="Z126" s="8"/>
      <c r="AA126" s="8"/>
      <c r="AB126" s="8"/>
      <c r="AC126" s="8" t="str">
        <f>IF(AA126 &gt; 0, AA126/Z126, "")</f>
        <v/>
      </c>
      <c r="AD126" s="40"/>
    </row>
    <row r="127" spans="1:30" ht="15" x14ac:dyDescent="0.25">
      <c r="A127" s="93" t="s">
        <v>65</v>
      </c>
      <c r="B127" s="20">
        <f>SUM(B75,B6)</f>
        <v>61644.68088</v>
      </c>
      <c r="C127" s="20">
        <f>SUM(C75,C6)</f>
        <v>0</v>
      </c>
      <c r="D127" s="20">
        <f>SUM(D75,D6)</f>
        <v>0</v>
      </c>
      <c r="E127" s="8">
        <f>IF(C127 &gt; 0, C127/B127, 0)</f>
        <v>0</v>
      </c>
      <c r="F127" s="40"/>
      <c r="G127" s="93" t="s">
        <v>65</v>
      </c>
      <c r="H127" s="20">
        <f>SUM(H75,H6)</f>
        <v>61731.489104</v>
      </c>
      <c r="I127" s="20">
        <f>SUM(I75,I6)</f>
        <v>0</v>
      </c>
      <c r="J127" s="20">
        <f>SUM(J75,J6)</f>
        <v>0</v>
      </c>
      <c r="K127" s="8">
        <f>IF(I127 &gt; 0, I127/H127, 0)</f>
        <v>0</v>
      </c>
      <c r="L127" s="40"/>
      <c r="M127" s="93" t="s">
        <v>65</v>
      </c>
      <c r="N127" s="20">
        <f>SUM(N75,N6)</f>
        <v>57510.521904000001</v>
      </c>
      <c r="O127" s="20">
        <f>SUM(O75,O6)</f>
        <v>0</v>
      </c>
      <c r="P127" s="20">
        <f>SUM(P75,P6)</f>
        <v>0</v>
      </c>
      <c r="Q127" s="8">
        <f>IF(O127 &gt; 0, O127/N127, 0)</f>
        <v>0</v>
      </c>
      <c r="R127" s="40"/>
      <c r="S127" s="93" t="s">
        <v>65</v>
      </c>
      <c r="T127" s="20">
        <f>SUM(T75,T6)</f>
        <v>0</v>
      </c>
      <c r="U127" s="20">
        <f>SUM(U75,U6)</f>
        <v>0</v>
      </c>
      <c r="V127" s="20">
        <f>SUM(V75,V6)</f>
        <v>0</v>
      </c>
      <c r="W127" s="8">
        <f>IF(U127 &gt; 0, U127/T127, 0)</f>
        <v>0</v>
      </c>
      <c r="X127" s="40"/>
      <c r="Y127" s="93" t="s">
        <v>65</v>
      </c>
      <c r="Z127" s="20">
        <f>SUM(Z75,Z6)</f>
        <v>0</v>
      </c>
      <c r="AA127" s="20">
        <f>SUM(AA75,AA6)</f>
        <v>0</v>
      </c>
      <c r="AB127" s="20">
        <f>SUM(AB75,AB6)</f>
        <v>0</v>
      </c>
      <c r="AC127" s="8">
        <f>IF(AA127 &gt; 0, AA127/Z127, 0)</f>
        <v>0</v>
      </c>
      <c r="AD127" s="40"/>
    </row>
    <row r="128" spans="1:30" ht="15" x14ac:dyDescent="0.25">
      <c r="A128" s="93" t="s">
        <v>25</v>
      </c>
      <c r="B128" s="20">
        <f>B54</f>
        <v>16019.833635000001</v>
      </c>
      <c r="C128" s="20">
        <f>C54</f>
        <v>0</v>
      </c>
      <c r="D128" s="20">
        <f>D54</f>
        <v>0</v>
      </c>
      <c r="E128" s="8">
        <f>IF(C128 &gt; 0, C128/B128, 0)</f>
        <v>0</v>
      </c>
      <c r="F128" s="40"/>
      <c r="G128" s="93" t="s">
        <v>25</v>
      </c>
      <c r="H128" s="20">
        <f>H54</f>
        <v>17126.374005000001</v>
      </c>
      <c r="I128" s="20">
        <f>I54</f>
        <v>0</v>
      </c>
      <c r="J128" s="20">
        <f>J54</f>
        <v>0</v>
      </c>
      <c r="K128" s="8">
        <f>IF(I128 &gt; 0, I128/H128, 0)</f>
        <v>0</v>
      </c>
      <c r="L128" s="40"/>
      <c r="M128" s="93" t="s">
        <v>25</v>
      </c>
      <c r="N128" s="20">
        <f>N54</f>
        <v>16091.42769</v>
      </c>
      <c r="O128" s="20">
        <f>O54</f>
        <v>0</v>
      </c>
      <c r="P128" s="20">
        <f>P54</f>
        <v>0</v>
      </c>
      <c r="Q128" s="8">
        <f>IF(O128 &gt; 0, O128/N128, 0)</f>
        <v>0</v>
      </c>
      <c r="R128" s="40"/>
      <c r="S128" s="93" t="s">
        <v>25</v>
      </c>
      <c r="T128" s="20">
        <f>T54</f>
        <v>0</v>
      </c>
      <c r="U128" s="20">
        <f>U54</f>
        <v>0</v>
      </c>
      <c r="V128" s="20">
        <f>V54</f>
        <v>0</v>
      </c>
      <c r="W128" s="8">
        <f>IF(U128 &gt; 0, U128/T128, 0)</f>
        <v>0</v>
      </c>
      <c r="X128" s="40"/>
      <c r="Y128" s="93" t="s">
        <v>25</v>
      </c>
      <c r="Z128" s="20">
        <f>Z54</f>
        <v>0</v>
      </c>
      <c r="AA128" s="20">
        <f>AA54</f>
        <v>0</v>
      </c>
      <c r="AB128" s="20">
        <f>AB54</f>
        <v>0</v>
      </c>
      <c r="AC128" s="8">
        <f>IF(AA128 &gt; 0, AA128/Z128, 0)</f>
        <v>0</v>
      </c>
      <c r="AD128" s="40"/>
    </row>
    <row r="129" spans="1:30" ht="15" x14ac:dyDescent="0.25">
      <c r="A129" s="93" t="s">
        <v>96</v>
      </c>
      <c r="B129" s="20">
        <f>SUM(B83,B82,B80,B76,B46,B44,B32,B34,B25,B26,B27,B17,B4,B15,B33,B110,B13)</f>
        <v>39963.06</v>
      </c>
      <c r="C129" s="20">
        <f>SUM(C83,C82,C80,C76,C46,C44,C32,C34,C25,C26,C27,C17,C4,C15,C33,C110)</f>
        <v>0</v>
      </c>
      <c r="D129" s="20">
        <f>SUM(D83,D82,D80,D76,D46,D44,D32,D34,D25,D26,D27,D17,D4,D15,D33,D110)</f>
        <v>0</v>
      </c>
      <c r="E129" s="8"/>
      <c r="F129" s="40"/>
      <c r="G129" s="93" t="s">
        <v>96</v>
      </c>
      <c r="H129" s="20">
        <f>SUM(H83,H82,H80,H76,H46,H44,H32,H34,H25,H26,H27,H17,H4,H15,H33,H110,H13)</f>
        <v>37061.290000000008</v>
      </c>
      <c r="I129" s="20">
        <f>SUM(I83,I82,I80,I76,I46,I44,I32,I34,I25,I26,I27,I17,I4,I15,I33,I110)</f>
        <v>0</v>
      </c>
      <c r="J129" s="20">
        <f>SUM(J83,J82,J80,J76,J46,J44,J32,J34,J25,J26,J27,J17,J4,J15,J33,J110)</f>
        <v>0</v>
      </c>
      <c r="K129" s="8"/>
      <c r="L129" s="40"/>
      <c r="M129" s="93" t="s">
        <v>96</v>
      </c>
      <c r="N129" s="20">
        <f>SUM(N83,N82,N80,N76,N46,N44,N32,N34,N25,N26,N27,N17,N4,N15,N33,N110,N13)</f>
        <v>37925.650000000009</v>
      </c>
      <c r="O129" s="20">
        <f>SUM(O83,O82,O80,O76,O46,O44,O32,O34,O25,O26,O27,O17,O4,O15,O33,O110)</f>
        <v>0</v>
      </c>
      <c r="P129" s="20">
        <f>SUM(P83,P82,P80,P76,P46,P44,P32,P34,P25,P26,P27,P17,P4,P15,P33,P110)</f>
        <v>0</v>
      </c>
      <c r="Q129" s="8"/>
      <c r="R129" s="40"/>
      <c r="S129" s="93" t="s">
        <v>96</v>
      </c>
      <c r="T129" s="20">
        <f>SUM(T83,T82,T80,T76,T46,T44,T32,T34,T25,T26,T27,T17,T4,T15,T33,T110,T13)</f>
        <v>0</v>
      </c>
      <c r="U129" s="20">
        <f>SUM(U83,U82,U80,U76,U46,U44,U32,U34,U25,U26,U27,U17,U4,U15,U33,U110)</f>
        <v>0</v>
      </c>
      <c r="V129" s="20">
        <f>SUM(V83,V82,V80,V76,V46,V44,V32,V34,V25,V26,V27,V17,V4,V15,V33,V110)</f>
        <v>0</v>
      </c>
      <c r="W129" s="8"/>
      <c r="X129" s="40"/>
      <c r="Y129" s="93" t="s">
        <v>96</v>
      </c>
      <c r="Z129" s="20">
        <f>SUM(Z83,Z82,Z80,Z76,Z46,Z44,Z32,Z34,Z25,Z26,Z27,Z17,Z4,Z15,Z33,Z110,Z13)</f>
        <v>0</v>
      </c>
      <c r="AA129" s="20">
        <f>SUM(AA83,AA82,AA80,AA76,AA46,AA44,AA32,AA34,AA25,AA26,AA27,AA17,AA4,AA15,AA33,AA110)</f>
        <v>0</v>
      </c>
      <c r="AB129" s="20">
        <f>SUM(AB83,AB82,AB80,AB76,AB46,AB44,AB32,AB34,AB25,AB26,AB27,AB17,AB4,AB15,AB33,AB110)</f>
        <v>0</v>
      </c>
      <c r="AC129" s="8"/>
      <c r="AD129" s="40"/>
    </row>
    <row r="130" spans="1:30" ht="15" x14ac:dyDescent="0.25">
      <c r="A130" s="93" t="s">
        <v>99</v>
      </c>
      <c r="B130" s="20">
        <f>SUM(B18,B21,B47,B62,B63,B69,B84,B90,B99,B101,B111,B95,B58)</f>
        <v>3574.8274130000004</v>
      </c>
      <c r="C130" s="20">
        <f>SUM(C18,C21,C47,C62,C63,C69,C84,C90,C99,C101,C111,C95,C58)</f>
        <v>0</v>
      </c>
      <c r="D130" s="20">
        <f>SUM(D18,D21,D47,D62,D63,D69,D84,D90,D99,D101,D111,D95,D58)</f>
        <v>0</v>
      </c>
      <c r="E130" s="8"/>
      <c r="F130" s="40"/>
      <c r="G130" s="93" t="s">
        <v>99</v>
      </c>
      <c r="H130" s="20">
        <f>SUM(H18,H21,H47,H62,H63,H69,H84,H90,H99,H101,H111,H95,H58)</f>
        <v>3793.299884</v>
      </c>
      <c r="I130" s="20">
        <f>SUM(I18,I21,I47,I62,I63,I69,I84,I90,I99,I101,I111,I95,I58)</f>
        <v>0</v>
      </c>
      <c r="J130" s="20">
        <f>SUM(J18,J21,J47,J62,J63,J69,J84,J90,J99,J101,J111,J95,J58)</f>
        <v>0</v>
      </c>
      <c r="K130" s="8"/>
      <c r="L130" s="40"/>
      <c r="M130" s="93" t="s">
        <v>99</v>
      </c>
      <c r="N130" s="20">
        <f>SUM(N18,N21,N47,N62,N63,N69,N84,N90,N99,N101,N111,N95,N58)</f>
        <v>3487.0204620000004</v>
      </c>
      <c r="O130" s="20">
        <f>SUM(O18,O21,O47,O62,O63,O69,O84,O90,O99,O101,O111,O95,O58)</f>
        <v>0</v>
      </c>
      <c r="P130" s="20">
        <f>SUM(P18,P21,P47,P62,P63,P69,P84,P90,P99,P101,P111,P95,P58)</f>
        <v>0</v>
      </c>
      <c r="Q130" s="8"/>
      <c r="R130" s="40"/>
      <c r="S130" s="93" t="s">
        <v>99</v>
      </c>
      <c r="T130" s="20">
        <f>SUM(T18,T21,T47,T62,T63,T69,T84,T90,T99,T101,T111,T95,T58)</f>
        <v>0</v>
      </c>
      <c r="U130" s="20">
        <f>SUM(U18,U21,U47,U62,U63,U69,U84,U90,U99,U101,U111,U95,U58)</f>
        <v>0</v>
      </c>
      <c r="V130" s="20">
        <f>SUM(V18,V21,V47,V62,V63,V69,V84,V90,V99,V101,V111,V95,V58)</f>
        <v>0</v>
      </c>
      <c r="W130" s="8"/>
      <c r="X130" s="40"/>
      <c r="Y130" s="93" t="s">
        <v>99</v>
      </c>
      <c r="Z130" s="20">
        <f>SUM(Z18,Z21,Z47,Z62,Z63,Z69,Z84,Z90,Z99,Z101,Z111,Z95,Z58)</f>
        <v>0</v>
      </c>
      <c r="AA130" s="20">
        <f>SUM(AA18,AA21,AA47,AA62,AA63,AA69,AA84,AA90,AA99,AA101,AA111,AA95,AA58)</f>
        <v>0</v>
      </c>
      <c r="AB130" s="20">
        <f>SUM(AB18,AB21,AB47,AB62,AB63,AB69,AB84,AB90,AB99,AB101,AB111,AB95,AB58)</f>
        <v>0</v>
      </c>
      <c r="AC130" s="8"/>
      <c r="AD130" s="40"/>
    </row>
    <row r="131" spans="1:30" ht="15" x14ac:dyDescent="0.25">
      <c r="A131" s="93" t="s">
        <v>202</v>
      </c>
      <c r="B131" s="20">
        <f>B112+B113+B109+B106+B105+B104+B102+B100+B96+B89+B81+B77+B78+B71+B72+B73+B67+B68+B65+B55+B56+B57+B52+B50+B49+B45+B43+B41+B39+B36+B31+B24+B23+B20+B16+B14+B11+B10+B9+B8+B5+B3+B2+B93+B70</f>
        <v>4277.7169689999992</v>
      </c>
      <c r="C131" s="20" t="e">
        <f>C112+C113+C109+C106+C105+C104+C102+C100+C96+C89+C81+C77+C78+C71+C72+C73+C67+C68+C65+C55+C56+C57+C52+C50+C49+C45+C43+C41+C39+C36+C31+C24+C23+C20+C16+C14+C11+C10+C9+C8+C5+C3+#REF!+C93+C13+C70</f>
        <v>#REF!</v>
      </c>
      <c r="D131" s="20">
        <f t="shared" ref="D131" si="10">D112+D113+D109+D106+D105+D104+D102+D100+D96+D89+D81+D77+D78+D71+D72+D73+D67+D68+D65+D55+D56+D57+D52+D50+D49+D45+D43+D41+D39+D36+D31+D24+D23+D20+D16+D14+D11+D10+D9+D8+D5+D3+D2+D93+D13+D70</f>
        <v>0</v>
      </c>
      <c r="E131" s="8"/>
      <c r="F131" s="40"/>
      <c r="G131" s="93" t="s">
        <v>202</v>
      </c>
      <c r="H131" s="20">
        <f>H112+H113+H109+H106+H105+H104+H102+H100+H96+H89+H81+H77+H78+H71+H72+H73+H67+H68+H65+H55+H56+H57+H52+H50+H49+H45+H43+H41+H39+H36+H31+H24+H23+H20+H16+H14+H11+H10+H9+H8+H5+H3+H2+H93+H70</f>
        <v>4474.5399879999995</v>
      </c>
      <c r="I131" s="20">
        <f t="shared" ref="I131:J131" si="11">I112+I113+I109+I106+I105+I104+I102+I100+I96+I89+I81+I77+I78+I71+I72+I73+I67+I68+I65+I55+I56+I57+I52+I50+I49+I45+I43+I41+I39+I36+I31+I24+I23+I20+I16+I14+I11+I10+I9+I8+I5+I3+I2+I93+I13+I70</f>
        <v>0</v>
      </c>
      <c r="J131" s="20">
        <f t="shared" si="11"/>
        <v>0</v>
      </c>
      <c r="K131" s="8"/>
      <c r="L131" s="40"/>
      <c r="M131" s="93" t="s">
        <v>202</v>
      </c>
      <c r="N131" s="20">
        <f>N112+N113+N109+N106+N105+N104+N102+N100+N96+N89+N81+N77+N78+N71+N72+N73+N67+N68+N65+N55+N56+N57+N52+N50+N49+N45+N43+N41+N39+N36+N31+N24+N23+N20+N16+N14+N11+N10+N9+N8+N5+N3+N2+N93+N70</f>
        <v>4064.4797170000002</v>
      </c>
      <c r="O131" s="20">
        <f t="shared" ref="O131:P131" si="12">O112+O113+O109+O106+O105+O104+O102+O100+O96+O89+O81+O77+O78+O71+O72+O73+O67+O68+O65+O55+O56+O57+O52+O50+O49+O45+O43+O41+O39+O36+O31+O24+O23+O20+O16+O14+O11+O10+O9+O8+O5+O3+O2+O93+O13+O70</f>
        <v>0</v>
      </c>
      <c r="P131" s="20">
        <f t="shared" si="12"/>
        <v>0</v>
      </c>
      <c r="Q131" s="8"/>
      <c r="R131" s="40"/>
      <c r="S131" s="93" t="s">
        <v>202</v>
      </c>
      <c r="T131" s="20">
        <f>T112+T113+T109+T106+T105+T104+T102+T100+T96+T89+T81+T77+T78+T71+T72+T73+T67+T68+T65+T55+T56+T57+T52+T50+T49+T45+T43+T41+T39+T36+T31+T24+T23+T20+T16+T14+T11+T10+T9+T8+T5+T3+T2+T93+T70</f>
        <v>0</v>
      </c>
      <c r="U131" s="20">
        <f t="shared" ref="U131:V131" si="13">U112+U113+U109+U106+U105+U104+U102+U100+U96+U89+U81+U77+U78+U71+U72+U73+U67+U68+U65+U55+U56+U57+U52+U50+U49+U45+U43+U41+U39+U36+U31+U24+U23+U20+U16+U14+U11+U10+U9+U8+U5+U3+U2+U93+U13+U70</f>
        <v>0</v>
      </c>
      <c r="V131" s="20">
        <f t="shared" si="13"/>
        <v>0</v>
      </c>
      <c r="W131" s="8"/>
      <c r="X131" s="40"/>
      <c r="Y131" s="93" t="s">
        <v>202</v>
      </c>
      <c r="Z131" s="20">
        <f>Z112+Z113+Z109+Z106+Z105+Z104+Z102+Z100+Z96+Z89+Z81+Z77+Z78+Z71+Z72+Z73+Z67+Z68+Z65+Z55+Z56+Z57+Z52+Z50+Z49+Z45+Z43+Z41+Z39+Z36+Z31+Z24+Z23+Z20+Z16+Z14+Z11+Z10+Z9+Z8+Z5+Z3+Z2+Z93+Z70</f>
        <v>0</v>
      </c>
      <c r="AA131" s="20">
        <f t="shared" ref="AA131:AB131" si="14">AA112+AA113+AA109+AA106+AA105+AA104+AA102+AA100+AA96+AA89+AA81+AA77+AA78+AA71+AA72+AA73+AA67+AA68+AA65+AA55+AA56+AA57+AA52+AA50+AA49+AA45+AA43+AA41+AA39+AA36+AA31+AA24+AA23+AA20+AA16+AA14+AA11+AA10+AA9+AA8+AA5+AA3+AA2+AA93+AA13+AA70</f>
        <v>0</v>
      </c>
      <c r="AB131" s="20">
        <f t="shared" si="14"/>
        <v>0</v>
      </c>
      <c r="AC131" s="8"/>
      <c r="AD131" s="40"/>
    </row>
    <row r="132" spans="1:30" ht="15" x14ac:dyDescent="0.25">
      <c r="A132" s="26" t="s">
        <v>182</v>
      </c>
      <c r="B132" s="20">
        <f>B88</f>
        <v>5372.3380260000004</v>
      </c>
      <c r="C132" s="20">
        <f t="shared" ref="C132:D132" si="15">C88</f>
        <v>0</v>
      </c>
      <c r="D132" s="20">
        <f t="shared" si="15"/>
        <v>0</v>
      </c>
      <c r="E132" s="8"/>
      <c r="F132" s="40"/>
      <c r="G132" s="26" t="s">
        <v>182</v>
      </c>
      <c r="H132" s="20">
        <f t="shared" ref="H132:J132" si="16">H88</f>
        <v>5482.7779829999999</v>
      </c>
      <c r="I132" s="20">
        <f t="shared" si="16"/>
        <v>0</v>
      </c>
      <c r="J132" s="20">
        <f t="shared" si="16"/>
        <v>0</v>
      </c>
      <c r="K132" s="8"/>
      <c r="L132" s="40"/>
      <c r="M132" s="26" t="s">
        <v>182</v>
      </c>
      <c r="N132" s="20">
        <f t="shared" ref="N132:P132" si="17">N88</f>
        <v>4068.1666439999999</v>
      </c>
      <c r="O132" s="20">
        <f t="shared" si="17"/>
        <v>0</v>
      </c>
      <c r="P132" s="20">
        <f t="shared" si="17"/>
        <v>0</v>
      </c>
      <c r="Q132" s="8"/>
      <c r="R132" s="40"/>
      <c r="S132" s="26" t="s">
        <v>182</v>
      </c>
      <c r="T132" s="20">
        <f t="shared" ref="T132:V132" si="18">T88</f>
        <v>0</v>
      </c>
      <c r="U132" s="20">
        <f t="shared" si="18"/>
        <v>0</v>
      </c>
      <c r="V132" s="20">
        <f t="shared" si="18"/>
        <v>0</v>
      </c>
      <c r="W132" s="8"/>
      <c r="X132" s="40"/>
      <c r="Y132" s="26" t="s">
        <v>182</v>
      </c>
      <c r="Z132" s="20">
        <f t="shared" ref="Z132:AB132" si="19">Z88</f>
        <v>0</v>
      </c>
      <c r="AA132" s="20">
        <f t="shared" si="19"/>
        <v>0</v>
      </c>
      <c r="AB132" s="20">
        <f t="shared" si="19"/>
        <v>0</v>
      </c>
      <c r="AC132" s="8"/>
      <c r="AD132" s="40"/>
    </row>
    <row r="133" spans="1:30" ht="15" x14ac:dyDescent="0.25">
      <c r="A133" s="26" t="s">
        <v>192</v>
      </c>
      <c r="B133" s="20">
        <f>B103</f>
        <v>898.75761699999998</v>
      </c>
      <c r="C133" s="20">
        <f t="shared" ref="C133:D133" si="20">C103</f>
        <v>0</v>
      </c>
      <c r="D133" s="20">
        <f t="shared" si="20"/>
        <v>0</v>
      </c>
      <c r="E133" s="8"/>
      <c r="F133" s="40"/>
      <c r="G133" s="26" t="s">
        <v>192</v>
      </c>
      <c r="H133" s="20">
        <f t="shared" ref="H133:J133" si="21">H103</f>
        <v>980.57669699999997</v>
      </c>
      <c r="I133" s="20">
        <f t="shared" si="21"/>
        <v>0</v>
      </c>
      <c r="J133" s="20">
        <f t="shared" si="21"/>
        <v>0</v>
      </c>
      <c r="K133" s="8"/>
      <c r="L133" s="40"/>
      <c r="M133" s="26" t="s">
        <v>192</v>
      </c>
      <c r="N133" s="20">
        <f t="shared" ref="N133:P133" si="22">N103</f>
        <v>937.63930200000004</v>
      </c>
      <c r="O133" s="20">
        <f t="shared" si="22"/>
        <v>0</v>
      </c>
      <c r="P133" s="20">
        <f t="shared" si="22"/>
        <v>0</v>
      </c>
      <c r="Q133" s="8"/>
      <c r="R133" s="40"/>
      <c r="S133" s="26" t="s">
        <v>192</v>
      </c>
      <c r="T133" s="20">
        <f t="shared" ref="T133:V133" si="23">T103</f>
        <v>0</v>
      </c>
      <c r="U133" s="20">
        <f t="shared" si="23"/>
        <v>0</v>
      </c>
      <c r="V133" s="20">
        <f t="shared" si="23"/>
        <v>0</v>
      </c>
      <c r="W133" s="8"/>
      <c r="X133" s="40"/>
      <c r="Y133" s="26" t="s">
        <v>192</v>
      </c>
      <c r="Z133" s="20">
        <f t="shared" ref="Z133:AB133" si="24">Z103</f>
        <v>0</v>
      </c>
      <c r="AA133" s="20">
        <f t="shared" si="24"/>
        <v>0</v>
      </c>
      <c r="AB133" s="20">
        <f t="shared" si="24"/>
        <v>0</v>
      </c>
      <c r="AC133" s="8"/>
      <c r="AD133" s="40"/>
    </row>
    <row r="134" spans="1:30" ht="15" x14ac:dyDescent="0.25">
      <c r="A134" s="16" t="s">
        <v>26</v>
      </c>
      <c r="B134" s="92">
        <f>SUM(B127:B131)</f>
        <v>125480.11889700001</v>
      </c>
      <c r="C134" s="92">
        <f>SUM(C127:C129)</f>
        <v>0</v>
      </c>
      <c r="D134" s="92">
        <f>SUM(D127:D129)</f>
        <v>0</v>
      </c>
      <c r="E134" s="18">
        <f>IF(C134 &gt; 0, C134/B134, 0)</f>
        <v>0</v>
      </c>
      <c r="F134" s="40"/>
      <c r="G134" s="16" t="s">
        <v>26</v>
      </c>
      <c r="H134" s="92">
        <f>SUM(H127:H131)</f>
        <v>124186.99298100002</v>
      </c>
      <c r="I134" s="92">
        <f>SUM(I127:I129)</f>
        <v>0</v>
      </c>
      <c r="J134" s="92">
        <f>SUM(J127:J129)</f>
        <v>0</v>
      </c>
      <c r="K134" s="18">
        <f>IF(I134 &gt; 0, I134/H134, 0)</f>
        <v>0</v>
      </c>
      <c r="L134" s="40"/>
      <c r="M134" s="16" t="s">
        <v>26</v>
      </c>
      <c r="N134" s="92">
        <f>SUM(N127:N131)</f>
        <v>119079.09977300001</v>
      </c>
      <c r="O134" s="92">
        <f>SUM(O127:O129)</f>
        <v>0</v>
      </c>
      <c r="P134" s="92">
        <f>SUM(P127:P129)</f>
        <v>0</v>
      </c>
      <c r="Q134" s="18">
        <f>IF(O134 &gt; 0, O134/N134, 0)</f>
        <v>0</v>
      </c>
      <c r="R134" s="40"/>
      <c r="S134" s="16" t="s">
        <v>26</v>
      </c>
      <c r="T134" s="92">
        <f>SUM(T127:T131)</f>
        <v>0</v>
      </c>
      <c r="U134" s="92">
        <f>SUM(U127:U129)</f>
        <v>0</v>
      </c>
      <c r="V134" s="92">
        <f>SUM(V127:V129)</f>
        <v>0</v>
      </c>
      <c r="W134" s="18">
        <f>IF(U134 &gt; 0, U134/T134, 0)</f>
        <v>0</v>
      </c>
      <c r="X134" s="40"/>
      <c r="Y134" s="16" t="s">
        <v>26</v>
      </c>
      <c r="Z134" s="92">
        <f>SUM(Z127:Z131)</f>
        <v>0</v>
      </c>
      <c r="AA134" s="92">
        <f>SUM(AA127:AA129)</f>
        <v>0</v>
      </c>
      <c r="AB134" s="92">
        <f>SUM(AB127:AB129)</f>
        <v>0</v>
      </c>
      <c r="AC134" s="18">
        <f>IF(AA134 &gt; 0, AA134/Z134, 0)</f>
        <v>0</v>
      </c>
      <c r="AD134" s="40"/>
    </row>
    <row r="135" spans="1:30" ht="15" x14ac:dyDescent="0.25">
      <c r="A135" s="8"/>
      <c r="B135" s="8"/>
      <c r="C135" s="8"/>
      <c r="D135" s="8"/>
      <c r="E135" s="8" t="str">
        <f>IF(C135 &gt; 0, C135/B135, "")</f>
        <v/>
      </c>
      <c r="F135" s="40"/>
      <c r="G135" s="8"/>
      <c r="H135" s="8"/>
      <c r="I135" s="8"/>
      <c r="J135" s="8"/>
      <c r="K135" s="8" t="str">
        <f>IF(I135 &gt; 0, I135/H135, "")</f>
        <v/>
      </c>
      <c r="L135" s="40"/>
      <c r="M135" s="8"/>
      <c r="N135" s="8"/>
      <c r="O135" s="8"/>
      <c r="P135" s="8"/>
      <c r="Q135" s="8" t="str">
        <f>IF(O135 &gt; 0, O135/N135, "")</f>
        <v/>
      </c>
      <c r="R135" s="40"/>
      <c r="S135" s="8"/>
      <c r="T135" s="8"/>
      <c r="U135" s="8"/>
      <c r="V135" s="8"/>
      <c r="W135" s="8" t="str">
        <f>IF(U135 &gt; 0, U135/T135, "")</f>
        <v/>
      </c>
      <c r="X135" s="40"/>
      <c r="Y135" s="8"/>
      <c r="Z135" s="8"/>
      <c r="AA135" s="8"/>
      <c r="AB135" s="8"/>
      <c r="AC135" s="8" t="str">
        <f>IF(AA135 &gt; 0, AA135/Z135, "")</f>
        <v/>
      </c>
      <c r="AD135" s="40"/>
    </row>
    <row r="136" spans="1:30" ht="15" x14ac:dyDescent="0.25">
      <c r="A136" s="21" t="s">
        <v>27</v>
      </c>
      <c r="B136" s="95">
        <f>B116+B125+B134</f>
        <v>669403.78572799999</v>
      </c>
      <c r="C136" s="95">
        <f>C116+C125+C134</f>
        <v>0</v>
      </c>
      <c r="D136" s="95">
        <f>D116+D125+D134</f>
        <v>0</v>
      </c>
      <c r="E136" s="23">
        <f>IF(C136 &gt; 0, C136/B136, 0)</f>
        <v>0</v>
      </c>
      <c r="F136" s="40"/>
      <c r="G136" s="21" t="s">
        <v>28</v>
      </c>
      <c r="H136" s="95">
        <f>H116+H125+H134</f>
        <v>817338.54758000001</v>
      </c>
      <c r="I136" s="95">
        <f>I116+I125+I134</f>
        <v>0</v>
      </c>
      <c r="J136" s="95">
        <f>J116+J125+J134</f>
        <v>0</v>
      </c>
      <c r="K136" s="23">
        <f>IF(I136 &gt; 0, I136/H136, 0)</f>
        <v>0</v>
      </c>
      <c r="L136" s="40"/>
      <c r="M136" s="21" t="s">
        <v>29</v>
      </c>
      <c r="N136" s="95">
        <f>N116+N125+N134</f>
        <v>694778.13821599993</v>
      </c>
      <c r="O136" s="95">
        <f>O116+O125+O134</f>
        <v>0</v>
      </c>
      <c r="P136" s="95">
        <f>P116+P125+P134</f>
        <v>0</v>
      </c>
      <c r="Q136" s="24">
        <f>IF(O136 &gt; 0, O136/N136, 0)</f>
        <v>0</v>
      </c>
      <c r="R136" s="40"/>
      <c r="S136" s="21" t="s">
        <v>30</v>
      </c>
      <c r="T136" s="95">
        <f>T116+T125+T134</f>
        <v>0</v>
      </c>
      <c r="U136" s="95">
        <f>U116+U125+U134</f>
        <v>0</v>
      </c>
      <c r="V136" s="95">
        <f>V116+V125+V134</f>
        <v>0</v>
      </c>
      <c r="W136" s="23">
        <f>IF(U136 &gt; 0, U136/T136, 0)</f>
        <v>0</v>
      </c>
      <c r="X136" s="40"/>
      <c r="Y136" s="21" t="s">
        <v>31</v>
      </c>
      <c r="Z136" s="95">
        <f>Z116+Z125+Z134</f>
        <v>0</v>
      </c>
      <c r="AA136" s="95">
        <f>AA116+AA125+AA134</f>
        <v>0</v>
      </c>
      <c r="AB136" s="95">
        <f>AB116+AB125+AB134</f>
        <v>0</v>
      </c>
      <c r="AC136" s="23">
        <f>IF(AA136 &gt; 0, AA136/Z136, 0)</f>
        <v>0</v>
      </c>
      <c r="AD136" s="40"/>
    </row>
    <row r="138" spans="1:30" ht="15" x14ac:dyDescent="0.25">
      <c r="A138" s="87" t="s">
        <v>126</v>
      </c>
      <c r="B138" s="44">
        <f>B2</f>
        <v>0</v>
      </c>
      <c r="G138" s="87" t="s">
        <v>126</v>
      </c>
      <c r="H138" s="44">
        <f>H2</f>
        <v>0.61</v>
      </c>
      <c r="M138" s="87" t="s">
        <v>126</v>
      </c>
      <c r="N138" s="44">
        <f>N2</f>
        <v>0</v>
      </c>
      <c r="S138" s="87" t="s">
        <v>126</v>
      </c>
      <c r="T138" s="44">
        <f>T2</f>
        <v>0</v>
      </c>
      <c r="Y138" s="87" t="s">
        <v>126</v>
      </c>
      <c r="Z138" s="44">
        <f>Z2</f>
        <v>0</v>
      </c>
    </row>
    <row r="139" spans="1:30" ht="15" x14ac:dyDescent="0.25">
      <c r="A139" s="59" t="s">
        <v>127</v>
      </c>
      <c r="B139" s="44">
        <f t="shared" ref="B139:B202" si="25">B3</f>
        <v>0</v>
      </c>
      <c r="G139" s="59" t="s">
        <v>127</v>
      </c>
      <c r="H139" s="44">
        <f t="shared" ref="H139:H202" si="26">H3</f>
        <v>6.71</v>
      </c>
      <c r="M139" s="59" t="s">
        <v>127</v>
      </c>
      <c r="N139" s="44">
        <f t="shared" ref="N139:N202" si="27">N3</f>
        <v>0.61</v>
      </c>
      <c r="S139" s="59" t="s">
        <v>127</v>
      </c>
      <c r="T139" s="44">
        <f t="shared" ref="T139:T202" si="28">T3</f>
        <v>0</v>
      </c>
      <c r="Y139" s="59" t="s">
        <v>127</v>
      </c>
      <c r="Z139" s="44">
        <f t="shared" ref="Z139:Z202" si="29">Z3</f>
        <v>0</v>
      </c>
    </row>
    <row r="140" spans="1:30" ht="15" x14ac:dyDescent="0.25">
      <c r="A140" s="59" t="s">
        <v>128</v>
      </c>
      <c r="B140" s="44">
        <f t="shared" si="25"/>
        <v>451.27</v>
      </c>
      <c r="G140" s="59" t="s">
        <v>128</v>
      </c>
      <c r="H140" s="44">
        <f t="shared" si="26"/>
        <v>283.87</v>
      </c>
      <c r="M140" s="59" t="s">
        <v>128</v>
      </c>
      <c r="N140" s="44">
        <f t="shared" si="27"/>
        <v>331.71</v>
      </c>
      <c r="S140" s="59" t="s">
        <v>128</v>
      </c>
      <c r="T140" s="44">
        <f t="shared" si="28"/>
        <v>0</v>
      </c>
      <c r="Y140" s="59" t="s">
        <v>128</v>
      </c>
      <c r="Z140" s="44">
        <f t="shared" si="29"/>
        <v>0</v>
      </c>
    </row>
    <row r="141" spans="1:30" ht="15" x14ac:dyDescent="0.25">
      <c r="A141" s="59" t="s">
        <v>129</v>
      </c>
      <c r="B141" s="44">
        <f t="shared" si="25"/>
        <v>11.04</v>
      </c>
      <c r="G141" s="59" t="s">
        <v>129</v>
      </c>
      <c r="H141" s="44">
        <f t="shared" si="26"/>
        <v>28.8</v>
      </c>
      <c r="M141" s="59" t="s">
        <v>129</v>
      </c>
      <c r="N141" s="44">
        <f t="shared" si="27"/>
        <v>1.74</v>
      </c>
      <c r="S141" s="59" t="s">
        <v>129</v>
      </c>
      <c r="T141" s="44">
        <f t="shared" si="28"/>
        <v>0</v>
      </c>
      <c r="Y141" s="59" t="s">
        <v>129</v>
      </c>
      <c r="Z141" s="44">
        <f t="shared" si="29"/>
        <v>0</v>
      </c>
    </row>
    <row r="142" spans="1:30" ht="15" x14ac:dyDescent="0.25">
      <c r="A142" s="59" t="s">
        <v>33</v>
      </c>
      <c r="B142" s="44">
        <f t="shared" si="25"/>
        <v>58317.944968000003</v>
      </c>
      <c r="G142" s="59" t="s">
        <v>33</v>
      </c>
      <c r="H142" s="44">
        <f t="shared" si="26"/>
        <v>58155.501128000004</v>
      </c>
      <c r="M142" s="59" t="s">
        <v>33</v>
      </c>
      <c r="N142" s="44">
        <f t="shared" si="27"/>
        <v>53974.694675999999</v>
      </c>
      <c r="S142" s="59" t="s">
        <v>33</v>
      </c>
      <c r="T142" s="44">
        <f t="shared" si="28"/>
        <v>0</v>
      </c>
      <c r="Y142" s="59" t="s">
        <v>33</v>
      </c>
      <c r="Z142" s="44">
        <f t="shared" si="29"/>
        <v>0</v>
      </c>
    </row>
    <row r="143" spans="1:30" ht="15" x14ac:dyDescent="0.25">
      <c r="A143" s="59" t="s">
        <v>34</v>
      </c>
      <c r="B143" s="44">
        <f t="shared" si="25"/>
        <v>2868.4013279999999</v>
      </c>
      <c r="G143" s="59" t="s">
        <v>34</v>
      </c>
      <c r="H143" s="44">
        <f t="shared" si="26"/>
        <v>2564.4122400000001</v>
      </c>
      <c r="M143" s="59" t="s">
        <v>34</v>
      </c>
      <c r="N143" s="44">
        <f t="shared" si="27"/>
        <v>2517.478392</v>
      </c>
      <c r="S143" s="59" t="s">
        <v>34</v>
      </c>
      <c r="T143" s="44">
        <f t="shared" si="28"/>
        <v>0</v>
      </c>
      <c r="Y143" s="59" t="s">
        <v>34</v>
      </c>
      <c r="Z143" s="44">
        <f t="shared" si="29"/>
        <v>0</v>
      </c>
    </row>
    <row r="144" spans="1:30" ht="15" x14ac:dyDescent="0.25">
      <c r="A144" s="59" t="s">
        <v>130</v>
      </c>
      <c r="B144" s="44">
        <f t="shared" si="25"/>
        <v>43.14</v>
      </c>
      <c r="G144" s="59" t="s">
        <v>130</v>
      </c>
      <c r="H144" s="44">
        <f t="shared" si="26"/>
        <v>55.23</v>
      </c>
      <c r="M144" s="59" t="s">
        <v>130</v>
      </c>
      <c r="N144" s="44">
        <f t="shared" si="27"/>
        <v>22.68</v>
      </c>
      <c r="S144" s="59" t="s">
        <v>130</v>
      </c>
      <c r="T144" s="44">
        <f t="shared" si="28"/>
        <v>0</v>
      </c>
      <c r="Y144" s="59" t="s">
        <v>130</v>
      </c>
      <c r="Z144" s="44">
        <f t="shared" si="29"/>
        <v>0</v>
      </c>
    </row>
    <row r="145" spans="1:26" ht="15" x14ac:dyDescent="0.25">
      <c r="A145" s="59" t="s">
        <v>131</v>
      </c>
      <c r="B145" s="44">
        <f t="shared" si="25"/>
        <v>6.37</v>
      </c>
      <c r="G145" s="59" t="s">
        <v>131</v>
      </c>
      <c r="H145" s="44">
        <f t="shared" si="26"/>
        <v>1.22</v>
      </c>
      <c r="M145" s="59" t="s">
        <v>131</v>
      </c>
      <c r="N145" s="44">
        <f t="shared" si="27"/>
        <v>11.43</v>
      </c>
      <c r="S145" s="59" t="s">
        <v>131</v>
      </c>
      <c r="T145" s="44">
        <f t="shared" si="28"/>
        <v>0</v>
      </c>
      <c r="Y145" s="59" t="s">
        <v>131</v>
      </c>
      <c r="Z145" s="44">
        <f t="shared" si="29"/>
        <v>0</v>
      </c>
    </row>
    <row r="146" spans="1:26" ht="15" x14ac:dyDescent="0.25">
      <c r="A146" s="59" t="s">
        <v>132</v>
      </c>
      <c r="B146" s="44">
        <f t="shared" si="25"/>
        <v>14.21</v>
      </c>
      <c r="G146" s="59" t="s">
        <v>132</v>
      </c>
      <c r="H146" s="44">
        <f t="shared" si="26"/>
        <v>8.5399999999999991</v>
      </c>
      <c r="M146" s="59" t="s">
        <v>132</v>
      </c>
      <c r="N146" s="44">
        <f t="shared" si="27"/>
        <v>0.61</v>
      </c>
      <c r="S146" s="59" t="s">
        <v>132</v>
      </c>
      <c r="T146" s="44">
        <f t="shared" si="28"/>
        <v>0</v>
      </c>
      <c r="Y146" s="59" t="s">
        <v>132</v>
      </c>
      <c r="Z146" s="44">
        <f t="shared" si="29"/>
        <v>0</v>
      </c>
    </row>
    <row r="147" spans="1:26" ht="15" x14ac:dyDescent="0.25">
      <c r="A147" s="59" t="s">
        <v>133</v>
      </c>
      <c r="B147" s="44">
        <f t="shared" si="25"/>
        <v>24.27</v>
      </c>
      <c r="G147" s="59" t="s">
        <v>133</v>
      </c>
      <c r="H147" s="44">
        <f t="shared" si="26"/>
        <v>39.18</v>
      </c>
      <c r="M147" s="59" t="s">
        <v>133</v>
      </c>
      <c r="N147" s="44">
        <f t="shared" si="27"/>
        <v>4.59</v>
      </c>
      <c r="S147" s="59" t="s">
        <v>133</v>
      </c>
      <c r="T147" s="44">
        <f t="shared" si="28"/>
        <v>0</v>
      </c>
      <c r="Y147" s="59" t="s">
        <v>133</v>
      </c>
      <c r="Z147" s="44">
        <f t="shared" si="29"/>
        <v>0</v>
      </c>
    </row>
    <row r="148" spans="1:26" ht="15" x14ac:dyDescent="0.25">
      <c r="A148" s="59" t="s">
        <v>35</v>
      </c>
      <c r="B148" s="44">
        <f t="shared" si="25"/>
        <v>6112.2606480000004</v>
      </c>
      <c r="G148" s="59" t="s">
        <v>35</v>
      </c>
      <c r="H148" s="44">
        <f t="shared" si="26"/>
        <v>6659.6431199999997</v>
      </c>
      <c r="M148" s="59" t="s">
        <v>35</v>
      </c>
      <c r="N148" s="44">
        <f t="shared" si="27"/>
        <v>6091.3968960000002</v>
      </c>
      <c r="S148" s="59" t="s">
        <v>35</v>
      </c>
      <c r="T148" s="44">
        <f t="shared" si="28"/>
        <v>0</v>
      </c>
      <c r="Y148" s="59" t="s">
        <v>35</v>
      </c>
      <c r="Z148" s="44">
        <f t="shared" si="29"/>
        <v>0</v>
      </c>
    </row>
    <row r="149" spans="1:26" ht="15" x14ac:dyDescent="0.25">
      <c r="A149" s="59" t="s">
        <v>134</v>
      </c>
      <c r="B149" s="44">
        <f t="shared" si="25"/>
        <v>0</v>
      </c>
      <c r="G149" s="59" t="s">
        <v>134</v>
      </c>
      <c r="H149" s="44">
        <f t="shared" si="26"/>
        <v>11.59</v>
      </c>
      <c r="M149" s="59" t="s">
        <v>134</v>
      </c>
      <c r="N149" s="44">
        <f t="shared" si="27"/>
        <v>10.98</v>
      </c>
      <c r="S149" s="59" t="s">
        <v>134</v>
      </c>
      <c r="T149" s="44">
        <f t="shared" si="28"/>
        <v>0</v>
      </c>
      <c r="Y149" s="59" t="s">
        <v>134</v>
      </c>
      <c r="Z149" s="44">
        <f t="shared" si="29"/>
        <v>0</v>
      </c>
    </row>
    <row r="150" spans="1:26" ht="15" x14ac:dyDescent="0.25">
      <c r="A150" s="59" t="s">
        <v>135</v>
      </c>
      <c r="B150" s="44">
        <f t="shared" si="25"/>
        <v>27.02</v>
      </c>
      <c r="G150" s="59" t="s">
        <v>135</v>
      </c>
      <c r="H150" s="44">
        <f t="shared" si="26"/>
        <v>13.24</v>
      </c>
      <c r="M150" s="59" t="s">
        <v>135</v>
      </c>
      <c r="N150" s="44">
        <f t="shared" si="27"/>
        <v>15.45</v>
      </c>
      <c r="S150" s="59" t="s">
        <v>135</v>
      </c>
      <c r="T150" s="44">
        <f t="shared" si="28"/>
        <v>0</v>
      </c>
      <c r="Y150" s="59" t="s">
        <v>135</v>
      </c>
      <c r="Z150" s="44">
        <f t="shared" si="29"/>
        <v>0</v>
      </c>
    </row>
    <row r="151" spans="1:26" ht="15" x14ac:dyDescent="0.25">
      <c r="A151" s="59" t="s">
        <v>136</v>
      </c>
      <c r="B151" s="44">
        <f t="shared" si="25"/>
        <v>0.61</v>
      </c>
      <c r="G151" s="59" t="s">
        <v>136</v>
      </c>
      <c r="H151" s="44">
        <f t="shared" si="26"/>
        <v>18.3</v>
      </c>
      <c r="M151" s="59" t="s">
        <v>136</v>
      </c>
      <c r="N151" s="44">
        <f t="shared" si="27"/>
        <v>3.66</v>
      </c>
      <c r="S151" s="59" t="s">
        <v>136</v>
      </c>
      <c r="T151" s="44">
        <f t="shared" si="28"/>
        <v>0</v>
      </c>
      <c r="Y151" s="59" t="s">
        <v>136</v>
      </c>
      <c r="Z151" s="44">
        <f t="shared" si="29"/>
        <v>0</v>
      </c>
    </row>
    <row r="152" spans="1:26" ht="15" x14ac:dyDescent="0.25">
      <c r="A152" s="59" t="s">
        <v>137</v>
      </c>
      <c r="B152" s="44">
        <f t="shared" si="25"/>
        <v>1.49</v>
      </c>
      <c r="G152" s="59" t="s">
        <v>137</v>
      </c>
      <c r="H152" s="44">
        <f t="shared" si="26"/>
        <v>6.37</v>
      </c>
      <c r="M152" s="59" t="s">
        <v>137</v>
      </c>
      <c r="N152" s="44">
        <f t="shared" si="27"/>
        <v>50.63</v>
      </c>
      <c r="S152" s="59" t="s">
        <v>137</v>
      </c>
      <c r="T152" s="44">
        <f t="shared" si="28"/>
        <v>0</v>
      </c>
      <c r="Y152" s="59" t="s">
        <v>137</v>
      </c>
      <c r="Z152" s="44">
        <f t="shared" si="29"/>
        <v>0</v>
      </c>
    </row>
    <row r="153" spans="1:26" ht="15" x14ac:dyDescent="0.25">
      <c r="A153" s="59" t="s">
        <v>138</v>
      </c>
      <c r="B153" s="44">
        <f t="shared" si="25"/>
        <v>33940.22</v>
      </c>
      <c r="G153" s="59" t="s">
        <v>138</v>
      </c>
      <c r="H153" s="44">
        <f t="shared" si="26"/>
        <v>31243.93</v>
      </c>
      <c r="M153" s="59" t="s">
        <v>138</v>
      </c>
      <c r="N153" s="44">
        <f t="shared" si="27"/>
        <v>32156.75</v>
      </c>
      <c r="S153" s="59" t="s">
        <v>138</v>
      </c>
      <c r="T153" s="44">
        <f t="shared" si="28"/>
        <v>0</v>
      </c>
      <c r="Y153" s="59" t="s">
        <v>138</v>
      </c>
      <c r="Z153" s="44">
        <f t="shared" si="29"/>
        <v>0</v>
      </c>
    </row>
    <row r="154" spans="1:26" ht="15" x14ac:dyDescent="0.25">
      <c r="A154" s="59" t="s">
        <v>139</v>
      </c>
      <c r="B154" s="44">
        <f t="shared" si="25"/>
        <v>12.06</v>
      </c>
      <c r="G154" s="59" t="s">
        <v>139</v>
      </c>
      <c r="H154" s="44">
        <f t="shared" si="26"/>
        <v>3.72</v>
      </c>
      <c r="M154" s="59" t="s">
        <v>139</v>
      </c>
      <c r="N154" s="44">
        <f t="shared" si="27"/>
        <v>18.600000000000001</v>
      </c>
      <c r="S154" s="59" t="s">
        <v>139</v>
      </c>
      <c r="T154" s="44">
        <f t="shared" si="28"/>
        <v>0</v>
      </c>
      <c r="Y154" s="59" t="s">
        <v>139</v>
      </c>
      <c r="Z154" s="44">
        <f t="shared" si="29"/>
        <v>0</v>
      </c>
    </row>
    <row r="155" spans="1:26" ht="15" x14ac:dyDescent="0.25">
      <c r="A155" s="59" t="s">
        <v>62</v>
      </c>
      <c r="B155" s="44">
        <f t="shared" si="25"/>
        <v>63.601824000000001</v>
      </c>
      <c r="G155" s="59" t="s">
        <v>62</v>
      </c>
      <c r="H155" s="44">
        <f t="shared" si="26"/>
        <v>67.823183999999998</v>
      </c>
      <c r="M155" s="59" t="s">
        <v>62</v>
      </c>
      <c r="N155" s="44">
        <f t="shared" si="27"/>
        <v>68.194152000000003</v>
      </c>
      <c r="S155" s="59" t="s">
        <v>62</v>
      </c>
      <c r="T155" s="44">
        <f t="shared" si="28"/>
        <v>0</v>
      </c>
      <c r="Y155" s="59" t="s">
        <v>62</v>
      </c>
      <c r="Z155" s="44">
        <f t="shared" si="29"/>
        <v>0</v>
      </c>
    </row>
    <row r="156" spans="1:26" ht="15" x14ac:dyDescent="0.25">
      <c r="A156" s="59" t="s">
        <v>140</v>
      </c>
      <c r="B156" s="44">
        <f t="shared" si="25"/>
        <v>32.94</v>
      </c>
      <c r="G156" s="59" t="s">
        <v>140</v>
      </c>
      <c r="H156" s="44">
        <f t="shared" si="26"/>
        <v>2.69</v>
      </c>
      <c r="M156" s="59" t="s">
        <v>140</v>
      </c>
      <c r="N156" s="44">
        <f t="shared" si="27"/>
        <v>0.61</v>
      </c>
      <c r="S156" s="59" t="s">
        <v>140</v>
      </c>
      <c r="T156" s="44">
        <f t="shared" si="28"/>
        <v>0</v>
      </c>
      <c r="Y156" s="59" t="s">
        <v>140</v>
      </c>
      <c r="Z156" s="44">
        <f t="shared" si="29"/>
        <v>0</v>
      </c>
    </row>
    <row r="157" spans="1:26" ht="15" x14ac:dyDescent="0.25">
      <c r="A157" s="59" t="s">
        <v>141</v>
      </c>
      <c r="B157" s="44">
        <f t="shared" si="25"/>
        <v>1.24</v>
      </c>
      <c r="G157" s="59" t="s">
        <v>141</v>
      </c>
      <c r="H157" s="44">
        <f t="shared" si="26"/>
        <v>3.72</v>
      </c>
      <c r="M157" s="59" t="s">
        <v>141</v>
      </c>
      <c r="N157" s="44">
        <f t="shared" si="27"/>
        <v>3.72</v>
      </c>
      <c r="S157" s="59" t="s">
        <v>141</v>
      </c>
      <c r="T157" s="44">
        <f t="shared" si="28"/>
        <v>0</v>
      </c>
      <c r="Y157" s="59" t="s">
        <v>141</v>
      </c>
      <c r="Z157" s="44">
        <f t="shared" si="29"/>
        <v>0</v>
      </c>
    </row>
    <row r="158" spans="1:26" ht="15" x14ac:dyDescent="0.25">
      <c r="A158" s="59" t="s">
        <v>36</v>
      </c>
      <c r="B158" s="44">
        <f t="shared" si="25"/>
        <v>41812.746245000002</v>
      </c>
      <c r="G158" s="59" t="s">
        <v>36</v>
      </c>
      <c r="H158" s="44">
        <f t="shared" si="26"/>
        <v>51668.822524000003</v>
      </c>
      <c r="M158" s="59" t="s">
        <v>36</v>
      </c>
      <c r="N158" s="44">
        <f t="shared" si="27"/>
        <v>43104.034</v>
      </c>
      <c r="S158" s="59" t="s">
        <v>36</v>
      </c>
      <c r="T158" s="44">
        <f t="shared" si="28"/>
        <v>0</v>
      </c>
      <c r="Y158" s="59" t="s">
        <v>36</v>
      </c>
      <c r="Z158" s="44">
        <f t="shared" si="29"/>
        <v>0</v>
      </c>
    </row>
    <row r="159" spans="1:26" ht="15" x14ac:dyDescent="0.25">
      <c r="A159" s="59" t="s">
        <v>142</v>
      </c>
      <c r="B159" s="44">
        <f t="shared" si="25"/>
        <v>0</v>
      </c>
      <c r="G159" s="59" t="s">
        <v>142</v>
      </c>
      <c r="H159" s="44">
        <f t="shared" si="26"/>
        <v>0</v>
      </c>
      <c r="M159" s="59" t="s">
        <v>142</v>
      </c>
      <c r="N159" s="44">
        <f t="shared" si="27"/>
        <v>0</v>
      </c>
      <c r="S159" s="59" t="s">
        <v>142</v>
      </c>
      <c r="T159" s="44">
        <f t="shared" si="28"/>
        <v>0</v>
      </c>
      <c r="Y159" s="59" t="s">
        <v>142</v>
      </c>
      <c r="Z159" s="44">
        <f t="shared" si="29"/>
        <v>0</v>
      </c>
    </row>
    <row r="160" spans="1:26" ht="15" x14ac:dyDescent="0.25">
      <c r="A160" s="59" t="s">
        <v>143</v>
      </c>
      <c r="B160" s="44">
        <f t="shared" si="25"/>
        <v>0.88</v>
      </c>
      <c r="G160" s="59" t="s">
        <v>143</v>
      </c>
      <c r="H160" s="44">
        <f t="shared" si="26"/>
        <v>30.5</v>
      </c>
      <c r="M160" s="59" t="s">
        <v>143</v>
      </c>
      <c r="N160" s="44">
        <f t="shared" si="27"/>
        <v>7.93</v>
      </c>
      <c r="S160" s="59" t="s">
        <v>143</v>
      </c>
      <c r="T160" s="44">
        <f t="shared" si="28"/>
        <v>0</v>
      </c>
      <c r="Y160" s="59" t="s">
        <v>143</v>
      </c>
      <c r="Z160" s="44">
        <f t="shared" si="29"/>
        <v>0</v>
      </c>
    </row>
    <row r="161" spans="1:26" ht="15" x14ac:dyDescent="0.25">
      <c r="A161" s="59" t="s">
        <v>144</v>
      </c>
      <c r="B161" s="44">
        <f t="shared" si="25"/>
        <v>1642.49</v>
      </c>
      <c r="G161" s="59" t="s">
        <v>144</v>
      </c>
      <c r="H161" s="44">
        <f t="shared" si="26"/>
        <v>1628.63</v>
      </c>
      <c r="M161" s="59" t="s">
        <v>144</v>
      </c>
      <c r="N161" s="44">
        <f t="shared" si="27"/>
        <v>1374.76</v>
      </c>
      <c r="S161" s="59" t="s">
        <v>144</v>
      </c>
      <c r="T161" s="44">
        <f t="shared" si="28"/>
        <v>0</v>
      </c>
      <c r="Y161" s="59" t="s">
        <v>144</v>
      </c>
      <c r="Z161" s="44">
        <f t="shared" si="29"/>
        <v>0</v>
      </c>
    </row>
    <row r="162" spans="1:26" ht="15" x14ac:dyDescent="0.25">
      <c r="A162" s="59" t="s">
        <v>145</v>
      </c>
      <c r="B162" s="44">
        <f t="shared" si="25"/>
        <v>2391.37</v>
      </c>
      <c r="G162" s="59" t="s">
        <v>145</v>
      </c>
      <c r="H162" s="44">
        <f t="shared" si="26"/>
        <v>2272.2800000000002</v>
      </c>
      <c r="M162" s="59" t="s">
        <v>145</v>
      </c>
      <c r="N162" s="44">
        <f t="shared" si="27"/>
        <v>2379.81</v>
      </c>
      <c r="S162" s="59" t="s">
        <v>145</v>
      </c>
      <c r="T162" s="44">
        <f t="shared" si="28"/>
        <v>0</v>
      </c>
      <c r="Y162" s="59" t="s">
        <v>145</v>
      </c>
      <c r="Z162" s="44">
        <f t="shared" si="29"/>
        <v>0</v>
      </c>
    </row>
    <row r="163" spans="1:26" ht="15" x14ac:dyDescent="0.25">
      <c r="A163" s="59" t="s">
        <v>146</v>
      </c>
      <c r="B163" s="44">
        <f t="shared" si="25"/>
        <v>178.01</v>
      </c>
      <c r="G163" s="59" t="s">
        <v>146</v>
      </c>
      <c r="H163" s="44">
        <f t="shared" si="26"/>
        <v>241.82</v>
      </c>
      <c r="M163" s="59" t="s">
        <v>146</v>
      </c>
      <c r="N163" s="44">
        <f t="shared" si="27"/>
        <v>216.76</v>
      </c>
      <c r="S163" s="59" t="s">
        <v>146</v>
      </c>
      <c r="T163" s="44">
        <f t="shared" si="28"/>
        <v>0</v>
      </c>
      <c r="Y163" s="59" t="s">
        <v>146</v>
      </c>
      <c r="Z163" s="44">
        <f t="shared" si="29"/>
        <v>0</v>
      </c>
    </row>
    <row r="164" spans="1:26" ht="15" x14ac:dyDescent="0.25">
      <c r="A164" s="88" t="s">
        <v>61</v>
      </c>
      <c r="B164" s="44">
        <f t="shared" si="25"/>
        <v>26.172432000000001</v>
      </c>
      <c r="G164" s="88" t="s">
        <v>61</v>
      </c>
      <c r="H164" s="44">
        <f t="shared" si="26"/>
        <v>107.670264</v>
      </c>
      <c r="M164" s="88" t="s">
        <v>61</v>
      </c>
      <c r="N164" s="44">
        <f t="shared" si="27"/>
        <v>86.755343999999994</v>
      </c>
      <c r="S164" s="88" t="s">
        <v>61</v>
      </c>
      <c r="T164" s="44">
        <f t="shared" si="28"/>
        <v>0</v>
      </c>
      <c r="Y164" s="88" t="s">
        <v>61</v>
      </c>
      <c r="Z164" s="44">
        <f t="shared" si="29"/>
        <v>0</v>
      </c>
    </row>
    <row r="165" spans="1:26" ht="15" x14ac:dyDescent="0.25">
      <c r="A165" s="59" t="s">
        <v>60</v>
      </c>
      <c r="B165" s="44">
        <f t="shared" si="25"/>
        <v>2404.9727520000001</v>
      </c>
      <c r="G165" s="59" t="s">
        <v>60</v>
      </c>
      <c r="H165" s="44">
        <f t="shared" si="26"/>
        <v>2302.6623359999999</v>
      </c>
      <c r="M165" s="59" t="s">
        <v>60</v>
      </c>
      <c r="N165" s="44">
        <f t="shared" si="27"/>
        <v>2257.5065760000002</v>
      </c>
      <c r="S165" s="59" t="s">
        <v>60</v>
      </c>
      <c r="T165" s="44">
        <f t="shared" si="28"/>
        <v>0</v>
      </c>
      <c r="Y165" s="59" t="s">
        <v>60</v>
      </c>
      <c r="Z165" s="44">
        <f t="shared" si="29"/>
        <v>0</v>
      </c>
    </row>
    <row r="166" spans="1:26" ht="15" x14ac:dyDescent="0.25">
      <c r="A166" s="59" t="s">
        <v>37</v>
      </c>
      <c r="B166" s="44">
        <f t="shared" si="25"/>
        <v>2611.7554319999999</v>
      </c>
      <c r="G166" s="59" t="s">
        <v>37</v>
      </c>
      <c r="H166" s="44">
        <f t="shared" si="26"/>
        <v>2486.70084</v>
      </c>
      <c r="M166" s="59" t="s">
        <v>37</v>
      </c>
      <c r="N166" s="44">
        <f t="shared" si="27"/>
        <v>2246.0833200000002</v>
      </c>
      <c r="S166" s="59" t="s">
        <v>37</v>
      </c>
      <c r="T166" s="44">
        <f t="shared" si="28"/>
        <v>0</v>
      </c>
      <c r="Y166" s="59" t="s">
        <v>37</v>
      </c>
      <c r="Z166" s="44">
        <f t="shared" si="29"/>
        <v>0</v>
      </c>
    </row>
    <row r="167" spans="1:26" ht="15" x14ac:dyDescent="0.25">
      <c r="A167" s="59" t="s">
        <v>147</v>
      </c>
      <c r="B167" s="44">
        <f t="shared" si="25"/>
        <v>0.61</v>
      </c>
      <c r="G167" s="59" t="s">
        <v>147</v>
      </c>
      <c r="H167" s="44">
        <f t="shared" si="26"/>
        <v>0</v>
      </c>
      <c r="M167" s="59" t="s">
        <v>147</v>
      </c>
      <c r="N167" s="44">
        <f t="shared" si="27"/>
        <v>1.83</v>
      </c>
      <c r="S167" s="59" t="s">
        <v>147</v>
      </c>
      <c r="T167" s="44">
        <f t="shared" si="28"/>
        <v>0</v>
      </c>
      <c r="Y167" s="59" t="s">
        <v>147</v>
      </c>
      <c r="Z167" s="44">
        <f t="shared" si="29"/>
        <v>0</v>
      </c>
    </row>
    <row r="168" spans="1:26" ht="15" x14ac:dyDescent="0.25">
      <c r="A168" s="59" t="s">
        <v>148</v>
      </c>
      <c r="B168" s="44">
        <f t="shared" si="25"/>
        <v>171.9</v>
      </c>
      <c r="G168" s="59" t="s">
        <v>148</v>
      </c>
      <c r="H168" s="44">
        <f t="shared" si="26"/>
        <v>160.97</v>
      </c>
      <c r="M168" s="59" t="s">
        <v>148</v>
      </c>
      <c r="N168" s="44">
        <f t="shared" si="27"/>
        <v>211.98</v>
      </c>
      <c r="S168" s="59" t="s">
        <v>148</v>
      </c>
      <c r="T168" s="44">
        <f t="shared" si="28"/>
        <v>0</v>
      </c>
      <c r="Y168" s="59" t="s">
        <v>148</v>
      </c>
      <c r="Z168" s="44">
        <f t="shared" si="29"/>
        <v>0</v>
      </c>
    </row>
    <row r="169" spans="1:26" ht="15" x14ac:dyDescent="0.25">
      <c r="A169" s="88" t="s">
        <v>149</v>
      </c>
      <c r="B169" s="44">
        <f t="shared" si="25"/>
        <v>329.83</v>
      </c>
      <c r="G169" s="88" t="s">
        <v>149</v>
      </c>
      <c r="H169" s="44">
        <f t="shared" si="26"/>
        <v>326.89999999999998</v>
      </c>
      <c r="M169" s="88" t="s">
        <v>149</v>
      </c>
      <c r="N169" s="44">
        <f t="shared" si="27"/>
        <v>343.83</v>
      </c>
      <c r="S169" s="88" t="s">
        <v>149</v>
      </c>
      <c r="T169" s="44">
        <f t="shared" si="28"/>
        <v>0</v>
      </c>
      <c r="Y169" s="88" t="s">
        <v>149</v>
      </c>
      <c r="Z169" s="44">
        <f t="shared" si="29"/>
        <v>0</v>
      </c>
    </row>
    <row r="170" spans="1:26" ht="15" x14ac:dyDescent="0.25">
      <c r="A170" s="59" t="s">
        <v>150</v>
      </c>
      <c r="B170" s="44">
        <f t="shared" si="25"/>
        <v>16.149999999999999</v>
      </c>
      <c r="G170" s="59" t="s">
        <v>150</v>
      </c>
      <c r="H170" s="44">
        <f t="shared" si="26"/>
        <v>53.16</v>
      </c>
      <c r="M170" s="59" t="s">
        <v>150</v>
      </c>
      <c r="N170" s="44">
        <f t="shared" si="27"/>
        <v>75.209999999999994</v>
      </c>
      <c r="S170" s="59" t="s">
        <v>150</v>
      </c>
      <c r="T170" s="44">
        <f t="shared" si="28"/>
        <v>0</v>
      </c>
      <c r="Y170" s="59" t="s">
        <v>150</v>
      </c>
      <c r="Z170" s="44">
        <f t="shared" si="29"/>
        <v>0</v>
      </c>
    </row>
    <row r="171" spans="1:26" ht="15" x14ac:dyDescent="0.25">
      <c r="A171" s="59" t="s">
        <v>59</v>
      </c>
      <c r="B171" s="44">
        <f t="shared" si="25"/>
        <v>135.13468800000001</v>
      </c>
      <c r="G171" s="59" t="s">
        <v>59</v>
      </c>
      <c r="H171" s="44">
        <f t="shared" si="26"/>
        <v>146.19976800000001</v>
      </c>
      <c r="M171" s="59" t="s">
        <v>59</v>
      </c>
      <c r="N171" s="44">
        <f t="shared" si="27"/>
        <v>102.233664</v>
      </c>
      <c r="S171" s="59" t="s">
        <v>59</v>
      </c>
      <c r="T171" s="44">
        <f t="shared" si="28"/>
        <v>0</v>
      </c>
      <c r="Y171" s="59" t="s">
        <v>59</v>
      </c>
      <c r="Z171" s="44">
        <f t="shared" si="29"/>
        <v>0</v>
      </c>
    </row>
    <row r="172" spans="1:26" ht="15" x14ac:dyDescent="0.25">
      <c r="A172" s="59" t="s">
        <v>151</v>
      </c>
      <c r="B172" s="44">
        <f t="shared" si="25"/>
        <v>6.1</v>
      </c>
      <c r="G172" s="59" t="s">
        <v>151</v>
      </c>
      <c r="H172" s="44">
        <f t="shared" si="26"/>
        <v>0</v>
      </c>
      <c r="M172" s="59" t="s">
        <v>151</v>
      </c>
      <c r="N172" s="44">
        <f t="shared" si="27"/>
        <v>0</v>
      </c>
      <c r="S172" s="59" t="s">
        <v>151</v>
      </c>
      <c r="T172" s="44">
        <f t="shared" si="28"/>
        <v>0</v>
      </c>
      <c r="Y172" s="59" t="s">
        <v>151</v>
      </c>
      <c r="Z172" s="44">
        <f t="shared" si="29"/>
        <v>0</v>
      </c>
    </row>
    <row r="173" spans="1:26" ht="15" x14ac:dyDescent="0.25">
      <c r="A173" s="59" t="s">
        <v>38</v>
      </c>
      <c r="B173" s="44">
        <f t="shared" si="25"/>
        <v>888.110184</v>
      </c>
      <c r="G173" s="59" t="s">
        <v>38</v>
      </c>
      <c r="H173" s="44">
        <f t="shared" si="26"/>
        <v>979.07409600000005</v>
      </c>
      <c r="M173" s="59" t="s">
        <v>38</v>
      </c>
      <c r="N173" s="44">
        <f t="shared" si="27"/>
        <v>768.93991200000005</v>
      </c>
      <c r="S173" s="59" t="s">
        <v>38</v>
      </c>
      <c r="T173" s="44">
        <f t="shared" si="28"/>
        <v>0</v>
      </c>
      <c r="Y173" s="59" t="s">
        <v>38</v>
      </c>
      <c r="Z173" s="44">
        <f t="shared" si="29"/>
        <v>0</v>
      </c>
    </row>
    <row r="174" spans="1:26" ht="15" x14ac:dyDescent="0.25">
      <c r="A174" s="88" t="s">
        <v>39</v>
      </c>
      <c r="B174" s="44">
        <f t="shared" si="25"/>
        <v>16784.856503999999</v>
      </c>
      <c r="G174" s="88" t="s">
        <v>39</v>
      </c>
      <c r="H174" s="44">
        <f t="shared" si="26"/>
        <v>17855.751575999999</v>
      </c>
      <c r="M174" s="88" t="s">
        <v>39</v>
      </c>
      <c r="N174" s="44">
        <f t="shared" si="27"/>
        <v>14747.269992</v>
      </c>
      <c r="S174" s="88" t="s">
        <v>39</v>
      </c>
      <c r="T174" s="44">
        <f t="shared" si="28"/>
        <v>0</v>
      </c>
      <c r="Y174" s="88" t="s">
        <v>39</v>
      </c>
      <c r="Z174" s="44">
        <f t="shared" si="29"/>
        <v>0</v>
      </c>
    </row>
    <row r="175" spans="1:26" ht="15" x14ac:dyDescent="0.25">
      <c r="A175" s="59" t="s">
        <v>152</v>
      </c>
      <c r="B175" s="44">
        <f t="shared" si="25"/>
        <v>0</v>
      </c>
      <c r="G175" s="59" t="s">
        <v>152</v>
      </c>
      <c r="H175" s="44">
        <f t="shared" si="26"/>
        <v>0</v>
      </c>
      <c r="M175" s="59" t="s">
        <v>152</v>
      </c>
      <c r="N175" s="44">
        <f t="shared" si="27"/>
        <v>0</v>
      </c>
      <c r="S175" s="59" t="s">
        <v>152</v>
      </c>
      <c r="T175" s="44">
        <f t="shared" si="28"/>
        <v>0</v>
      </c>
      <c r="Y175" s="59" t="s">
        <v>152</v>
      </c>
      <c r="Z175" s="44">
        <f t="shared" si="29"/>
        <v>0</v>
      </c>
    </row>
    <row r="176" spans="1:26" ht="15" x14ac:dyDescent="0.25">
      <c r="A176" s="88" t="s">
        <v>40</v>
      </c>
      <c r="B176" s="44">
        <f t="shared" si="25"/>
        <v>22064.306784</v>
      </c>
      <c r="G176" s="88" t="s">
        <v>40</v>
      </c>
      <c r="H176" s="44">
        <f t="shared" si="26"/>
        <v>21959.668224000001</v>
      </c>
      <c r="M176" s="88" t="s">
        <v>40</v>
      </c>
      <c r="N176" s="44">
        <f t="shared" si="27"/>
        <v>19928.746343999999</v>
      </c>
      <c r="S176" s="88" t="s">
        <v>40</v>
      </c>
      <c r="T176" s="44">
        <f t="shared" si="28"/>
        <v>0</v>
      </c>
      <c r="Y176" s="88" t="s">
        <v>40</v>
      </c>
      <c r="Z176" s="44">
        <f t="shared" si="29"/>
        <v>0</v>
      </c>
    </row>
    <row r="177" spans="1:26" ht="15" x14ac:dyDescent="0.25">
      <c r="A177" s="59" t="s">
        <v>153</v>
      </c>
      <c r="B177" s="44">
        <f t="shared" si="25"/>
        <v>1.22</v>
      </c>
      <c r="G177" s="59" t="s">
        <v>153</v>
      </c>
      <c r="H177" s="44">
        <f t="shared" si="26"/>
        <v>13.42</v>
      </c>
      <c r="M177" s="59" t="s">
        <v>153</v>
      </c>
      <c r="N177" s="44">
        <f t="shared" si="27"/>
        <v>11.59</v>
      </c>
      <c r="S177" s="59" t="s">
        <v>153</v>
      </c>
      <c r="T177" s="44">
        <f t="shared" si="28"/>
        <v>0</v>
      </c>
      <c r="Y177" s="59" t="s">
        <v>153</v>
      </c>
      <c r="Z177" s="44">
        <f t="shared" si="29"/>
        <v>0</v>
      </c>
    </row>
    <row r="178" spans="1:26" ht="15" x14ac:dyDescent="0.25">
      <c r="A178" s="59" t="s">
        <v>41</v>
      </c>
      <c r="B178" s="44">
        <f t="shared" si="25"/>
        <v>305.92068</v>
      </c>
      <c r="G178" s="59" t="s">
        <v>41</v>
      </c>
      <c r="H178" s="44">
        <f t="shared" si="26"/>
        <v>274.31164799999999</v>
      </c>
      <c r="M178" s="59" t="s">
        <v>41</v>
      </c>
      <c r="N178" s="44">
        <f t="shared" si="27"/>
        <v>365.90236800000002</v>
      </c>
      <c r="S178" s="59" t="s">
        <v>41</v>
      </c>
      <c r="T178" s="44">
        <f t="shared" si="28"/>
        <v>0</v>
      </c>
      <c r="Y178" s="59" t="s">
        <v>41</v>
      </c>
      <c r="Z178" s="44">
        <f t="shared" si="29"/>
        <v>0</v>
      </c>
    </row>
    <row r="179" spans="1:26" ht="15" x14ac:dyDescent="0.25">
      <c r="A179" s="59" t="s">
        <v>154</v>
      </c>
      <c r="B179" s="44">
        <f t="shared" si="25"/>
        <v>0</v>
      </c>
      <c r="G179" s="59" t="s">
        <v>154</v>
      </c>
      <c r="H179" s="44">
        <f t="shared" si="26"/>
        <v>1.22</v>
      </c>
      <c r="M179" s="59" t="s">
        <v>154</v>
      </c>
      <c r="N179" s="44">
        <f t="shared" si="27"/>
        <v>0</v>
      </c>
      <c r="S179" s="59" t="s">
        <v>154</v>
      </c>
      <c r="T179" s="44">
        <f t="shared" si="28"/>
        <v>0</v>
      </c>
      <c r="Y179" s="59" t="s">
        <v>154</v>
      </c>
      <c r="Z179" s="44">
        <f t="shared" si="29"/>
        <v>0</v>
      </c>
    </row>
    <row r="180" spans="1:26" ht="15" x14ac:dyDescent="0.25">
      <c r="A180" s="59" t="s">
        <v>155</v>
      </c>
      <c r="B180" s="44">
        <f t="shared" si="25"/>
        <v>41.07</v>
      </c>
      <c r="G180" s="59" t="s">
        <v>155</v>
      </c>
      <c r="H180" s="44">
        <f t="shared" si="26"/>
        <v>86.73</v>
      </c>
      <c r="M180" s="59" t="s">
        <v>155</v>
      </c>
      <c r="N180" s="44">
        <f t="shared" si="27"/>
        <v>82.64</v>
      </c>
      <c r="S180" s="59" t="s">
        <v>155</v>
      </c>
      <c r="T180" s="44">
        <f t="shared" si="28"/>
        <v>0</v>
      </c>
      <c r="Y180" s="59" t="s">
        <v>155</v>
      </c>
      <c r="Z180" s="44">
        <f t="shared" si="29"/>
        <v>0</v>
      </c>
    </row>
    <row r="181" spans="1:26" ht="15" x14ac:dyDescent="0.25">
      <c r="A181" s="59" t="s">
        <v>156</v>
      </c>
      <c r="B181" s="44">
        <f t="shared" si="25"/>
        <v>0</v>
      </c>
      <c r="G181" s="59" t="s">
        <v>156</v>
      </c>
      <c r="H181" s="44">
        <f t="shared" si="26"/>
        <v>0</v>
      </c>
      <c r="M181" s="59" t="s">
        <v>156</v>
      </c>
      <c r="N181" s="44">
        <f t="shared" si="27"/>
        <v>0</v>
      </c>
      <c r="S181" s="59" t="s">
        <v>156</v>
      </c>
      <c r="T181" s="44">
        <f t="shared" si="28"/>
        <v>0</v>
      </c>
      <c r="Y181" s="59" t="s">
        <v>156</v>
      </c>
      <c r="Z181" s="44">
        <f t="shared" si="29"/>
        <v>0</v>
      </c>
    </row>
    <row r="182" spans="1:26" ht="15" x14ac:dyDescent="0.25">
      <c r="A182" s="59" t="s">
        <v>157</v>
      </c>
      <c r="B182" s="44">
        <f t="shared" si="25"/>
        <v>44.25</v>
      </c>
      <c r="G182" s="59" t="s">
        <v>157</v>
      </c>
      <c r="H182" s="44">
        <f t="shared" si="26"/>
        <v>50.83</v>
      </c>
      <c r="M182" s="59" t="s">
        <v>157</v>
      </c>
      <c r="N182" s="44">
        <f t="shared" si="27"/>
        <v>45.45</v>
      </c>
      <c r="S182" s="59" t="s">
        <v>157</v>
      </c>
      <c r="T182" s="44">
        <f t="shared" si="28"/>
        <v>0</v>
      </c>
      <c r="Y182" s="59" t="s">
        <v>157</v>
      </c>
      <c r="Z182" s="44">
        <f t="shared" si="29"/>
        <v>0</v>
      </c>
    </row>
    <row r="183" spans="1:26" ht="15" x14ac:dyDescent="0.25">
      <c r="A183" s="59" t="s">
        <v>158</v>
      </c>
      <c r="B183" s="44">
        <f t="shared" si="25"/>
        <v>695.123154</v>
      </c>
      <c r="G183" s="59" t="s">
        <v>158</v>
      </c>
      <c r="H183" s="44">
        <f t="shared" si="26"/>
        <v>735.25827300000003</v>
      </c>
      <c r="M183" s="59" t="s">
        <v>158</v>
      </c>
      <c r="N183" s="44">
        <f t="shared" si="27"/>
        <v>710.81000700000004</v>
      </c>
      <c r="S183" s="59" t="s">
        <v>158</v>
      </c>
      <c r="T183" s="44">
        <f t="shared" si="28"/>
        <v>0</v>
      </c>
      <c r="Y183" s="59" t="s">
        <v>158</v>
      </c>
      <c r="Z183" s="44">
        <f t="shared" si="29"/>
        <v>0</v>
      </c>
    </row>
    <row r="184" spans="1:26" ht="15" x14ac:dyDescent="0.25">
      <c r="A184" s="88" t="s">
        <v>58</v>
      </c>
      <c r="B184" s="44">
        <f t="shared" si="25"/>
        <v>537.41750400000001</v>
      </c>
      <c r="G184" s="88" t="s">
        <v>58</v>
      </c>
      <c r="H184" s="44">
        <f t="shared" si="26"/>
        <v>674.58612000000005</v>
      </c>
      <c r="M184" s="88" t="s">
        <v>58</v>
      </c>
      <c r="N184" s="44">
        <f t="shared" si="27"/>
        <v>535.12773600000003</v>
      </c>
      <c r="S184" s="88" t="s">
        <v>58</v>
      </c>
      <c r="T184" s="44">
        <f t="shared" si="28"/>
        <v>0</v>
      </c>
      <c r="Y184" s="88" t="s">
        <v>58</v>
      </c>
      <c r="Z184" s="44">
        <f t="shared" si="29"/>
        <v>0</v>
      </c>
    </row>
    <row r="185" spans="1:26" ht="15" x14ac:dyDescent="0.25">
      <c r="A185" s="59" t="s">
        <v>159</v>
      </c>
      <c r="B185" s="44">
        <f t="shared" si="25"/>
        <v>440.70602400000001</v>
      </c>
      <c r="G185" s="59" t="s">
        <v>159</v>
      </c>
      <c r="H185" s="44">
        <f t="shared" si="26"/>
        <v>520.64186700000005</v>
      </c>
      <c r="M185" s="59" t="s">
        <v>159</v>
      </c>
      <c r="N185" s="44">
        <f t="shared" si="27"/>
        <v>573.34280799999999</v>
      </c>
      <c r="S185" s="59" t="s">
        <v>159</v>
      </c>
      <c r="T185" s="44">
        <f t="shared" si="28"/>
        <v>0</v>
      </c>
      <c r="Y185" s="59" t="s">
        <v>159</v>
      </c>
      <c r="Z185" s="44">
        <f t="shared" si="29"/>
        <v>0</v>
      </c>
    </row>
    <row r="186" spans="1:26" ht="15" x14ac:dyDescent="0.25">
      <c r="A186" s="59" t="s">
        <v>160</v>
      </c>
      <c r="B186" s="44">
        <f t="shared" si="25"/>
        <v>656.32399999999996</v>
      </c>
      <c r="G186" s="59" t="s">
        <v>160</v>
      </c>
      <c r="H186" s="44">
        <f t="shared" si="26"/>
        <v>577.99400000000003</v>
      </c>
      <c r="M186" s="59" t="s">
        <v>160</v>
      </c>
      <c r="N186" s="44">
        <f t="shared" si="27"/>
        <v>555.71600000000001</v>
      </c>
      <c r="S186" s="59" t="s">
        <v>160</v>
      </c>
      <c r="T186" s="44">
        <f t="shared" si="28"/>
        <v>0</v>
      </c>
      <c r="Y186" s="59" t="s">
        <v>160</v>
      </c>
      <c r="Z186" s="44">
        <f t="shared" si="29"/>
        <v>0</v>
      </c>
    </row>
    <row r="187" spans="1:26" ht="15" x14ac:dyDescent="0.25">
      <c r="A187" s="59" t="s">
        <v>42</v>
      </c>
      <c r="B187" s="44">
        <f t="shared" si="25"/>
        <v>2773.9452000000001</v>
      </c>
      <c r="G187" s="59" t="s">
        <v>42</v>
      </c>
      <c r="H187" s="44">
        <f t="shared" si="26"/>
        <v>2801.1921600000001</v>
      </c>
      <c r="M187" s="59" t="s">
        <v>42</v>
      </c>
      <c r="N187" s="44">
        <f t="shared" si="27"/>
        <v>2647.944</v>
      </c>
      <c r="S187" s="59" t="s">
        <v>42</v>
      </c>
      <c r="T187" s="44">
        <f t="shared" si="28"/>
        <v>0</v>
      </c>
      <c r="Y187" s="59" t="s">
        <v>42</v>
      </c>
      <c r="Z187" s="44">
        <f t="shared" si="29"/>
        <v>0</v>
      </c>
    </row>
    <row r="188" spans="1:26" ht="15" x14ac:dyDescent="0.25">
      <c r="A188" s="88" t="s">
        <v>161</v>
      </c>
      <c r="B188" s="44">
        <f t="shared" si="25"/>
        <v>427.16494499999999</v>
      </c>
      <c r="G188" s="88" t="s">
        <v>161</v>
      </c>
      <c r="H188" s="44">
        <f t="shared" si="26"/>
        <v>552.22812099999999</v>
      </c>
      <c r="M188" s="88" t="s">
        <v>161</v>
      </c>
      <c r="N188" s="44">
        <f t="shared" si="27"/>
        <v>452.58690899999999</v>
      </c>
      <c r="S188" s="88" t="s">
        <v>161</v>
      </c>
      <c r="T188" s="44">
        <f t="shared" si="28"/>
        <v>0</v>
      </c>
      <c r="Y188" s="88" t="s">
        <v>161</v>
      </c>
      <c r="Z188" s="44">
        <f t="shared" si="29"/>
        <v>0</v>
      </c>
    </row>
    <row r="189" spans="1:26" ht="15" x14ac:dyDescent="0.25">
      <c r="A189" s="59" t="s">
        <v>11</v>
      </c>
      <c r="B189" s="44">
        <f t="shared" si="25"/>
        <v>6360.1696080000002</v>
      </c>
      <c r="G189" s="59" t="s">
        <v>11</v>
      </c>
      <c r="H189" s="44">
        <f t="shared" si="26"/>
        <v>6183.2050799999997</v>
      </c>
      <c r="M189" s="59" t="s">
        <v>11</v>
      </c>
      <c r="N189" s="44">
        <f t="shared" si="27"/>
        <v>5511.2029439999997</v>
      </c>
      <c r="S189" s="59" t="s">
        <v>11</v>
      </c>
      <c r="T189" s="44">
        <f t="shared" si="28"/>
        <v>0</v>
      </c>
      <c r="Y189" s="59" t="s">
        <v>11</v>
      </c>
      <c r="Z189" s="44">
        <f t="shared" si="29"/>
        <v>0</v>
      </c>
    </row>
    <row r="190" spans="1:26" ht="15" x14ac:dyDescent="0.25">
      <c r="A190" s="59" t="s">
        <v>13</v>
      </c>
      <c r="B190" s="44">
        <f t="shared" si="25"/>
        <v>16019.833635000001</v>
      </c>
      <c r="G190" s="59" t="s">
        <v>13</v>
      </c>
      <c r="H190" s="44">
        <f t="shared" si="26"/>
        <v>17126.374005000001</v>
      </c>
      <c r="M190" s="59" t="s">
        <v>13</v>
      </c>
      <c r="N190" s="44">
        <f t="shared" si="27"/>
        <v>16091.42769</v>
      </c>
      <c r="S190" s="59" t="s">
        <v>13</v>
      </c>
      <c r="T190" s="44">
        <f t="shared" si="28"/>
        <v>0</v>
      </c>
      <c r="Y190" s="59" t="s">
        <v>13</v>
      </c>
      <c r="Z190" s="44">
        <f t="shared" si="29"/>
        <v>0</v>
      </c>
    </row>
    <row r="191" spans="1:26" ht="15" x14ac:dyDescent="0.25">
      <c r="A191" s="59" t="s">
        <v>162</v>
      </c>
      <c r="B191" s="44">
        <f t="shared" si="25"/>
        <v>57.06</v>
      </c>
      <c r="G191" s="59" t="s">
        <v>162</v>
      </c>
      <c r="H191" s="44">
        <f t="shared" si="26"/>
        <v>34.380000000000003</v>
      </c>
      <c r="M191" s="59" t="s">
        <v>162</v>
      </c>
      <c r="N191" s="44">
        <f t="shared" si="27"/>
        <v>42.42</v>
      </c>
      <c r="S191" s="59" t="s">
        <v>162</v>
      </c>
      <c r="T191" s="44">
        <f t="shared" si="28"/>
        <v>0</v>
      </c>
      <c r="Y191" s="59" t="s">
        <v>162</v>
      </c>
      <c r="Z191" s="44">
        <f t="shared" si="29"/>
        <v>0</v>
      </c>
    </row>
    <row r="192" spans="1:26" ht="15" x14ac:dyDescent="0.25">
      <c r="A192" s="59" t="s">
        <v>163</v>
      </c>
      <c r="B192" s="44">
        <f t="shared" si="25"/>
        <v>49.16</v>
      </c>
      <c r="G192" s="59" t="s">
        <v>163</v>
      </c>
      <c r="H192" s="44">
        <f t="shared" si="26"/>
        <v>52.64</v>
      </c>
      <c r="M192" s="59" t="s">
        <v>163</v>
      </c>
      <c r="N192" s="44">
        <f t="shared" si="27"/>
        <v>47.58</v>
      </c>
      <c r="S192" s="59" t="s">
        <v>163</v>
      </c>
      <c r="T192" s="44">
        <f t="shared" si="28"/>
        <v>0</v>
      </c>
      <c r="Y192" s="59" t="s">
        <v>163</v>
      </c>
      <c r="Z192" s="44">
        <f t="shared" si="29"/>
        <v>0</v>
      </c>
    </row>
    <row r="193" spans="1:26" ht="15" x14ac:dyDescent="0.25">
      <c r="A193" s="59" t="s">
        <v>164</v>
      </c>
      <c r="B193" s="44">
        <f t="shared" si="25"/>
        <v>0</v>
      </c>
      <c r="G193" s="59" t="s">
        <v>164</v>
      </c>
      <c r="H193" s="44">
        <f t="shared" si="26"/>
        <v>0</v>
      </c>
      <c r="M193" s="59" t="s">
        <v>164</v>
      </c>
      <c r="N193" s="44">
        <f t="shared" si="27"/>
        <v>0.6</v>
      </c>
      <c r="S193" s="59" t="s">
        <v>164</v>
      </c>
      <c r="T193" s="44">
        <f t="shared" si="28"/>
        <v>0</v>
      </c>
      <c r="Y193" s="59" t="s">
        <v>164</v>
      </c>
      <c r="Z193" s="44">
        <f t="shared" si="29"/>
        <v>0</v>
      </c>
    </row>
    <row r="194" spans="1:26" ht="15" x14ac:dyDescent="0.25">
      <c r="A194" s="88" t="s">
        <v>203</v>
      </c>
      <c r="B194" s="44">
        <f t="shared" si="25"/>
        <v>0</v>
      </c>
      <c r="G194" s="88" t="s">
        <v>203</v>
      </c>
      <c r="H194" s="44">
        <f t="shared" si="26"/>
        <v>0</v>
      </c>
      <c r="M194" s="88" t="s">
        <v>203</v>
      </c>
      <c r="N194" s="44">
        <f t="shared" si="27"/>
        <v>0</v>
      </c>
      <c r="S194" s="88" t="s">
        <v>203</v>
      </c>
      <c r="T194" s="44">
        <f t="shared" si="28"/>
        <v>0</v>
      </c>
      <c r="Y194" s="88" t="s">
        <v>203</v>
      </c>
      <c r="Z194" s="44">
        <f t="shared" si="29"/>
        <v>0</v>
      </c>
    </row>
    <row r="195" spans="1:26" ht="15" x14ac:dyDescent="0.25">
      <c r="A195" s="59" t="s">
        <v>57</v>
      </c>
      <c r="B195" s="44">
        <f t="shared" si="25"/>
        <v>119.170272</v>
      </c>
      <c r="G195" s="59" t="s">
        <v>57</v>
      </c>
      <c r="H195" s="44">
        <f t="shared" si="26"/>
        <v>69.985032000000004</v>
      </c>
      <c r="M195" s="59" t="s">
        <v>57</v>
      </c>
      <c r="N195" s="44">
        <f t="shared" si="27"/>
        <v>118.888848</v>
      </c>
      <c r="S195" s="59" t="s">
        <v>57</v>
      </c>
      <c r="T195" s="44">
        <f t="shared" si="28"/>
        <v>0</v>
      </c>
      <c r="Y195" s="59" t="s">
        <v>57</v>
      </c>
      <c r="Z195" s="44">
        <f t="shared" si="29"/>
        <v>0</v>
      </c>
    </row>
    <row r="196" spans="1:26" ht="15" x14ac:dyDescent="0.25">
      <c r="A196" s="88" t="s">
        <v>56</v>
      </c>
      <c r="B196" s="44">
        <f t="shared" si="25"/>
        <v>44.708039999999997</v>
      </c>
      <c r="G196" s="88" t="s">
        <v>56</v>
      </c>
      <c r="H196" s="44">
        <f t="shared" si="26"/>
        <v>21.094007999999999</v>
      </c>
      <c r="M196" s="88" t="s">
        <v>56</v>
      </c>
      <c r="N196" s="44">
        <f t="shared" si="27"/>
        <v>39.117936</v>
      </c>
      <c r="S196" s="88" t="s">
        <v>56</v>
      </c>
      <c r="T196" s="44">
        <f t="shared" si="28"/>
        <v>0</v>
      </c>
      <c r="Y196" s="88" t="s">
        <v>56</v>
      </c>
      <c r="Z196" s="44">
        <f t="shared" si="29"/>
        <v>0</v>
      </c>
    </row>
    <row r="197" spans="1:26" ht="15" x14ac:dyDescent="0.25">
      <c r="A197" s="88" t="s">
        <v>43</v>
      </c>
      <c r="B197" s="44">
        <f t="shared" si="25"/>
        <v>715.04721600000005</v>
      </c>
      <c r="G197" s="88" t="s">
        <v>43</v>
      </c>
      <c r="H197" s="44">
        <f t="shared" si="26"/>
        <v>849.36321599999997</v>
      </c>
      <c r="M197" s="88" t="s">
        <v>43</v>
      </c>
      <c r="N197" s="44">
        <f t="shared" si="27"/>
        <v>549.30127200000004</v>
      </c>
      <c r="S197" s="88" t="s">
        <v>43</v>
      </c>
      <c r="T197" s="44">
        <f t="shared" si="28"/>
        <v>0</v>
      </c>
      <c r="Y197" s="88" t="s">
        <v>43</v>
      </c>
      <c r="Z197" s="44">
        <f t="shared" si="29"/>
        <v>0</v>
      </c>
    </row>
    <row r="198" spans="1:26" ht="15" x14ac:dyDescent="0.25">
      <c r="A198" s="59" t="s">
        <v>165</v>
      </c>
      <c r="B198" s="44">
        <f t="shared" si="25"/>
        <v>19.22</v>
      </c>
      <c r="G198" s="59" t="s">
        <v>165</v>
      </c>
      <c r="H198" s="44">
        <f t="shared" si="26"/>
        <v>21.7</v>
      </c>
      <c r="M198" s="59" t="s">
        <v>165</v>
      </c>
      <c r="N198" s="44">
        <f t="shared" si="27"/>
        <v>45.14</v>
      </c>
      <c r="S198" s="59" t="s">
        <v>165</v>
      </c>
      <c r="T198" s="44">
        <f t="shared" si="28"/>
        <v>0</v>
      </c>
      <c r="Y198" s="59" t="s">
        <v>165</v>
      </c>
      <c r="Z198" s="44">
        <f t="shared" si="29"/>
        <v>0</v>
      </c>
    </row>
    <row r="199" spans="1:26" ht="15" x14ac:dyDescent="0.25">
      <c r="A199" s="59" t="s">
        <v>166</v>
      </c>
      <c r="B199" s="44">
        <f t="shared" si="25"/>
        <v>452.54</v>
      </c>
      <c r="G199" s="59" t="s">
        <v>166</v>
      </c>
      <c r="H199" s="44">
        <f t="shared" si="26"/>
        <v>422.12</v>
      </c>
      <c r="M199" s="59" t="s">
        <v>166</v>
      </c>
      <c r="N199" s="44">
        <f t="shared" si="27"/>
        <v>350.73</v>
      </c>
      <c r="S199" s="59" t="s">
        <v>166</v>
      </c>
      <c r="T199" s="44">
        <f t="shared" si="28"/>
        <v>0</v>
      </c>
      <c r="Y199" s="59" t="s">
        <v>166</v>
      </c>
      <c r="Z199" s="44">
        <f t="shared" si="29"/>
        <v>0</v>
      </c>
    </row>
    <row r="200" spans="1:26" ht="15" x14ac:dyDescent="0.25">
      <c r="A200" s="59" t="s">
        <v>55</v>
      </c>
      <c r="B200" s="44">
        <f t="shared" si="25"/>
        <v>64.906608000000006</v>
      </c>
      <c r="G200" s="59" t="s">
        <v>55</v>
      </c>
      <c r="H200" s="44">
        <f t="shared" si="26"/>
        <v>70.061784000000003</v>
      </c>
      <c r="M200" s="59" t="s">
        <v>55</v>
      </c>
      <c r="N200" s="44">
        <f t="shared" si="27"/>
        <v>103.013976</v>
      </c>
      <c r="S200" s="59" t="s">
        <v>55</v>
      </c>
      <c r="T200" s="44">
        <f t="shared" si="28"/>
        <v>0</v>
      </c>
      <c r="Y200" s="59" t="s">
        <v>55</v>
      </c>
      <c r="Z200" s="44">
        <f t="shared" si="29"/>
        <v>0</v>
      </c>
    </row>
    <row r="201" spans="1:26" ht="15" x14ac:dyDescent="0.25">
      <c r="A201" s="88" t="s">
        <v>167</v>
      </c>
      <c r="B201" s="44">
        <f t="shared" si="25"/>
        <v>11.25</v>
      </c>
      <c r="G201" s="88" t="s">
        <v>167</v>
      </c>
      <c r="H201" s="44">
        <f t="shared" si="26"/>
        <v>10.37</v>
      </c>
      <c r="M201" s="88" t="s">
        <v>167</v>
      </c>
      <c r="N201" s="44">
        <f t="shared" si="27"/>
        <v>15.7</v>
      </c>
      <c r="S201" s="88" t="s">
        <v>167</v>
      </c>
      <c r="T201" s="44">
        <f t="shared" si="28"/>
        <v>0</v>
      </c>
      <c r="Y201" s="88" t="s">
        <v>167</v>
      </c>
      <c r="Z201" s="44">
        <f t="shared" si="29"/>
        <v>0</v>
      </c>
    </row>
    <row r="202" spans="1:26" ht="15" x14ac:dyDescent="0.25">
      <c r="A202" s="88" t="s">
        <v>73</v>
      </c>
      <c r="B202" s="44">
        <f t="shared" si="25"/>
        <v>10964.130649999999</v>
      </c>
      <c r="G202" s="88" t="s">
        <v>73</v>
      </c>
      <c r="H202" s="44">
        <f t="shared" si="26"/>
        <v>10586.575939</v>
      </c>
      <c r="M202" s="88" t="s">
        <v>73</v>
      </c>
      <c r="N202" s="44">
        <f t="shared" si="27"/>
        <v>11210.659275</v>
      </c>
      <c r="S202" s="88" t="s">
        <v>73</v>
      </c>
      <c r="T202" s="44">
        <f t="shared" si="28"/>
        <v>0</v>
      </c>
      <c r="Y202" s="88" t="s">
        <v>73</v>
      </c>
      <c r="Z202" s="44">
        <f t="shared" si="29"/>
        <v>0</v>
      </c>
    </row>
    <row r="203" spans="1:26" ht="15" x14ac:dyDescent="0.25">
      <c r="A203" s="88" t="s">
        <v>168</v>
      </c>
      <c r="B203" s="44">
        <f t="shared" ref="B203:B249" si="30">B67</f>
        <v>0</v>
      </c>
      <c r="G203" s="88" t="s">
        <v>168</v>
      </c>
      <c r="H203" s="44">
        <f t="shared" ref="H203:H249" si="31">H67</f>
        <v>0</v>
      </c>
      <c r="M203" s="88" t="s">
        <v>168</v>
      </c>
      <c r="N203" s="44">
        <f t="shared" ref="N203:N249" si="32">N67</f>
        <v>0.61</v>
      </c>
      <c r="S203" s="88" t="s">
        <v>168</v>
      </c>
      <c r="T203" s="44">
        <f t="shared" ref="T203:T249" si="33">T67</f>
        <v>0</v>
      </c>
      <c r="Y203" s="88" t="s">
        <v>168</v>
      </c>
      <c r="Z203" s="44">
        <f t="shared" ref="Z203:Z249" si="34">Z67</f>
        <v>0</v>
      </c>
    </row>
    <row r="204" spans="1:26" ht="15" x14ac:dyDescent="0.25">
      <c r="A204" s="88" t="s">
        <v>169</v>
      </c>
      <c r="B204" s="44">
        <f t="shared" si="30"/>
        <v>4.2</v>
      </c>
      <c r="G204" s="88" t="s">
        <v>169</v>
      </c>
      <c r="H204" s="44">
        <f t="shared" si="31"/>
        <v>7.8</v>
      </c>
      <c r="M204" s="88" t="s">
        <v>169</v>
      </c>
      <c r="N204" s="44">
        <f t="shared" si="32"/>
        <v>1.47</v>
      </c>
      <c r="S204" s="88" t="s">
        <v>169</v>
      </c>
      <c r="T204" s="44">
        <f t="shared" si="33"/>
        <v>0</v>
      </c>
      <c r="Y204" s="88" t="s">
        <v>169</v>
      </c>
      <c r="Z204" s="44">
        <f t="shared" si="34"/>
        <v>0</v>
      </c>
    </row>
    <row r="205" spans="1:26" ht="15" x14ac:dyDescent="0.25">
      <c r="A205" s="88" t="s">
        <v>170</v>
      </c>
      <c r="B205" s="44">
        <f t="shared" si="30"/>
        <v>0</v>
      </c>
      <c r="G205" s="88" t="s">
        <v>170</v>
      </c>
      <c r="H205" s="44">
        <f t="shared" si="31"/>
        <v>1.8</v>
      </c>
      <c r="M205" s="88" t="s">
        <v>170</v>
      </c>
      <c r="N205" s="44">
        <f t="shared" si="32"/>
        <v>2.48</v>
      </c>
      <c r="S205" s="88" t="s">
        <v>170</v>
      </c>
      <c r="T205" s="44">
        <f t="shared" si="33"/>
        <v>0</v>
      </c>
      <c r="Y205" s="88" t="s">
        <v>170</v>
      </c>
      <c r="Z205" s="44">
        <f t="shared" si="34"/>
        <v>0</v>
      </c>
    </row>
    <row r="206" spans="1:26" ht="15" x14ac:dyDescent="0.25">
      <c r="A206" s="88" t="s">
        <v>204</v>
      </c>
      <c r="B206" s="44">
        <f t="shared" si="30"/>
        <v>0</v>
      </c>
      <c r="G206" s="88" t="s">
        <v>204</v>
      </c>
      <c r="H206" s="44">
        <f t="shared" si="31"/>
        <v>0</v>
      </c>
      <c r="M206" s="88" t="s">
        <v>204</v>
      </c>
      <c r="N206" s="44">
        <f t="shared" si="32"/>
        <v>0</v>
      </c>
      <c r="S206" s="88" t="s">
        <v>204</v>
      </c>
      <c r="T206" s="44">
        <f t="shared" si="33"/>
        <v>0</v>
      </c>
      <c r="Y206" s="88" t="s">
        <v>204</v>
      </c>
      <c r="Z206" s="44">
        <f t="shared" si="34"/>
        <v>0</v>
      </c>
    </row>
    <row r="207" spans="1:26" ht="15" x14ac:dyDescent="0.25">
      <c r="A207" s="88" t="s">
        <v>171</v>
      </c>
      <c r="B207" s="44">
        <f t="shared" si="30"/>
        <v>44.8</v>
      </c>
      <c r="G207" s="88" t="s">
        <v>171</v>
      </c>
      <c r="H207" s="44">
        <f t="shared" si="31"/>
        <v>24.4</v>
      </c>
      <c r="M207" s="88" t="s">
        <v>171</v>
      </c>
      <c r="N207" s="44">
        <f t="shared" si="32"/>
        <v>56.12</v>
      </c>
      <c r="S207" s="88" t="s">
        <v>171</v>
      </c>
      <c r="T207" s="44">
        <f t="shared" si="33"/>
        <v>0</v>
      </c>
      <c r="Y207" s="88" t="s">
        <v>171</v>
      </c>
      <c r="Z207" s="44">
        <f t="shared" si="34"/>
        <v>0</v>
      </c>
    </row>
    <row r="208" spans="1:26" ht="15" x14ac:dyDescent="0.25">
      <c r="A208" s="88" t="s">
        <v>172</v>
      </c>
      <c r="B208" s="44">
        <f t="shared" si="30"/>
        <v>25.01</v>
      </c>
      <c r="G208" s="88" t="s">
        <v>172</v>
      </c>
      <c r="H208" s="44">
        <f t="shared" si="31"/>
        <v>26.23</v>
      </c>
      <c r="M208" s="88" t="s">
        <v>172</v>
      </c>
      <c r="N208" s="44">
        <f t="shared" si="32"/>
        <v>36.64</v>
      </c>
      <c r="S208" s="88" t="s">
        <v>172</v>
      </c>
      <c r="T208" s="44">
        <f t="shared" si="33"/>
        <v>0</v>
      </c>
      <c r="Y208" s="88" t="s">
        <v>172</v>
      </c>
      <c r="Z208" s="44">
        <f t="shared" si="34"/>
        <v>0</v>
      </c>
    </row>
    <row r="209" spans="1:26" ht="15" x14ac:dyDescent="0.25">
      <c r="A209" s="88" t="s">
        <v>173</v>
      </c>
      <c r="B209" s="44">
        <f t="shared" si="30"/>
        <v>0</v>
      </c>
      <c r="G209" s="88" t="s">
        <v>173</v>
      </c>
      <c r="H209" s="44">
        <f t="shared" si="31"/>
        <v>0</v>
      </c>
      <c r="M209" s="88" t="s">
        <v>173</v>
      </c>
      <c r="N209" s="44">
        <f t="shared" si="32"/>
        <v>0</v>
      </c>
      <c r="S209" s="88" t="s">
        <v>173</v>
      </c>
      <c r="T209" s="44">
        <f t="shared" si="33"/>
        <v>0</v>
      </c>
      <c r="Y209" s="88" t="s">
        <v>173</v>
      </c>
      <c r="Z209" s="44">
        <f t="shared" si="34"/>
        <v>0</v>
      </c>
    </row>
    <row r="210" spans="1:26" ht="15" x14ac:dyDescent="0.25">
      <c r="A210" s="88" t="s">
        <v>44</v>
      </c>
      <c r="B210" s="44">
        <f t="shared" si="30"/>
        <v>7281.6797040000001</v>
      </c>
      <c r="G210" s="88" t="s">
        <v>44</v>
      </c>
      <c r="H210" s="44">
        <f t="shared" si="31"/>
        <v>7356.16752</v>
      </c>
      <c r="M210" s="88" t="s">
        <v>44</v>
      </c>
      <c r="N210" s="44">
        <f t="shared" si="32"/>
        <v>7465.7182080000002</v>
      </c>
      <c r="S210" s="88" t="s">
        <v>44</v>
      </c>
      <c r="T210" s="44">
        <f t="shared" si="33"/>
        <v>0</v>
      </c>
      <c r="Y210" s="88" t="s">
        <v>44</v>
      </c>
      <c r="Z210" s="44">
        <f t="shared" si="34"/>
        <v>0</v>
      </c>
    </row>
    <row r="211" spans="1:26" ht="15" x14ac:dyDescent="0.25">
      <c r="A211" s="88" t="s">
        <v>45</v>
      </c>
      <c r="B211" s="44">
        <f t="shared" si="30"/>
        <v>3326.7359120000001</v>
      </c>
      <c r="G211" s="88" t="s">
        <v>45</v>
      </c>
      <c r="H211" s="44">
        <f t="shared" si="31"/>
        <v>3575.9879759999999</v>
      </c>
      <c r="M211" s="88" t="s">
        <v>45</v>
      </c>
      <c r="N211" s="44">
        <f t="shared" si="32"/>
        <v>3535.8272280000001</v>
      </c>
      <c r="S211" s="88" t="s">
        <v>45</v>
      </c>
      <c r="T211" s="44">
        <f t="shared" si="33"/>
        <v>0</v>
      </c>
      <c r="Y211" s="88" t="s">
        <v>45</v>
      </c>
      <c r="Z211" s="44">
        <f t="shared" si="34"/>
        <v>0</v>
      </c>
    </row>
    <row r="212" spans="1:26" ht="15" x14ac:dyDescent="0.25">
      <c r="A212" s="88" t="s">
        <v>174</v>
      </c>
      <c r="B212" s="44">
        <f t="shared" si="30"/>
        <v>24.06</v>
      </c>
      <c r="G212" s="88" t="s">
        <v>174</v>
      </c>
      <c r="H212" s="44">
        <f t="shared" si="31"/>
        <v>14.32</v>
      </c>
      <c r="M212" s="88" t="s">
        <v>174</v>
      </c>
      <c r="N212" s="44">
        <f t="shared" si="32"/>
        <v>28.67</v>
      </c>
      <c r="S212" s="88" t="s">
        <v>174</v>
      </c>
      <c r="T212" s="44">
        <f t="shared" si="33"/>
        <v>0</v>
      </c>
      <c r="Y212" s="88" t="s">
        <v>174</v>
      </c>
      <c r="Z212" s="44">
        <f t="shared" si="34"/>
        <v>0</v>
      </c>
    </row>
    <row r="213" spans="1:26" ht="15" x14ac:dyDescent="0.25">
      <c r="A213" s="88" t="s">
        <v>175</v>
      </c>
      <c r="B213" s="44">
        <f t="shared" si="30"/>
        <v>0</v>
      </c>
      <c r="G213" s="88" t="s">
        <v>175</v>
      </c>
      <c r="H213" s="44">
        <f t="shared" si="31"/>
        <v>0</v>
      </c>
      <c r="M213" s="88" t="s">
        <v>175</v>
      </c>
      <c r="N213" s="44">
        <f t="shared" si="32"/>
        <v>0</v>
      </c>
      <c r="S213" s="88" t="s">
        <v>175</v>
      </c>
      <c r="T213" s="44">
        <f t="shared" si="33"/>
        <v>0</v>
      </c>
      <c r="Y213" s="88" t="s">
        <v>175</v>
      </c>
      <c r="Z213" s="44">
        <f t="shared" si="34"/>
        <v>0</v>
      </c>
    </row>
    <row r="214" spans="1:26" ht="15" x14ac:dyDescent="0.25">
      <c r="A214" s="88" t="s">
        <v>176</v>
      </c>
      <c r="B214" s="44">
        <f t="shared" si="30"/>
        <v>161.58000000000001</v>
      </c>
      <c r="G214" s="88" t="s">
        <v>176</v>
      </c>
      <c r="H214" s="44">
        <f t="shared" si="31"/>
        <v>152.29</v>
      </c>
      <c r="M214" s="88" t="s">
        <v>176</v>
      </c>
      <c r="N214" s="44">
        <f t="shared" si="32"/>
        <v>133.68</v>
      </c>
      <c r="S214" s="88" t="s">
        <v>176</v>
      </c>
      <c r="T214" s="44">
        <f t="shared" si="33"/>
        <v>0</v>
      </c>
      <c r="Y214" s="88" t="s">
        <v>176</v>
      </c>
      <c r="Z214" s="44">
        <f t="shared" si="34"/>
        <v>0</v>
      </c>
    </row>
    <row r="215" spans="1:26" ht="15" x14ac:dyDescent="0.25">
      <c r="A215" s="88" t="s">
        <v>46</v>
      </c>
      <c r="B215" s="44">
        <f t="shared" si="30"/>
        <v>2690.119224</v>
      </c>
      <c r="G215" s="88" t="s">
        <v>46</v>
      </c>
      <c r="H215" s="44">
        <f t="shared" si="31"/>
        <v>3283.783152</v>
      </c>
      <c r="M215" s="88" t="s">
        <v>46</v>
      </c>
      <c r="N215" s="44">
        <f t="shared" si="32"/>
        <v>2766.7049280000001</v>
      </c>
      <c r="S215" s="88" t="s">
        <v>46</v>
      </c>
      <c r="T215" s="44">
        <f t="shared" si="33"/>
        <v>0</v>
      </c>
      <c r="Y215" s="88" t="s">
        <v>46</v>
      </c>
      <c r="Z215" s="44">
        <f t="shared" si="34"/>
        <v>0</v>
      </c>
    </row>
    <row r="216" spans="1:26" ht="15" x14ac:dyDescent="0.25">
      <c r="A216" s="88" t="s">
        <v>177</v>
      </c>
      <c r="B216" s="44">
        <f t="shared" si="30"/>
        <v>102.61</v>
      </c>
      <c r="G216" s="88" t="s">
        <v>177</v>
      </c>
      <c r="H216" s="44">
        <f t="shared" si="31"/>
        <v>162.12</v>
      </c>
      <c r="M216" s="88" t="s">
        <v>177</v>
      </c>
      <c r="N216" s="44">
        <f t="shared" si="32"/>
        <v>116.73</v>
      </c>
      <c r="S216" s="88" t="s">
        <v>177</v>
      </c>
      <c r="T216" s="44">
        <f t="shared" si="33"/>
        <v>0</v>
      </c>
      <c r="Y216" s="88" t="s">
        <v>177</v>
      </c>
      <c r="Z216" s="44">
        <f t="shared" si="34"/>
        <v>0</v>
      </c>
    </row>
    <row r="217" spans="1:26" ht="15" x14ac:dyDescent="0.25">
      <c r="A217" s="88" t="s">
        <v>178</v>
      </c>
      <c r="B217" s="44">
        <f t="shared" si="30"/>
        <v>6.1</v>
      </c>
      <c r="G217" s="88" t="s">
        <v>178</v>
      </c>
      <c r="H217" s="44">
        <f t="shared" si="31"/>
        <v>1.49</v>
      </c>
      <c r="M217" s="88" t="s">
        <v>178</v>
      </c>
      <c r="N217" s="44">
        <f t="shared" si="32"/>
        <v>8.5399999999999991</v>
      </c>
      <c r="S217" s="88" t="s">
        <v>178</v>
      </c>
      <c r="T217" s="44">
        <f t="shared" si="33"/>
        <v>0</v>
      </c>
      <c r="Y217" s="88" t="s">
        <v>178</v>
      </c>
      <c r="Z217" s="44">
        <f t="shared" si="34"/>
        <v>0</v>
      </c>
    </row>
    <row r="218" spans="1:26" ht="15" x14ac:dyDescent="0.25">
      <c r="A218" s="88" t="s">
        <v>179</v>
      </c>
      <c r="B218" s="44">
        <f t="shared" si="30"/>
        <v>43.21</v>
      </c>
      <c r="G218" s="88" t="s">
        <v>179</v>
      </c>
      <c r="H218" s="44">
        <f t="shared" si="31"/>
        <v>64</v>
      </c>
      <c r="M218" s="88" t="s">
        <v>179</v>
      </c>
      <c r="N218" s="44">
        <f t="shared" si="32"/>
        <v>72.09</v>
      </c>
      <c r="S218" s="88" t="s">
        <v>179</v>
      </c>
      <c r="T218" s="44">
        <f t="shared" si="33"/>
        <v>0</v>
      </c>
      <c r="Y218" s="88" t="s">
        <v>179</v>
      </c>
      <c r="Z218" s="44">
        <f t="shared" si="34"/>
        <v>0</v>
      </c>
    </row>
    <row r="219" spans="1:26" ht="15" x14ac:dyDescent="0.25">
      <c r="A219" s="88" t="s">
        <v>180</v>
      </c>
      <c r="B219" s="44">
        <f t="shared" si="30"/>
        <v>409.88</v>
      </c>
      <c r="G219" s="88" t="s">
        <v>180</v>
      </c>
      <c r="H219" s="44">
        <f t="shared" si="31"/>
        <v>383.37</v>
      </c>
      <c r="M219" s="88" t="s">
        <v>180</v>
      </c>
      <c r="N219" s="44">
        <f t="shared" si="32"/>
        <v>379.67</v>
      </c>
      <c r="S219" s="88" t="s">
        <v>180</v>
      </c>
      <c r="T219" s="44">
        <f t="shared" si="33"/>
        <v>0</v>
      </c>
      <c r="Y219" s="88" t="s">
        <v>180</v>
      </c>
      <c r="Z219" s="44">
        <f t="shared" si="34"/>
        <v>0</v>
      </c>
    </row>
    <row r="220" spans="1:26" ht="15" x14ac:dyDescent="0.25">
      <c r="A220" s="88" t="s">
        <v>181</v>
      </c>
      <c r="B220" s="44">
        <f t="shared" si="30"/>
        <v>281.35000000000002</v>
      </c>
      <c r="G220" s="88" t="s">
        <v>181</v>
      </c>
      <c r="H220" s="44">
        <f t="shared" si="31"/>
        <v>305.85000000000002</v>
      </c>
      <c r="M220" s="88" t="s">
        <v>181</v>
      </c>
      <c r="N220" s="44">
        <f t="shared" si="32"/>
        <v>241.79</v>
      </c>
      <c r="S220" s="88" t="s">
        <v>181</v>
      </c>
      <c r="T220" s="44">
        <f t="shared" si="33"/>
        <v>0</v>
      </c>
      <c r="Y220" s="88" t="s">
        <v>181</v>
      </c>
      <c r="Z220" s="44">
        <f t="shared" si="34"/>
        <v>0</v>
      </c>
    </row>
    <row r="221" spans="1:26" ht="15" x14ac:dyDescent="0.25">
      <c r="A221" s="88" t="s">
        <v>54</v>
      </c>
      <c r="B221" s="44">
        <f t="shared" si="30"/>
        <v>1073.8756080000001</v>
      </c>
      <c r="G221" s="88" t="s">
        <v>54</v>
      </c>
      <c r="H221" s="44">
        <f t="shared" si="31"/>
        <v>1040.50128</v>
      </c>
      <c r="M221" s="88" t="s">
        <v>54</v>
      </c>
      <c r="N221" s="44">
        <f t="shared" si="32"/>
        <v>923.72311200000001</v>
      </c>
      <c r="S221" s="88" t="s">
        <v>54</v>
      </c>
      <c r="T221" s="44">
        <f t="shared" si="33"/>
        <v>0</v>
      </c>
      <c r="Y221" s="88" t="s">
        <v>54</v>
      </c>
      <c r="Z221" s="44">
        <f t="shared" si="34"/>
        <v>0</v>
      </c>
    </row>
    <row r="222" spans="1:26" ht="15" x14ac:dyDescent="0.25">
      <c r="A222" s="88" t="s">
        <v>47</v>
      </c>
      <c r="B222" s="44">
        <f t="shared" si="30"/>
        <v>954.51345600000002</v>
      </c>
      <c r="G222" s="88" t="s">
        <v>47</v>
      </c>
      <c r="H222" s="44">
        <f t="shared" si="31"/>
        <v>1239.5320079999999</v>
      </c>
      <c r="M222" s="88" t="s">
        <v>47</v>
      </c>
      <c r="N222" s="44">
        <f t="shared" si="32"/>
        <v>896.07960000000003</v>
      </c>
      <c r="S222" s="88" t="s">
        <v>47</v>
      </c>
      <c r="T222" s="44">
        <f t="shared" si="33"/>
        <v>0</v>
      </c>
      <c r="Y222" s="88" t="s">
        <v>47</v>
      </c>
      <c r="Z222" s="44">
        <f t="shared" si="34"/>
        <v>0</v>
      </c>
    </row>
    <row r="223" spans="1:26" ht="15" x14ac:dyDescent="0.25">
      <c r="A223" s="88" t="s">
        <v>53</v>
      </c>
      <c r="B223" s="44">
        <f t="shared" si="30"/>
        <v>132.550704</v>
      </c>
      <c r="G223" s="88" t="s">
        <v>53</v>
      </c>
      <c r="H223" s="44">
        <f t="shared" si="31"/>
        <v>167.76707999999999</v>
      </c>
      <c r="M223" s="88" t="s">
        <v>53</v>
      </c>
      <c r="N223" s="44">
        <f t="shared" si="32"/>
        <v>160.15584000000001</v>
      </c>
      <c r="S223" s="88" t="s">
        <v>53</v>
      </c>
      <c r="T223" s="44">
        <f t="shared" si="33"/>
        <v>0</v>
      </c>
      <c r="Y223" s="88" t="s">
        <v>53</v>
      </c>
      <c r="Z223" s="44">
        <f t="shared" si="34"/>
        <v>0</v>
      </c>
    </row>
    <row r="224" spans="1:26" ht="15" x14ac:dyDescent="0.25">
      <c r="A224" s="88" t="s">
        <v>182</v>
      </c>
      <c r="B224" s="44">
        <f t="shared" si="30"/>
        <v>5372.3380260000004</v>
      </c>
      <c r="G224" s="88" t="s">
        <v>182</v>
      </c>
      <c r="H224" s="44">
        <f t="shared" si="31"/>
        <v>5482.7779829999999</v>
      </c>
      <c r="M224" s="88" t="s">
        <v>182</v>
      </c>
      <c r="N224" s="44">
        <f t="shared" si="32"/>
        <v>4068.1666439999999</v>
      </c>
      <c r="S224" s="88" t="s">
        <v>182</v>
      </c>
      <c r="T224" s="44">
        <f t="shared" si="33"/>
        <v>0</v>
      </c>
      <c r="Y224" s="88" t="s">
        <v>182</v>
      </c>
      <c r="Z224" s="44">
        <f t="shared" si="34"/>
        <v>0</v>
      </c>
    </row>
    <row r="225" spans="1:26" ht="15" x14ac:dyDescent="0.25">
      <c r="A225" s="88" t="s">
        <v>183</v>
      </c>
      <c r="B225" s="44">
        <f t="shared" si="30"/>
        <v>2.44</v>
      </c>
      <c r="G225" s="88" t="s">
        <v>183</v>
      </c>
      <c r="H225" s="44">
        <f t="shared" si="31"/>
        <v>1.83</v>
      </c>
      <c r="M225" s="88" t="s">
        <v>183</v>
      </c>
      <c r="N225" s="44">
        <f t="shared" si="32"/>
        <v>11.86</v>
      </c>
      <c r="S225" s="88" t="s">
        <v>183</v>
      </c>
      <c r="T225" s="44">
        <f t="shared" si="33"/>
        <v>0</v>
      </c>
      <c r="Y225" s="88" t="s">
        <v>183</v>
      </c>
      <c r="Z225" s="44">
        <f t="shared" si="34"/>
        <v>0</v>
      </c>
    </row>
    <row r="226" spans="1:26" ht="15" x14ac:dyDescent="0.25">
      <c r="A226" s="88" t="s">
        <v>184</v>
      </c>
      <c r="B226" s="44">
        <f t="shared" si="30"/>
        <v>881.61061099999995</v>
      </c>
      <c r="G226" s="88" t="s">
        <v>184</v>
      </c>
      <c r="H226" s="44">
        <f t="shared" si="31"/>
        <v>947.03412300000002</v>
      </c>
      <c r="M226" s="88" t="s">
        <v>184</v>
      </c>
      <c r="N226" s="44">
        <f t="shared" si="32"/>
        <v>801.90368699999999</v>
      </c>
      <c r="S226" s="88" t="s">
        <v>184</v>
      </c>
      <c r="T226" s="44">
        <f t="shared" si="33"/>
        <v>0</v>
      </c>
      <c r="Y226" s="88" t="s">
        <v>184</v>
      </c>
      <c r="Z226" s="44">
        <f t="shared" si="34"/>
        <v>0</v>
      </c>
    </row>
    <row r="227" spans="1:26" ht="15" x14ac:dyDescent="0.25">
      <c r="A227" s="88" t="s">
        <v>52</v>
      </c>
      <c r="B227" s="44">
        <f t="shared" si="30"/>
        <v>437.39685600000001</v>
      </c>
      <c r="G227" s="88" t="s">
        <v>52</v>
      </c>
      <c r="H227" s="44">
        <f t="shared" si="31"/>
        <v>499.97532000000001</v>
      </c>
      <c r="M227" s="88" t="s">
        <v>52</v>
      </c>
      <c r="N227" s="44">
        <f t="shared" si="32"/>
        <v>584.683944</v>
      </c>
      <c r="S227" s="88" t="s">
        <v>52</v>
      </c>
      <c r="T227" s="44">
        <f t="shared" si="33"/>
        <v>0</v>
      </c>
      <c r="Y227" s="88" t="s">
        <v>52</v>
      </c>
      <c r="Z227" s="44">
        <f t="shared" si="34"/>
        <v>0</v>
      </c>
    </row>
    <row r="228" spans="1:26" ht="15" x14ac:dyDescent="0.25">
      <c r="A228" s="88" t="s">
        <v>90</v>
      </c>
      <c r="B228" s="44">
        <f t="shared" si="30"/>
        <v>20.633496000000001</v>
      </c>
      <c r="G228" s="88" t="s">
        <v>90</v>
      </c>
      <c r="H228" s="44">
        <f t="shared" si="31"/>
        <v>27.681888000000001</v>
      </c>
      <c r="M228" s="88" t="s">
        <v>90</v>
      </c>
      <c r="N228" s="44">
        <f t="shared" si="32"/>
        <v>107.529552</v>
      </c>
      <c r="S228" s="88" t="s">
        <v>90</v>
      </c>
      <c r="T228" s="44">
        <f t="shared" si="33"/>
        <v>0</v>
      </c>
      <c r="Y228" s="88" t="s">
        <v>90</v>
      </c>
      <c r="Z228" s="44">
        <f t="shared" si="34"/>
        <v>0</v>
      </c>
    </row>
    <row r="229" spans="1:26" ht="15" x14ac:dyDescent="0.25">
      <c r="A229" s="88" t="s">
        <v>185</v>
      </c>
      <c r="B229" s="44">
        <f t="shared" si="30"/>
        <v>2076.402</v>
      </c>
      <c r="G229" s="88" t="s">
        <v>185</v>
      </c>
      <c r="H229" s="44">
        <f t="shared" si="31"/>
        <v>2121.7060000000001</v>
      </c>
      <c r="M229" s="88" t="s">
        <v>185</v>
      </c>
      <c r="N229" s="44">
        <f t="shared" si="32"/>
        <v>1845.684</v>
      </c>
      <c r="S229" s="88" t="s">
        <v>185</v>
      </c>
      <c r="T229" s="44">
        <f t="shared" si="33"/>
        <v>0</v>
      </c>
      <c r="Y229" s="88" t="s">
        <v>185</v>
      </c>
      <c r="Z229" s="44">
        <f t="shared" si="34"/>
        <v>0</v>
      </c>
    </row>
    <row r="230" spans="1:26" ht="15" x14ac:dyDescent="0.25">
      <c r="A230" s="88" t="s">
        <v>48</v>
      </c>
      <c r="B230" s="44">
        <f t="shared" si="30"/>
        <v>4759.7496959999999</v>
      </c>
      <c r="G230" s="88" t="s">
        <v>48</v>
      </c>
      <c r="H230" s="44">
        <f t="shared" si="31"/>
        <v>4635.2963280000004</v>
      </c>
      <c r="M230" s="88" t="s">
        <v>48</v>
      </c>
      <c r="N230" s="44">
        <f t="shared" si="32"/>
        <v>4590.1149839999998</v>
      </c>
      <c r="S230" s="88" t="s">
        <v>48</v>
      </c>
      <c r="T230" s="44">
        <f t="shared" si="33"/>
        <v>0</v>
      </c>
      <c r="Y230" s="88" t="s">
        <v>48</v>
      </c>
      <c r="Z230" s="44">
        <f t="shared" si="34"/>
        <v>0</v>
      </c>
    </row>
    <row r="231" spans="1:26" ht="15" x14ac:dyDescent="0.25">
      <c r="A231" s="88" t="s">
        <v>186</v>
      </c>
      <c r="B231" s="44">
        <f t="shared" si="30"/>
        <v>26.66</v>
      </c>
      <c r="G231" s="88" t="s">
        <v>186</v>
      </c>
      <c r="H231" s="44">
        <f t="shared" si="31"/>
        <v>25.18</v>
      </c>
      <c r="M231" s="88" t="s">
        <v>186</v>
      </c>
      <c r="N231" s="44">
        <f t="shared" si="32"/>
        <v>22.32</v>
      </c>
      <c r="S231" s="88" t="s">
        <v>186</v>
      </c>
      <c r="T231" s="44">
        <f t="shared" si="33"/>
        <v>0</v>
      </c>
      <c r="Y231" s="88" t="s">
        <v>186</v>
      </c>
      <c r="Z231" s="44">
        <f t="shared" si="34"/>
        <v>0</v>
      </c>
    </row>
    <row r="232" spans="1:26" ht="15" x14ac:dyDescent="0.25">
      <c r="A232" s="88" t="s">
        <v>187</v>
      </c>
      <c r="B232" s="44">
        <f t="shared" si="30"/>
        <v>0</v>
      </c>
      <c r="G232" s="88" t="s">
        <v>187</v>
      </c>
      <c r="H232" s="44">
        <f t="shared" si="31"/>
        <v>0</v>
      </c>
      <c r="M232" s="88" t="s">
        <v>187</v>
      </c>
      <c r="N232" s="44">
        <f t="shared" si="32"/>
        <v>0</v>
      </c>
      <c r="S232" s="88" t="s">
        <v>187</v>
      </c>
      <c r="T232" s="44">
        <f t="shared" si="33"/>
        <v>0</v>
      </c>
      <c r="Y232" s="88" t="s">
        <v>187</v>
      </c>
      <c r="Z232" s="44">
        <f t="shared" si="34"/>
        <v>0</v>
      </c>
    </row>
    <row r="233" spans="1:26" ht="15" x14ac:dyDescent="0.25">
      <c r="A233" s="88" t="s">
        <v>49</v>
      </c>
      <c r="B233" s="44">
        <f t="shared" si="30"/>
        <v>2259.1439519999999</v>
      </c>
      <c r="G233" s="88" t="s">
        <v>49</v>
      </c>
      <c r="H233" s="44">
        <f t="shared" si="31"/>
        <v>1901.4284640000001</v>
      </c>
      <c r="M233" s="88" t="s">
        <v>49</v>
      </c>
      <c r="N233" s="44">
        <f t="shared" si="32"/>
        <v>2093.9352720000002</v>
      </c>
      <c r="S233" s="88" t="s">
        <v>49</v>
      </c>
      <c r="T233" s="44">
        <f t="shared" si="33"/>
        <v>0</v>
      </c>
      <c r="Y233" s="88" t="s">
        <v>49</v>
      </c>
      <c r="Z233" s="44">
        <f t="shared" si="34"/>
        <v>0</v>
      </c>
    </row>
    <row r="234" spans="1:26" ht="15" x14ac:dyDescent="0.25">
      <c r="A234" s="88" t="s">
        <v>50</v>
      </c>
      <c r="B234" s="44">
        <f t="shared" si="30"/>
        <v>9114.1848719999998</v>
      </c>
      <c r="G234" s="88" t="s">
        <v>50</v>
      </c>
      <c r="H234" s="44">
        <f t="shared" si="31"/>
        <v>8247.4884959999999</v>
      </c>
      <c r="M234" s="88" t="s">
        <v>50</v>
      </c>
      <c r="N234" s="44">
        <f t="shared" si="32"/>
        <v>7842.250728</v>
      </c>
      <c r="S234" s="88" t="s">
        <v>50</v>
      </c>
      <c r="T234" s="44">
        <f t="shared" si="33"/>
        <v>0</v>
      </c>
      <c r="Y234" s="88" t="s">
        <v>50</v>
      </c>
      <c r="Z234" s="44">
        <f t="shared" si="34"/>
        <v>0</v>
      </c>
    </row>
    <row r="235" spans="1:26" ht="15" x14ac:dyDescent="0.25">
      <c r="A235" s="88" t="s">
        <v>188</v>
      </c>
      <c r="B235" s="44">
        <f t="shared" si="30"/>
        <v>831.23364800000002</v>
      </c>
      <c r="G235" s="88" t="s">
        <v>188</v>
      </c>
      <c r="H235" s="44">
        <f t="shared" si="31"/>
        <v>848.89748799999995</v>
      </c>
      <c r="M235" s="88" t="s">
        <v>188</v>
      </c>
      <c r="N235" s="44">
        <f t="shared" si="32"/>
        <v>707.58676800000001</v>
      </c>
      <c r="S235" s="88" t="s">
        <v>188</v>
      </c>
      <c r="T235" s="44">
        <f t="shared" si="33"/>
        <v>0</v>
      </c>
      <c r="Y235" s="88" t="s">
        <v>188</v>
      </c>
      <c r="Z235" s="44">
        <f t="shared" si="34"/>
        <v>0</v>
      </c>
    </row>
    <row r="236" spans="1:26" ht="15" x14ac:dyDescent="0.25">
      <c r="A236" s="88" t="s">
        <v>189</v>
      </c>
      <c r="B236" s="44">
        <f t="shared" si="30"/>
        <v>0</v>
      </c>
      <c r="G236" s="88" t="s">
        <v>189</v>
      </c>
      <c r="H236" s="44">
        <f t="shared" si="31"/>
        <v>0.6</v>
      </c>
      <c r="M236" s="88" t="s">
        <v>189</v>
      </c>
      <c r="N236" s="44">
        <f t="shared" si="32"/>
        <v>17.399999999999999</v>
      </c>
      <c r="S236" s="88" t="s">
        <v>189</v>
      </c>
      <c r="T236" s="44">
        <f t="shared" si="33"/>
        <v>0</v>
      </c>
      <c r="Y236" s="88" t="s">
        <v>189</v>
      </c>
      <c r="Z236" s="44">
        <f t="shared" si="34"/>
        <v>0</v>
      </c>
    </row>
    <row r="237" spans="1:26" ht="15" x14ac:dyDescent="0.25">
      <c r="A237" s="88" t="s">
        <v>190</v>
      </c>
      <c r="B237" s="44">
        <f t="shared" si="30"/>
        <v>362.01</v>
      </c>
      <c r="G237" s="88" t="s">
        <v>190</v>
      </c>
      <c r="H237" s="44">
        <f t="shared" si="31"/>
        <v>451.48</v>
      </c>
      <c r="M237" s="88" t="s">
        <v>190</v>
      </c>
      <c r="N237" s="44">
        <f t="shared" si="32"/>
        <v>524.91</v>
      </c>
      <c r="S237" s="88" t="s">
        <v>190</v>
      </c>
      <c r="T237" s="44">
        <f t="shared" si="33"/>
        <v>0</v>
      </c>
      <c r="Y237" s="88" t="s">
        <v>190</v>
      </c>
      <c r="Z237" s="44">
        <f t="shared" si="34"/>
        <v>0</v>
      </c>
    </row>
    <row r="238" spans="1:26" ht="15" x14ac:dyDescent="0.25">
      <c r="A238" s="88" t="s">
        <v>191</v>
      </c>
      <c r="B238" s="44">
        <f t="shared" si="30"/>
        <v>52.66</v>
      </c>
      <c r="G238" s="88" t="s">
        <v>191</v>
      </c>
      <c r="H238" s="44">
        <f t="shared" si="31"/>
        <v>21.28</v>
      </c>
      <c r="M238" s="88" t="s">
        <v>191</v>
      </c>
      <c r="N238" s="44">
        <f t="shared" si="32"/>
        <v>82.62</v>
      </c>
      <c r="S238" s="88" t="s">
        <v>191</v>
      </c>
      <c r="T238" s="44">
        <f t="shared" si="33"/>
        <v>0</v>
      </c>
      <c r="Y238" s="88" t="s">
        <v>191</v>
      </c>
      <c r="Z238" s="44">
        <f t="shared" si="34"/>
        <v>0</v>
      </c>
    </row>
    <row r="239" spans="1:26" ht="15" x14ac:dyDescent="0.25">
      <c r="A239" s="88" t="s">
        <v>192</v>
      </c>
      <c r="B239" s="44">
        <f t="shared" si="30"/>
        <v>898.75761699999998</v>
      </c>
      <c r="G239" s="88" t="s">
        <v>192</v>
      </c>
      <c r="H239" s="44">
        <f t="shared" si="31"/>
        <v>980.57669699999997</v>
      </c>
      <c r="M239" s="88" t="s">
        <v>192</v>
      </c>
      <c r="N239" s="44">
        <f t="shared" si="32"/>
        <v>937.63930200000004</v>
      </c>
      <c r="S239" s="88" t="s">
        <v>192</v>
      </c>
      <c r="T239" s="44">
        <f t="shared" si="33"/>
        <v>0</v>
      </c>
      <c r="Y239" s="88" t="s">
        <v>192</v>
      </c>
      <c r="Z239" s="44">
        <f t="shared" si="34"/>
        <v>0</v>
      </c>
    </row>
    <row r="240" spans="1:26" ht="15" x14ac:dyDescent="0.25">
      <c r="A240" s="88" t="s">
        <v>193</v>
      </c>
      <c r="B240" s="44">
        <f t="shared" si="30"/>
        <v>0</v>
      </c>
      <c r="G240" s="88" t="s">
        <v>193</v>
      </c>
      <c r="H240" s="44">
        <f t="shared" si="31"/>
        <v>0</v>
      </c>
      <c r="M240" s="88" t="s">
        <v>193</v>
      </c>
      <c r="N240" s="44">
        <f t="shared" si="32"/>
        <v>0</v>
      </c>
      <c r="S240" s="88" t="s">
        <v>193</v>
      </c>
      <c r="T240" s="44">
        <f t="shared" si="33"/>
        <v>0</v>
      </c>
      <c r="Y240" s="88" t="s">
        <v>193</v>
      </c>
      <c r="Z240" s="44">
        <f t="shared" si="34"/>
        <v>0</v>
      </c>
    </row>
    <row r="241" spans="1:26" ht="15" x14ac:dyDescent="0.25">
      <c r="A241" s="88" t="s">
        <v>194</v>
      </c>
      <c r="B241" s="44">
        <f t="shared" si="30"/>
        <v>0</v>
      </c>
      <c r="G241" s="88" t="s">
        <v>194</v>
      </c>
      <c r="H241" s="44">
        <f t="shared" si="31"/>
        <v>0.61</v>
      </c>
      <c r="M241" s="88" t="s">
        <v>194</v>
      </c>
      <c r="N241" s="44">
        <f t="shared" si="32"/>
        <v>1.22</v>
      </c>
      <c r="S241" s="88" t="s">
        <v>194</v>
      </c>
      <c r="T241" s="44">
        <f t="shared" si="33"/>
        <v>0</v>
      </c>
      <c r="Y241" s="88" t="s">
        <v>194</v>
      </c>
      <c r="Z241" s="44">
        <f t="shared" si="34"/>
        <v>0</v>
      </c>
    </row>
    <row r="242" spans="1:26" ht="15" x14ac:dyDescent="0.25">
      <c r="A242" s="88" t="s">
        <v>195</v>
      </c>
      <c r="B242" s="44">
        <f t="shared" si="30"/>
        <v>80.760000000000005</v>
      </c>
      <c r="G242" s="88" t="s">
        <v>195</v>
      </c>
      <c r="H242" s="44">
        <f t="shared" si="31"/>
        <v>150.66</v>
      </c>
      <c r="M242" s="88" t="s">
        <v>195</v>
      </c>
      <c r="N242" s="44">
        <f t="shared" si="32"/>
        <v>36.36</v>
      </c>
      <c r="S242" s="88" t="s">
        <v>195</v>
      </c>
      <c r="T242" s="44">
        <f t="shared" si="33"/>
        <v>0</v>
      </c>
      <c r="Y242" s="88" t="s">
        <v>195</v>
      </c>
      <c r="Z242" s="44">
        <f t="shared" si="34"/>
        <v>0</v>
      </c>
    </row>
    <row r="243" spans="1:26" ht="15" x14ac:dyDescent="0.25">
      <c r="A243" s="88" t="s">
        <v>72</v>
      </c>
      <c r="B243" s="44">
        <f t="shared" si="30"/>
        <v>82736.954664000004</v>
      </c>
      <c r="G243" s="88" t="s">
        <v>72</v>
      </c>
      <c r="H243" s="44">
        <f t="shared" si="31"/>
        <v>89725.799904</v>
      </c>
      <c r="M243" s="88" t="s">
        <v>72</v>
      </c>
      <c r="N243" s="44">
        <f t="shared" si="32"/>
        <v>83172.105328000005</v>
      </c>
      <c r="S243" s="88" t="s">
        <v>72</v>
      </c>
      <c r="T243" s="44">
        <f t="shared" si="33"/>
        <v>0</v>
      </c>
      <c r="Y243" s="88" t="s">
        <v>72</v>
      </c>
      <c r="Z243" s="44">
        <f t="shared" si="34"/>
        <v>0</v>
      </c>
    </row>
    <row r="244" spans="1:26" ht="15" x14ac:dyDescent="0.25">
      <c r="A244" s="88" t="s">
        <v>201</v>
      </c>
      <c r="B244" s="44">
        <f t="shared" si="30"/>
        <v>314805.13</v>
      </c>
      <c r="G244" s="88" t="s">
        <v>201</v>
      </c>
      <c r="H244" s="44">
        <f t="shared" si="31"/>
        <v>446697.33</v>
      </c>
      <c r="M244" s="88" t="s">
        <v>201</v>
      </c>
      <c r="N244" s="44">
        <f t="shared" si="32"/>
        <v>352096.24</v>
      </c>
      <c r="S244" s="88" t="s">
        <v>201</v>
      </c>
      <c r="T244" s="44">
        <f t="shared" si="33"/>
        <v>0</v>
      </c>
      <c r="Y244" s="88" t="s">
        <v>201</v>
      </c>
      <c r="Z244" s="44">
        <f t="shared" si="34"/>
        <v>0</v>
      </c>
    </row>
    <row r="245" spans="1:26" ht="15" x14ac:dyDescent="0.25">
      <c r="A245" s="88" t="s">
        <v>196</v>
      </c>
      <c r="B245" s="44">
        <f t="shared" si="30"/>
        <v>0</v>
      </c>
      <c r="G245" s="88" t="s">
        <v>196</v>
      </c>
      <c r="H245" s="44">
        <f t="shared" si="31"/>
        <v>6</v>
      </c>
      <c r="M245" s="88" t="s">
        <v>196</v>
      </c>
      <c r="N245" s="44">
        <f t="shared" si="32"/>
        <v>0.6</v>
      </c>
      <c r="S245" s="88" t="s">
        <v>196</v>
      </c>
      <c r="T245" s="44">
        <f t="shared" si="33"/>
        <v>0</v>
      </c>
      <c r="Y245" s="88" t="s">
        <v>196</v>
      </c>
      <c r="Z245" s="44">
        <f t="shared" si="34"/>
        <v>0</v>
      </c>
    </row>
    <row r="246" spans="1:26" ht="15" x14ac:dyDescent="0.25">
      <c r="A246" s="88" t="s">
        <v>197</v>
      </c>
      <c r="B246" s="44">
        <f t="shared" si="30"/>
        <v>176.13</v>
      </c>
      <c r="G246" s="88" t="s">
        <v>197</v>
      </c>
      <c r="H246" s="44">
        <f t="shared" si="31"/>
        <v>58.47</v>
      </c>
      <c r="M246" s="88" t="s">
        <v>197</v>
      </c>
      <c r="N246" s="44">
        <f t="shared" si="32"/>
        <v>94.95</v>
      </c>
      <c r="S246" s="88" t="s">
        <v>197</v>
      </c>
      <c r="T246" s="44">
        <f t="shared" si="33"/>
        <v>0</v>
      </c>
      <c r="Y246" s="88" t="s">
        <v>197</v>
      </c>
      <c r="Z246" s="44">
        <f t="shared" si="34"/>
        <v>0</v>
      </c>
    </row>
    <row r="247" spans="1:26" ht="15" x14ac:dyDescent="0.25">
      <c r="A247" s="88" t="s">
        <v>198</v>
      </c>
      <c r="B247" s="44">
        <f t="shared" si="30"/>
        <v>11.78</v>
      </c>
      <c r="G247" s="88" t="s">
        <v>198</v>
      </c>
      <c r="H247" s="44">
        <f t="shared" si="31"/>
        <v>26.54</v>
      </c>
      <c r="M247" s="88" t="s">
        <v>198</v>
      </c>
      <c r="N247" s="44">
        <f t="shared" si="32"/>
        <v>57.03</v>
      </c>
      <c r="S247" s="88" t="s">
        <v>198</v>
      </c>
      <c r="T247" s="44">
        <f t="shared" si="33"/>
        <v>0</v>
      </c>
      <c r="Y247" s="88" t="s">
        <v>198</v>
      </c>
      <c r="Z247" s="44">
        <f t="shared" si="34"/>
        <v>0</v>
      </c>
    </row>
    <row r="248" spans="1:26" ht="15" x14ac:dyDescent="0.25">
      <c r="A248" s="88" t="s">
        <v>199</v>
      </c>
      <c r="B248" s="44">
        <f t="shared" si="30"/>
        <v>10.37</v>
      </c>
      <c r="G248" s="88" t="s">
        <v>199</v>
      </c>
      <c r="H248" s="44">
        <f t="shared" si="31"/>
        <v>1.83</v>
      </c>
      <c r="M248" s="88" t="s">
        <v>199</v>
      </c>
      <c r="N248" s="44">
        <f t="shared" si="32"/>
        <v>1.22</v>
      </c>
      <c r="S248" s="88" t="s">
        <v>199</v>
      </c>
      <c r="T248" s="44">
        <f t="shared" si="33"/>
        <v>0</v>
      </c>
      <c r="Y248" s="88" t="s">
        <v>199</v>
      </c>
      <c r="Z248" s="44">
        <f t="shared" si="34"/>
        <v>0</v>
      </c>
    </row>
    <row r="249" spans="1:26" ht="15" x14ac:dyDescent="0.25">
      <c r="A249" s="88" t="s">
        <v>200</v>
      </c>
      <c r="B249" s="44">
        <f t="shared" si="30"/>
        <v>2.44</v>
      </c>
      <c r="G249" s="88" t="s">
        <v>200</v>
      </c>
      <c r="H249" s="44">
        <f t="shared" si="31"/>
        <v>1.83</v>
      </c>
      <c r="M249" s="88" t="s">
        <v>200</v>
      </c>
      <c r="N249" s="44">
        <f t="shared" si="32"/>
        <v>12.81</v>
      </c>
      <c r="S249" s="88" t="s">
        <v>200</v>
      </c>
      <c r="T249" s="44">
        <f t="shared" si="33"/>
        <v>0</v>
      </c>
      <c r="Y249" s="88" t="s">
        <v>200</v>
      </c>
      <c r="Z249" s="44">
        <f t="shared" si="34"/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AE249"/>
  <sheetViews>
    <sheetView zoomScale="80" zoomScaleNormal="80" zoomScalePageLayoutView="80" workbookViewId="0">
      <selection activeCell="N2" sqref="N2:N113"/>
    </sheetView>
  </sheetViews>
  <sheetFormatPr defaultColWidth="8.85546875" defaultRowHeight="12.75" x14ac:dyDescent="0.2"/>
  <cols>
    <col min="1" max="1" width="17" bestFit="1" customWidth="1"/>
    <col min="2" max="2" width="13" bestFit="1" customWidth="1"/>
    <col min="7" max="7" width="17" bestFit="1" customWidth="1"/>
    <col min="8" max="8" width="13" bestFit="1" customWidth="1"/>
    <col min="13" max="13" width="17" bestFit="1" customWidth="1"/>
    <col min="14" max="14" width="13.42578125" bestFit="1" customWidth="1"/>
    <col min="19" max="19" width="18" customWidth="1"/>
    <col min="20" max="20" width="12.28515625" bestFit="1" customWidth="1"/>
    <col min="25" max="25" width="18.42578125" customWidth="1"/>
    <col min="26" max="26" width="12.28515625" bestFit="1" customWidth="1"/>
  </cols>
  <sheetData>
    <row r="1" spans="1:31" s="44" customFormat="1" ht="15" x14ac:dyDescent="0.25">
      <c r="A1" s="58" t="s">
        <v>16</v>
      </c>
      <c r="B1" s="58"/>
      <c r="C1" s="58"/>
      <c r="D1" s="58"/>
      <c r="E1" s="58"/>
      <c r="F1" s="86"/>
      <c r="G1" s="58" t="s">
        <v>17</v>
      </c>
      <c r="H1" s="58"/>
      <c r="I1" s="58"/>
      <c r="J1" s="58"/>
      <c r="K1" s="58"/>
      <c r="L1" s="86"/>
      <c r="M1" s="58" t="s">
        <v>18</v>
      </c>
      <c r="N1" s="58"/>
      <c r="O1" s="58"/>
      <c r="P1" s="58"/>
      <c r="Q1" s="58"/>
      <c r="R1" s="86"/>
      <c r="S1" s="58" t="s">
        <v>19</v>
      </c>
      <c r="T1" s="58"/>
      <c r="U1" s="58"/>
      <c r="V1" s="58"/>
      <c r="W1" s="58"/>
      <c r="X1" s="86"/>
      <c r="Y1" s="58" t="s">
        <v>20</v>
      </c>
      <c r="Z1" s="58"/>
      <c r="AA1" s="58"/>
      <c r="AB1" s="58"/>
      <c r="AC1" s="58"/>
      <c r="AD1" s="86"/>
    </row>
    <row r="2" spans="1:31" s="44" customFormat="1" ht="15" x14ac:dyDescent="0.25">
      <c r="A2" s="87" t="s">
        <v>205</v>
      </c>
      <c r="B2" s="346"/>
      <c r="E2" s="58"/>
      <c r="F2" s="86" t="s">
        <v>205</v>
      </c>
      <c r="G2" s="87" t="s">
        <v>205</v>
      </c>
      <c r="H2" s="346"/>
      <c r="I2" s="8"/>
      <c r="J2" s="8"/>
      <c r="K2" s="58"/>
      <c r="L2" s="86"/>
      <c r="M2" s="87" t="s">
        <v>205</v>
      </c>
      <c r="N2" s="346">
        <v>0</v>
      </c>
      <c r="Q2" s="58"/>
      <c r="R2" s="86"/>
      <c r="S2" s="87" t="s">
        <v>205</v>
      </c>
      <c r="T2" s="346"/>
      <c r="W2" s="58"/>
      <c r="X2" s="86"/>
      <c r="Y2" s="87" t="s">
        <v>205</v>
      </c>
      <c r="Z2" s="346"/>
      <c r="AC2" s="58"/>
      <c r="AD2" s="86"/>
      <c r="AE2" s="87" t="s">
        <v>126</v>
      </c>
    </row>
    <row r="3" spans="1:31" s="44" customFormat="1" ht="15" x14ac:dyDescent="0.25">
      <c r="A3" s="59" t="s">
        <v>206</v>
      </c>
      <c r="B3" s="346">
        <v>0</v>
      </c>
      <c r="E3" s="8" t="e">
        <f>C3/B3</f>
        <v>#DIV/0!</v>
      </c>
      <c r="F3" s="86" t="s">
        <v>206</v>
      </c>
      <c r="G3" s="59" t="s">
        <v>206</v>
      </c>
      <c r="H3" s="346">
        <v>0</v>
      </c>
      <c r="I3" s="8"/>
      <c r="J3" s="8"/>
      <c r="K3" s="8" t="e">
        <f>I3/H3</f>
        <v>#DIV/0!</v>
      </c>
      <c r="L3" s="40"/>
      <c r="M3" s="59" t="s">
        <v>206</v>
      </c>
      <c r="N3" s="346">
        <v>1.22</v>
      </c>
      <c r="Q3" s="8">
        <f>O3/N3</f>
        <v>0</v>
      </c>
      <c r="R3" s="40"/>
      <c r="S3" s="59" t="s">
        <v>206</v>
      </c>
      <c r="T3" s="346"/>
      <c r="W3" s="39" t="e">
        <f>U3/T3</f>
        <v>#DIV/0!</v>
      </c>
      <c r="X3" s="40"/>
      <c r="Y3" s="59" t="s">
        <v>206</v>
      </c>
      <c r="Z3" s="346"/>
      <c r="AC3" s="39" t="e">
        <f>AA3/Z3</f>
        <v>#DIV/0!</v>
      </c>
      <c r="AD3" s="40"/>
      <c r="AE3" s="59" t="s">
        <v>127</v>
      </c>
    </row>
    <row r="4" spans="1:31" s="44" customFormat="1" ht="15" x14ac:dyDescent="0.25">
      <c r="A4" s="59" t="s">
        <v>207</v>
      </c>
      <c r="B4" s="346">
        <v>29.889999999999993</v>
      </c>
      <c r="E4" s="8">
        <f>C4/B4</f>
        <v>0</v>
      </c>
      <c r="F4" s="86" t="s">
        <v>207</v>
      </c>
      <c r="G4" s="59" t="s">
        <v>207</v>
      </c>
      <c r="H4" s="346">
        <v>28.329999999999995</v>
      </c>
      <c r="I4" s="8"/>
      <c r="J4" s="8"/>
      <c r="K4" s="8">
        <f>I4/H4</f>
        <v>0</v>
      </c>
      <c r="L4" s="40"/>
      <c r="M4" s="59" t="s">
        <v>207</v>
      </c>
      <c r="N4" s="346">
        <v>10.369999999999997</v>
      </c>
      <c r="Q4" s="8">
        <f>O4/N4</f>
        <v>0</v>
      </c>
      <c r="R4" s="40"/>
      <c r="S4" s="59" t="s">
        <v>207</v>
      </c>
      <c r="T4" s="346"/>
      <c r="W4" s="39" t="e">
        <f>U4/T4</f>
        <v>#DIV/0!</v>
      </c>
      <c r="X4" s="40"/>
      <c r="Y4" s="59" t="s">
        <v>207</v>
      </c>
      <c r="Z4" s="346"/>
      <c r="AC4" s="39" t="e">
        <f>AA4/Z4</f>
        <v>#DIV/0!</v>
      </c>
      <c r="AD4" s="40"/>
      <c r="AE4" s="59" t="s">
        <v>128</v>
      </c>
    </row>
    <row r="5" spans="1:31" s="44" customFormat="1" ht="15" x14ac:dyDescent="0.25">
      <c r="A5" s="59" t="s">
        <v>208</v>
      </c>
      <c r="B5" s="346">
        <v>0</v>
      </c>
      <c r="E5" s="8" t="e">
        <f>C5/B5</f>
        <v>#DIV/0!</v>
      </c>
      <c r="F5" s="86" t="s">
        <v>208</v>
      </c>
      <c r="G5" s="59" t="s">
        <v>208</v>
      </c>
      <c r="H5" s="346">
        <v>0</v>
      </c>
      <c r="I5" s="8"/>
      <c r="J5" s="8"/>
      <c r="K5" s="8" t="e">
        <f>I5/H5</f>
        <v>#DIV/0!</v>
      </c>
      <c r="L5" s="40"/>
      <c r="M5" s="59" t="s">
        <v>208</v>
      </c>
      <c r="N5" s="346">
        <v>0</v>
      </c>
      <c r="Q5" s="8" t="e">
        <f>O5/N5</f>
        <v>#DIV/0!</v>
      </c>
      <c r="R5" s="40"/>
      <c r="S5" s="59" t="s">
        <v>208</v>
      </c>
      <c r="T5" s="346"/>
      <c r="W5" s="8" t="e">
        <f>U5/T5</f>
        <v>#DIV/0!</v>
      </c>
      <c r="X5" s="40"/>
      <c r="Y5" s="59" t="s">
        <v>208</v>
      </c>
      <c r="Z5" s="346"/>
      <c r="AC5" s="8" t="e">
        <f>AA5/Z5</f>
        <v>#DIV/0!</v>
      </c>
      <c r="AD5" s="40"/>
      <c r="AE5" s="59" t="s">
        <v>129</v>
      </c>
    </row>
    <row r="6" spans="1:31" s="44" customFormat="1" ht="15" x14ac:dyDescent="0.25">
      <c r="A6" s="59" t="s">
        <v>209</v>
      </c>
      <c r="B6" s="346">
        <v>3595.2826769999297</v>
      </c>
      <c r="E6" s="8"/>
      <c r="F6" s="86" t="s">
        <v>209</v>
      </c>
      <c r="G6" s="59" t="s">
        <v>209</v>
      </c>
      <c r="H6" s="346">
        <v>3494.5859339999233</v>
      </c>
      <c r="I6" s="8"/>
      <c r="J6" s="8"/>
      <c r="K6" s="8"/>
      <c r="L6" s="40"/>
      <c r="M6" s="59" t="s">
        <v>209</v>
      </c>
      <c r="N6" s="346">
        <v>4246.969859999901</v>
      </c>
      <c r="Q6" s="8"/>
      <c r="R6" s="40"/>
      <c r="S6" s="59" t="s">
        <v>209</v>
      </c>
      <c r="T6" s="346"/>
      <c r="W6" s="8"/>
      <c r="X6" s="40"/>
      <c r="Y6" s="59" t="s">
        <v>209</v>
      </c>
      <c r="Z6" s="346"/>
      <c r="AC6" s="8"/>
      <c r="AD6" s="40"/>
      <c r="AE6" s="59" t="s">
        <v>33</v>
      </c>
    </row>
    <row r="7" spans="1:31" s="44" customFormat="1" ht="15" x14ac:dyDescent="0.25">
      <c r="A7" s="59" t="s">
        <v>210</v>
      </c>
      <c r="B7" s="346">
        <v>142.79897479999983</v>
      </c>
      <c r="E7" s="8"/>
      <c r="F7" s="86" t="s">
        <v>210</v>
      </c>
      <c r="G7" s="59" t="s">
        <v>210</v>
      </c>
      <c r="H7" s="346">
        <v>179.68611639999975</v>
      </c>
      <c r="I7" s="8"/>
      <c r="J7" s="8"/>
      <c r="K7" s="8"/>
      <c r="L7" s="40"/>
      <c r="M7" s="59" t="s">
        <v>210</v>
      </c>
      <c r="N7" s="346">
        <v>146.15481159999982</v>
      </c>
      <c r="Q7" s="8"/>
      <c r="R7" s="40"/>
      <c r="S7" s="59" t="s">
        <v>210</v>
      </c>
      <c r="T7" s="346"/>
      <c r="W7" s="8"/>
      <c r="X7" s="40"/>
      <c r="Y7" s="59" t="s">
        <v>210</v>
      </c>
      <c r="Z7" s="346"/>
      <c r="AC7" s="8"/>
      <c r="AD7" s="40"/>
      <c r="AE7" s="59" t="s">
        <v>34</v>
      </c>
    </row>
    <row r="8" spans="1:31" s="44" customFormat="1" ht="15" x14ac:dyDescent="0.25">
      <c r="A8" s="59" t="s">
        <v>211</v>
      </c>
      <c r="B8" s="346">
        <v>0</v>
      </c>
      <c r="E8" s="8"/>
      <c r="F8" s="86" t="s">
        <v>211</v>
      </c>
      <c r="G8" s="59" t="s">
        <v>211</v>
      </c>
      <c r="H8" s="346">
        <v>0.6</v>
      </c>
      <c r="I8" s="8"/>
      <c r="J8" s="8"/>
      <c r="K8" s="8"/>
      <c r="L8" s="40"/>
      <c r="M8" s="59" t="s">
        <v>211</v>
      </c>
      <c r="N8" s="346">
        <v>7.38</v>
      </c>
      <c r="Q8" s="8"/>
      <c r="R8" s="40"/>
      <c r="S8" s="59" t="s">
        <v>211</v>
      </c>
      <c r="T8" s="346"/>
      <c r="W8" s="8"/>
      <c r="X8" s="40"/>
      <c r="Y8" s="59" t="s">
        <v>211</v>
      </c>
      <c r="Z8" s="346"/>
      <c r="AC8" s="8"/>
      <c r="AD8" s="40"/>
      <c r="AE8" s="59" t="s">
        <v>130</v>
      </c>
    </row>
    <row r="9" spans="1:31" s="44" customFormat="1" ht="15" x14ac:dyDescent="0.25">
      <c r="A9" s="59" t="s">
        <v>212</v>
      </c>
      <c r="B9" s="346">
        <v>0</v>
      </c>
      <c r="E9" s="8" t="e">
        <f t="shared" ref="E9:E62" si="0">C9/B9</f>
        <v>#DIV/0!</v>
      </c>
      <c r="F9" s="86" t="s">
        <v>212</v>
      </c>
      <c r="G9" s="59" t="s">
        <v>212</v>
      </c>
      <c r="H9" s="346">
        <v>0</v>
      </c>
      <c r="I9" s="8"/>
      <c r="J9" s="8"/>
      <c r="K9" s="8" t="e">
        <f t="shared" ref="K9:K62" si="1">I9/H9</f>
        <v>#DIV/0!</v>
      </c>
      <c r="L9" s="40"/>
      <c r="M9" s="59" t="s">
        <v>212</v>
      </c>
      <c r="N9" s="346">
        <v>0</v>
      </c>
      <c r="Q9" s="8" t="e">
        <f t="shared" ref="Q9:Q62" si="2">O9/N9</f>
        <v>#DIV/0!</v>
      </c>
      <c r="R9" s="40"/>
      <c r="S9" s="59" t="s">
        <v>212</v>
      </c>
      <c r="T9" s="346"/>
      <c r="W9" s="8" t="e">
        <f>U9/T9</f>
        <v>#DIV/0!</v>
      </c>
      <c r="X9" s="40"/>
      <c r="Y9" s="59" t="s">
        <v>212</v>
      </c>
      <c r="Z9" s="346"/>
      <c r="AC9" s="8" t="e">
        <f>AA9/Z9</f>
        <v>#DIV/0!</v>
      </c>
      <c r="AD9" s="40"/>
      <c r="AE9" s="59" t="s">
        <v>131</v>
      </c>
    </row>
    <row r="10" spans="1:31" s="44" customFormat="1" ht="15" x14ac:dyDescent="0.25">
      <c r="A10" s="59" t="s">
        <v>213</v>
      </c>
      <c r="B10" s="346">
        <v>0</v>
      </c>
      <c r="E10" s="8"/>
      <c r="F10" s="86" t="s">
        <v>213</v>
      </c>
      <c r="G10" s="59" t="s">
        <v>213</v>
      </c>
      <c r="H10" s="346">
        <v>0</v>
      </c>
      <c r="I10" s="8"/>
      <c r="J10" s="8"/>
      <c r="K10" s="8"/>
      <c r="L10" s="40"/>
      <c r="M10" s="59" t="s">
        <v>213</v>
      </c>
      <c r="N10" s="346">
        <v>0</v>
      </c>
      <c r="Q10" s="8"/>
      <c r="R10" s="40"/>
      <c r="S10" s="59" t="s">
        <v>213</v>
      </c>
      <c r="T10" s="346"/>
      <c r="W10" s="8"/>
      <c r="X10" s="40"/>
      <c r="Y10" s="59" t="s">
        <v>213</v>
      </c>
      <c r="Z10" s="346"/>
      <c r="AC10" s="8"/>
      <c r="AD10" s="40"/>
      <c r="AE10" s="59" t="s">
        <v>132</v>
      </c>
    </row>
    <row r="11" spans="1:31" s="44" customFormat="1" ht="15" x14ac:dyDescent="0.25">
      <c r="A11" s="59" t="s">
        <v>214</v>
      </c>
      <c r="B11" s="346">
        <v>0</v>
      </c>
      <c r="E11" s="8" t="e">
        <f t="shared" si="0"/>
        <v>#DIV/0!</v>
      </c>
      <c r="F11" s="86" t="s">
        <v>214</v>
      </c>
      <c r="G11" s="59" t="s">
        <v>214</v>
      </c>
      <c r="H11" s="346">
        <v>0</v>
      </c>
      <c r="I11" s="8"/>
      <c r="J11" s="8"/>
      <c r="K11" s="8" t="e">
        <f t="shared" si="1"/>
        <v>#DIV/0!</v>
      </c>
      <c r="L11" s="40"/>
      <c r="M11" s="59" t="s">
        <v>214</v>
      </c>
      <c r="N11" s="346">
        <v>0.6</v>
      </c>
      <c r="Q11" s="8">
        <f t="shared" si="2"/>
        <v>0</v>
      </c>
      <c r="R11" s="40"/>
      <c r="S11" s="59" t="s">
        <v>214</v>
      </c>
      <c r="T11" s="346"/>
      <c r="W11" s="8" t="e">
        <f t="shared" ref="W11:W62" si="3">U11/T11</f>
        <v>#DIV/0!</v>
      </c>
      <c r="X11" s="40"/>
      <c r="Y11" s="59" t="s">
        <v>214</v>
      </c>
      <c r="Z11" s="346"/>
      <c r="AC11" s="8" t="e">
        <f t="shared" ref="AC11:AC62" si="4">AA11/Z11</f>
        <v>#DIV/0!</v>
      </c>
      <c r="AD11" s="40"/>
      <c r="AE11" s="59" t="s">
        <v>133</v>
      </c>
    </row>
    <row r="12" spans="1:31" s="44" customFormat="1" ht="15" x14ac:dyDescent="0.25">
      <c r="A12" s="59" t="s">
        <v>215</v>
      </c>
      <c r="B12" s="346">
        <v>375.73193720000029</v>
      </c>
      <c r="E12" s="8"/>
      <c r="F12" s="86" t="s">
        <v>215</v>
      </c>
      <c r="G12" s="59" t="s">
        <v>215</v>
      </c>
      <c r="H12" s="346">
        <v>262.71601399999997</v>
      </c>
      <c r="I12" s="8"/>
      <c r="J12" s="8"/>
      <c r="K12" s="8"/>
      <c r="L12" s="40"/>
      <c r="M12" s="59" t="s">
        <v>215</v>
      </c>
      <c r="N12" s="346">
        <v>292.37728120000043</v>
      </c>
      <c r="Q12" s="8"/>
      <c r="R12" s="40"/>
      <c r="S12" s="59" t="s">
        <v>215</v>
      </c>
      <c r="T12" s="346"/>
      <c r="W12" s="8"/>
      <c r="X12" s="40"/>
      <c r="Y12" s="59" t="s">
        <v>215</v>
      </c>
      <c r="Z12" s="346"/>
      <c r="AC12" s="8"/>
      <c r="AD12" s="40"/>
      <c r="AE12" s="59" t="s">
        <v>35</v>
      </c>
    </row>
    <row r="13" spans="1:31" s="44" customFormat="1" ht="15" x14ac:dyDescent="0.25">
      <c r="A13" s="59" t="s">
        <v>216</v>
      </c>
      <c r="B13" s="346">
        <v>0</v>
      </c>
      <c r="E13" s="8"/>
      <c r="F13" s="86" t="s">
        <v>216</v>
      </c>
      <c r="G13" s="59" t="s">
        <v>216</v>
      </c>
      <c r="H13" s="346">
        <v>0</v>
      </c>
      <c r="I13" s="8"/>
      <c r="J13" s="8"/>
      <c r="K13" s="8"/>
      <c r="L13" s="40"/>
      <c r="M13" s="59" t="s">
        <v>216</v>
      </c>
      <c r="N13" s="346">
        <v>0</v>
      </c>
      <c r="Q13" s="8"/>
      <c r="R13" s="40"/>
      <c r="S13" s="59" t="s">
        <v>216</v>
      </c>
      <c r="T13" s="346"/>
      <c r="W13" s="8"/>
      <c r="X13" s="40"/>
      <c r="Y13" s="59" t="s">
        <v>216</v>
      </c>
      <c r="Z13" s="346"/>
      <c r="AC13" s="8"/>
      <c r="AD13" s="40"/>
      <c r="AE13" s="59" t="s">
        <v>134</v>
      </c>
    </row>
    <row r="14" spans="1:31" s="44" customFormat="1" ht="15" x14ac:dyDescent="0.25">
      <c r="A14" s="59" t="s">
        <v>217</v>
      </c>
      <c r="B14" s="346">
        <v>0</v>
      </c>
      <c r="E14" s="8"/>
      <c r="F14" s="86" t="s">
        <v>217</v>
      </c>
      <c r="G14" s="59" t="s">
        <v>217</v>
      </c>
      <c r="H14" s="346">
        <v>2.44</v>
      </c>
      <c r="I14" s="8"/>
      <c r="J14" s="8"/>
      <c r="K14" s="8"/>
      <c r="L14" s="40"/>
      <c r="M14" s="59" t="s">
        <v>217</v>
      </c>
      <c r="N14" s="346">
        <v>0.61</v>
      </c>
      <c r="Q14" s="8"/>
      <c r="R14" s="40"/>
      <c r="S14" s="59" t="s">
        <v>217</v>
      </c>
      <c r="T14" s="346"/>
      <c r="W14" s="8"/>
      <c r="X14" s="40"/>
      <c r="Y14" s="59" t="s">
        <v>217</v>
      </c>
      <c r="Z14" s="346"/>
      <c r="AC14" s="8"/>
      <c r="AD14" s="40"/>
      <c r="AE14" s="59" t="s">
        <v>135</v>
      </c>
    </row>
    <row r="15" spans="1:31" s="44" customFormat="1" ht="15" x14ac:dyDescent="0.25">
      <c r="A15" s="59" t="s">
        <v>218</v>
      </c>
      <c r="B15" s="346">
        <v>0</v>
      </c>
      <c r="E15" s="8" t="e">
        <f t="shared" si="0"/>
        <v>#DIV/0!</v>
      </c>
      <c r="F15" s="86" t="s">
        <v>218</v>
      </c>
      <c r="G15" s="59" t="s">
        <v>218</v>
      </c>
      <c r="H15" s="346">
        <v>0</v>
      </c>
      <c r="I15" s="8"/>
      <c r="J15" s="8"/>
      <c r="K15" s="8" t="e">
        <f t="shared" si="1"/>
        <v>#DIV/0!</v>
      </c>
      <c r="L15" s="40"/>
      <c r="M15" s="59" t="s">
        <v>218</v>
      </c>
      <c r="N15" s="346">
        <v>0</v>
      </c>
      <c r="Q15" s="8" t="e">
        <f t="shared" si="2"/>
        <v>#DIV/0!</v>
      </c>
      <c r="R15" s="40"/>
      <c r="S15" s="59" t="s">
        <v>218</v>
      </c>
      <c r="T15" s="346"/>
      <c r="W15" s="8" t="e">
        <f>U15/T15</f>
        <v>#DIV/0!</v>
      </c>
      <c r="X15" s="40"/>
      <c r="Y15" s="59" t="s">
        <v>218</v>
      </c>
      <c r="Z15" s="346"/>
      <c r="AC15" s="8" t="e">
        <f>AA15/Z15</f>
        <v>#DIV/0!</v>
      </c>
      <c r="AD15" s="40"/>
      <c r="AE15" s="59" t="s">
        <v>136</v>
      </c>
    </row>
    <row r="16" spans="1:31" s="44" customFormat="1" ht="15" x14ac:dyDescent="0.25">
      <c r="A16" s="59" t="s">
        <v>219</v>
      </c>
      <c r="B16" s="346">
        <v>0</v>
      </c>
      <c r="E16" s="8" t="e">
        <f t="shared" si="0"/>
        <v>#DIV/0!</v>
      </c>
      <c r="F16" s="86" t="s">
        <v>219</v>
      </c>
      <c r="G16" s="59" t="s">
        <v>219</v>
      </c>
      <c r="H16" s="346">
        <v>0</v>
      </c>
      <c r="I16" s="8"/>
      <c r="J16" s="8"/>
      <c r="K16" s="8" t="e">
        <f t="shared" si="1"/>
        <v>#DIV/0!</v>
      </c>
      <c r="L16" s="40"/>
      <c r="M16" s="59" t="s">
        <v>219</v>
      </c>
      <c r="N16" s="346">
        <v>0.61</v>
      </c>
      <c r="Q16" s="8">
        <f t="shared" si="2"/>
        <v>0</v>
      </c>
      <c r="R16" s="40"/>
      <c r="S16" s="59" t="s">
        <v>219</v>
      </c>
      <c r="T16" s="346"/>
      <c r="W16" s="8" t="e">
        <f t="shared" si="3"/>
        <v>#DIV/0!</v>
      </c>
      <c r="X16" s="40"/>
      <c r="Y16" s="59" t="s">
        <v>219</v>
      </c>
      <c r="Z16" s="346"/>
      <c r="AC16" s="8" t="e">
        <f t="shared" si="4"/>
        <v>#DIV/0!</v>
      </c>
      <c r="AD16" s="40"/>
      <c r="AE16" s="59" t="s">
        <v>137</v>
      </c>
    </row>
    <row r="17" spans="1:31" s="44" customFormat="1" ht="15" x14ac:dyDescent="0.25">
      <c r="A17" s="59" t="s">
        <v>220</v>
      </c>
      <c r="B17" s="346">
        <v>180.03000000000034</v>
      </c>
      <c r="E17" s="8">
        <f t="shared" si="0"/>
        <v>0</v>
      </c>
      <c r="F17" s="86" t="s">
        <v>220</v>
      </c>
      <c r="G17" s="59" t="s">
        <v>220</v>
      </c>
      <c r="H17" s="346">
        <v>131.91000000000003</v>
      </c>
      <c r="I17" s="8"/>
      <c r="J17" s="8"/>
      <c r="K17" s="8">
        <f t="shared" si="1"/>
        <v>0</v>
      </c>
      <c r="L17" s="40"/>
      <c r="M17" s="59" t="s">
        <v>220</v>
      </c>
      <c r="N17" s="346">
        <v>189.3900000000003</v>
      </c>
      <c r="Q17" s="8">
        <f t="shared" si="2"/>
        <v>0</v>
      </c>
      <c r="R17" s="40"/>
      <c r="S17" s="59" t="s">
        <v>220</v>
      </c>
      <c r="T17" s="346"/>
      <c r="W17" s="8" t="e">
        <f t="shared" si="3"/>
        <v>#DIV/0!</v>
      </c>
      <c r="X17" s="40"/>
      <c r="Y17" s="59" t="s">
        <v>220</v>
      </c>
      <c r="Z17" s="346"/>
      <c r="AC17" s="8" t="e">
        <f t="shared" si="4"/>
        <v>#DIV/0!</v>
      </c>
      <c r="AD17" s="40"/>
      <c r="AE17" s="59" t="s">
        <v>138</v>
      </c>
    </row>
    <row r="18" spans="1:31" s="44" customFormat="1" ht="15" x14ac:dyDescent="0.25">
      <c r="A18" s="59" t="s">
        <v>221</v>
      </c>
      <c r="B18" s="346">
        <v>0</v>
      </c>
      <c r="E18" s="8"/>
      <c r="F18" s="86" t="s">
        <v>221</v>
      </c>
      <c r="G18" s="59" t="s">
        <v>221</v>
      </c>
      <c r="H18" s="346">
        <v>0</v>
      </c>
      <c r="I18" s="8"/>
      <c r="J18" s="8"/>
      <c r="K18" s="8"/>
      <c r="L18" s="40"/>
      <c r="M18" s="59" t="s">
        <v>221</v>
      </c>
      <c r="N18" s="346">
        <v>0</v>
      </c>
      <c r="Q18" s="8"/>
      <c r="R18" s="40"/>
      <c r="S18" s="59" t="s">
        <v>221</v>
      </c>
      <c r="T18" s="346"/>
      <c r="W18" s="8"/>
      <c r="X18" s="40"/>
      <c r="Y18" s="59" t="s">
        <v>221</v>
      </c>
      <c r="Z18" s="346"/>
      <c r="AC18" s="8"/>
      <c r="AD18" s="40"/>
      <c r="AE18" s="59" t="s">
        <v>139</v>
      </c>
    </row>
    <row r="19" spans="1:31" s="44" customFormat="1" ht="15" x14ac:dyDescent="0.25">
      <c r="A19" s="59" t="s">
        <v>222</v>
      </c>
      <c r="B19" s="346">
        <v>9.2285512000000001</v>
      </c>
      <c r="E19" s="8"/>
      <c r="F19" s="86" t="s">
        <v>222</v>
      </c>
      <c r="G19" s="59" t="s">
        <v>222</v>
      </c>
      <c r="H19" s="346">
        <v>3.3964315999999997</v>
      </c>
      <c r="I19" s="8"/>
      <c r="J19" s="8"/>
      <c r="K19" s="8"/>
      <c r="L19" s="40"/>
      <c r="M19" s="59" t="s">
        <v>222</v>
      </c>
      <c r="N19" s="346">
        <v>2.8822307999999999</v>
      </c>
      <c r="Q19" s="8"/>
      <c r="R19" s="40"/>
      <c r="S19" s="59" t="s">
        <v>222</v>
      </c>
      <c r="T19" s="346"/>
      <c r="W19" s="8"/>
      <c r="X19" s="40"/>
      <c r="Y19" s="59" t="s">
        <v>222</v>
      </c>
      <c r="Z19" s="346"/>
      <c r="AC19" s="8"/>
      <c r="AD19" s="40"/>
      <c r="AE19" s="59" t="s">
        <v>62</v>
      </c>
    </row>
    <row r="20" spans="1:31" s="44" customFormat="1" ht="15" x14ac:dyDescent="0.25">
      <c r="A20" s="59" t="s">
        <v>223</v>
      </c>
      <c r="B20" s="346">
        <v>0</v>
      </c>
      <c r="E20" s="8"/>
      <c r="F20" s="86" t="s">
        <v>223</v>
      </c>
      <c r="G20" s="59" t="s">
        <v>223</v>
      </c>
      <c r="H20" s="346">
        <v>0</v>
      </c>
      <c r="I20" s="8"/>
      <c r="J20" s="8"/>
      <c r="K20" s="8"/>
      <c r="L20" s="40"/>
      <c r="M20" s="59" t="s">
        <v>223</v>
      </c>
      <c r="N20" s="346">
        <v>0</v>
      </c>
      <c r="Q20" s="8"/>
      <c r="R20" s="40"/>
      <c r="S20" s="59" t="s">
        <v>223</v>
      </c>
      <c r="T20" s="346"/>
      <c r="W20" s="8"/>
      <c r="X20" s="40"/>
      <c r="Y20" s="59" t="s">
        <v>223</v>
      </c>
      <c r="Z20" s="346"/>
      <c r="AC20" s="8"/>
      <c r="AD20" s="40"/>
      <c r="AE20" s="59" t="s">
        <v>140</v>
      </c>
    </row>
    <row r="21" spans="1:31" s="44" customFormat="1" ht="15" x14ac:dyDescent="0.25">
      <c r="A21" s="59" t="s">
        <v>224</v>
      </c>
      <c r="B21" s="346">
        <v>0</v>
      </c>
      <c r="E21" s="8" t="e">
        <f t="shared" si="0"/>
        <v>#DIV/0!</v>
      </c>
      <c r="F21" s="86" t="s">
        <v>224</v>
      </c>
      <c r="G21" s="59" t="s">
        <v>224</v>
      </c>
      <c r="H21" s="346">
        <v>0.62</v>
      </c>
      <c r="I21" s="8"/>
      <c r="J21" s="8"/>
      <c r="K21" s="8">
        <f t="shared" si="1"/>
        <v>0</v>
      </c>
      <c r="L21" s="40"/>
      <c r="M21" s="59" t="s">
        <v>224</v>
      </c>
      <c r="N21" s="346">
        <v>0</v>
      </c>
      <c r="Q21" s="8" t="e">
        <f t="shared" si="2"/>
        <v>#DIV/0!</v>
      </c>
      <c r="R21" s="40"/>
      <c r="S21" s="59" t="s">
        <v>224</v>
      </c>
      <c r="T21" s="346"/>
      <c r="W21" s="8" t="e">
        <f t="shared" si="3"/>
        <v>#DIV/0!</v>
      </c>
      <c r="X21" s="40"/>
      <c r="Y21" s="59" t="s">
        <v>224</v>
      </c>
      <c r="Z21" s="346"/>
      <c r="AC21" s="8" t="e">
        <f t="shared" si="4"/>
        <v>#DIV/0!</v>
      </c>
      <c r="AD21" s="40"/>
      <c r="AE21" s="59" t="s">
        <v>141</v>
      </c>
    </row>
    <row r="22" spans="1:31" s="44" customFormat="1" ht="15" x14ac:dyDescent="0.25">
      <c r="A22" s="59" t="s">
        <v>225</v>
      </c>
      <c r="B22" s="346">
        <v>2372.7398143999931</v>
      </c>
      <c r="E22" s="8">
        <f t="shared" si="0"/>
        <v>0</v>
      </c>
      <c r="F22" s="86" t="s">
        <v>225</v>
      </c>
      <c r="G22" s="59" t="s">
        <v>225</v>
      </c>
      <c r="H22" s="346">
        <v>2682.6686783999762</v>
      </c>
      <c r="I22" s="8"/>
      <c r="J22" s="8"/>
      <c r="K22" s="8">
        <f t="shared" si="1"/>
        <v>0</v>
      </c>
      <c r="L22" s="40"/>
      <c r="M22" s="59" t="s">
        <v>225</v>
      </c>
      <c r="N22" s="346">
        <v>2495.8876287999901</v>
      </c>
      <c r="Q22" s="8">
        <f t="shared" si="2"/>
        <v>0</v>
      </c>
      <c r="R22" s="40"/>
      <c r="S22" s="59" t="s">
        <v>225</v>
      </c>
      <c r="T22" s="346"/>
      <c r="W22" s="8" t="e">
        <f t="shared" si="3"/>
        <v>#DIV/0!</v>
      </c>
      <c r="X22" s="40"/>
      <c r="Y22" s="59" t="s">
        <v>225</v>
      </c>
      <c r="Z22" s="346"/>
      <c r="AC22" s="8" t="e">
        <f t="shared" si="4"/>
        <v>#DIV/0!</v>
      </c>
      <c r="AD22" s="40"/>
      <c r="AE22" s="59" t="s">
        <v>36</v>
      </c>
    </row>
    <row r="23" spans="1:31" s="44" customFormat="1" ht="15" x14ac:dyDescent="0.25">
      <c r="A23" s="59" t="s">
        <v>226</v>
      </c>
      <c r="B23" s="346"/>
      <c r="E23" s="8" t="e">
        <f t="shared" si="0"/>
        <v>#DIV/0!</v>
      </c>
      <c r="F23" s="86" t="s">
        <v>226</v>
      </c>
      <c r="G23" s="59" t="s">
        <v>226</v>
      </c>
      <c r="H23" s="346"/>
      <c r="I23" s="8"/>
      <c r="J23" s="8"/>
      <c r="K23" s="8" t="e">
        <f t="shared" si="1"/>
        <v>#DIV/0!</v>
      </c>
      <c r="L23" s="40"/>
      <c r="M23" s="59" t="s">
        <v>226</v>
      </c>
      <c r="N23" s="346">
        <v>0</v>
      </c>
      <c r="Q23" s="8" t="e">
        <f t="shared" si="2"/>
        <v>#DIV/0!</v>
      </c>
      <c r="R23" s="40"/>
      <c r="S23" s="59" t="s">
        <v>226</v>
      </c>
      <c r="T23" s="346"/>
      <c r="W23" s="8" t="e">
        <f t="shared" si="3"/>
        <v>#DIV/0!</v>
      </c>
      <c r="X23" s="40"/>
      <c r="Y23" s="59" t="s">
        <v>226</v>
      </c>
      <c r="Z23" s="346"/>
      <c r="AC23" s="8" t="e">
        <f t="shared" si="4"/>
        <v>#DIV/0!</v>
      </c>
      <c r="AD23" s="40"/>
      <c r="AE23" s="59" t="s">
        <v>142</v>
      </c>
    </row>
    <row r="24" spans="1:31" s="44" customFormat="1" ht="15" x14ac:dyDescent="0.25">
      <c r="A24" s="59" t="s">
        <v>227</v>
      </c>
      <c r="B24" s="346">
        <v>0</v>
      </c>
      <c r="E24" s="8" t="e">
        <f t="shared" si="0"/>
        <v>#DIV/0!</v>
      </c>
      <c r="F24" s="86" t="s">
        <v>227</v>
      </c>
      <c r="G24" s="59" t="s">
        <v>227</v>
      </c>
      <c r="H24" s="346">
        <v>0</v>
      </c>
      <c r="I24" s="8"/>
      <c r="J24" s="8"/>
      <c r="K24" s="8" t="e">
        <f t="shared" si="1"/>
        <v>#DIV/0!</v>
      </c>
      <c r="L24" s="40"/>
      <c r="M24" s="59" t="s">
        <v>227</v>
      </c>
      <c r="N24" s="346">
        <v>0</v>
      </c>
      <c r="Q24" s="8" t="e">
        <f t="shared" si="2"/>
        <v>#DIV/0!</v>
      </c>
      <c r="R24" s="40"/>
      <c r="S24" s="59" t="s">
        <v>227</v>
      </c>
      <c r="T24" s="346"/>
      <c r="W24" s="8" t="e">
        <f t="shared" si="3"/>
        <v>#DIV/0!</v>
      </c>
      <c r="X24" s="40"/>
      <c r="Y24" s="59" t="s">
        <v>227</v>
      </c>
      <c r="Z24" s="346"/>
      <c r="AC24" s="8" t="e">
        <f t="shared" si="4"/>
        <v>#DIV/0!</v>
      </c>
      <c r="AD24" s="40"/>
      <c r="AE24" s="59" t="s">
        <v>143</v>
      </c>
    </row>
    <row r="25" spans="1:31" s="44" customFormat="1" ht="15" x14ac:dyDescent="0.25">
      <c r="A25" s="59" t="s">
        <v>228</v>
      </c>
      <c r="B25" s="346">
        <v>43.919999999999995</v>
      </c>
      <c r="E25" s="8">
        <f t="shared" si="0"/>
        <v>0</v>
      </c>
      <c r="F25" s="86" t="s">
        <v>228</v>
      </c>
      <c r="G25" s="59" t="s">
        <v>228</v>
      </c>
      <c r="H25" s="346">
        <v>30.159999999999989</v>
      </c>
      <c r="I25" s="8"/>
      <c r="J25" s="8"/>
      <c r="K25" s="8">
        <f t="shared" si="1"/>
        <v>0</v>
      </c>
      <c r="L25" s="40"/>
      <c r="M25" s="59" t="s">
        <v>228</v>
      </c>
      <c r="N25" s="346">
        <v>67.549999999999983</v>
      </c>
      <c r="Q25" s="8">
        <f t="shared" si="2"/>
        <v>0</v>
      </c>
      <c r="R25" s="40"/>
      <c r="S25" s="59" t="s">
        <v>228</v>
      </c>
      <c r="T25" s="346"/>
      <c r="W25" s="8" t="e">
        <f t="shared" si="3"/>
        <v>#DIV/0!</v>
      </c>
      <c r="X25" s="40"/>
      <c r="Y25" s="59" t="s">
        <v>228</v>
      </c>
      <c r="Z25" s="346"/>
      <c r="AC25" s="8" t="e">
        <f t="shared" si="4"/>
        <v>#DIV/0!</v>
      </c>
      <c r="AD25" s="40"/>
      <c r="AE25" s="59" t="s">
        <v>144</v>
      </c>
    </row>
    <row r="26" spans="1:31" s="44" customFormat="1" ht="15" x14ac:dyDescent="0.25">
      <c r="A26" s="59" t="s">
        <v>229</v>
      </c>
      <c r="B26" s="346">
        <v>10.979999999999999</v>
      </c>
      <c r="E26" s="8"/>
      <c r="F26" s="86" t="s">
        <v>229</v>
      </c>
      <c r="G26" s="59" t="s">
        <v>229</v>
      </c>
      <c r="H26" s="346">
        <v>26.229999999999997</v>
      </c>
      <c r="I26" s="8"/>
      <c r="J26" s="8"/>
      <c r="K26" s="8"/>
      <c r="L26" s="40"/>
      <c r="M26" s="59" t="s">
        <v>229</v>
      </c>
      <c r="N26" s="346">
        <v>6.21</v>
      </c>
      <c r="Q26" s="8"/>
      <c r="R26" s="40"/>
      <c r="S26" s="59" t="s">
        <v>229</v>
      </c>
      <c r="T26" s="346"/>
      <c r="W26" s="8"/>
      <c r="X26" s="40"/>
      <c r="Y26" s="59" t="s">
        <v>229</v>
      </c>
      <c r="Z26" s="346"/>
      <c r="AC26" s="8"/>
      <c r="AD26" s="40"/>
      <c r="AE26" s="59" t="s">
        <v>145</v>
      </c>
    </row>
    <row r="27" spans="1:31" s="44" customFormat="1" ht="15" x14ac:dyDescent="0.25">
      <c r="A27" s="59" t="s">
        <v>230</v>
      </c>
      <c r="B27" s="346">
        <v>16.469999999999995</v>
      </c>
      <c r="E27" s="8"/>
      <c r="F27" s="86" t="s">
        <v>230</v>
      </c>
      <c r="G27" s="59" t="s">
        <v>230</v>
      </c>
      <c r="H27" s="346">
        <v>9.33</v>
      </c>
      <c r="I27" s="8"/>
      <c r="J27" s="8"/>
      <c r="K27" s="8"/>
      <c r="L27" s="40"/>
      <c r="M27" s="59" t="s">
        <v>230</v>
      </c>
      <c r="N27" s="346">
        <v>6.7100000000000009</v>
      </c>
      <c r="Q27" s="8"/>
      <c r="R27" s="40"/>
      <c r="S27" s="59" t="s">
        <v>230</v>
      </c>
      <c r="T27" s="346"/>
      <c r="W27" s="8"/>
      <c r="X27" s="40"/>
      <c r="Y27" s="59" t="s">
        <v>230</v>
      </c>
      <c r="Z27" s="346"/>
      <c r="AC27" s="8"/>
      <c r="AD27" s="40"/>
      <c r="AE27" s="59" t="s">
        <v>146</v>
      </c>
    </row>
    <row r="28" spans="1:31" s="44" customFormat="1" ht="15" x14ac:dyDescent="0.25">
      <c r="A28" s="88" t="s">
        <v>231</v>
      </c>
      <c r="B28" s="346">
        <v>1.9214871999999998</v>
      </c>
      <c r="E28" s="8"/>
      <c r="F28" s="86" t="s">
        <v>231</v>
      </c>
      <c r="G28" s="88" t="s">
        <v>231</v>
      </c>
      <c r="H28" s="346">
        <v>2.2056507999999999</v>
      </c>
      <c r="I28" s="8"/>
      <c r="J28" s="8"/>
      <c r="K28" s="8"/>
      <c r="L28" s="40"/>
      <c r="M28" s="88" t="s">
        <v>231</v>
      </c>
      <c r="N28" s="346">
        <v>0</v>
      </c>
      <c r="Q28" s="8"/>
      <c r="R28" s="40"/>
      <c r="S28" s="88" t="s">
        <v>231</v>
      </c>
      <c r="T28" s="346"/>
      <c r="W28" s="8"/>
      <c r="X28" s="40"/>
      <c r="Y28" s="88" t="s">
        <v>231</v>
      </c>
      <c r="Z28" s="346"/>
      <c r="AC28" s="8"/>
      <c r="AD28" s="40"/>
      <c r="AE28" s="88" t="s">
        <v>61</v>
      </c>
    </row>
    <row r="29" spans="1:31" s="44" customFormat="1" ht="15" x14ac:dyDescent="0.25">
      <c r="A29" s="59" t="s">
        <v>232</v>
      </c>
      <c r="B29" s="346">
        <v>8.2678075999999994</v>
      </c>
      <c r="E29" s="8">
        <f t="shared" si="0"/>
        <v>0</v>
      </c>
      <c r="F29" s="86" t="s">
        <v>232</v>
      </c>
      <c r="G29" s="59" t="s">
        <v>232</v>
      </c>
      <c r="H29" s="346">
        <v>21.718218000000004</v>
      </c>
      <c r="I29" s="8"/>
      <c r="J29" s="8"/>
      <c r="K29" s="8">
        <f t="shared" si="1"/>
        <v>0</v>
      </c>
      <c r="L29" s="40"/>
      <c r="M29" s="59" t="s">
        <v>232</v>
      </c>
      <c r="N29" s="346">
        <v>65.777107600000008</v>
      </c>
      <c r="Q29" s="8">
        <f t="shared" si="2"/>
        <v>0</v>
      </c>
      <c r="R29" s="40"/>
      <c r="S29" s="59" t="s">
        <v>232</v>
      </c>
      <c r="T29" s="346"/>
      <c r="W29" s="8" t="e">
        <f t="shared" si="3"/>
        <v>#DIV/0!</v>
      </c>
      <c r="X29" s="40"/>
      <c r="Y29" s="59" t="s">
        <v>232</v>
      </c>
      <c r="Z29" s="346"/>
      <c r="AC29" s="8" t="e">
        <f t="shared" si="4"/>
        <v>#DIV/0!</v>
      </c>
      <c r="AD29" s="40"/>
      <c r="AE29" s="59" t="s">
        <v>60</v>
      </c>
    </row>
    <row r="30" spans="1:31" s="44" customFormat="1" ht="15" x14ac:dyDescent="0.25">
      <c r="A30" s="59" t="s">
        <v>233</v>
      </c>
      <c r="B30" s="346">
        <v>130.39049759999995</v>
      </c>
      <c r="E30" s="8">
        <f t="shared" si="0"/>
        <v>0</v>
      </c>
      <c r="F30" s="86" t="s">
        <v>233</v>
      </c>
      <c r="G30" s="59" t="s">
        <v>233</v>
      </c>
      <c r="H30" s="346">
        <v>118.55034759999995</v>
      </c>
      <c r="I30" s="8"/>
      <c r="J30" s="8"/>
      <c r="K30" s="8">
        <f t="shared" si="1"/>
        <v>0</v>
      </c>
      <c r="L30" s="40"/>
      <c r="M30" s="59" t="s">
        <v>233</v>
      </c>
      <c r="N30" s="346">
        <v>115.81696439999996</v>
      </c>
      <c r="Q30" s="8">
        <f t="shared" si="2"/>
        <v>0</v>
      </c>
      <c r="R30" s="40"/>
      <c r="S30" s="59" t="s">
        <v>233</v>
      </c>
      <c r="T30" s="346"/>
      <c r="W30" s="8" t="e">
        <f t="shared" si="3"/>
        <v>#DIV/0!</v>
      </c>
      <c r="X30" s="40"/>
      <c r="Y30" s="59" t="s">
        <v>233</v>
      </c>
      <c r="Z30" s="346"/>
      <c r="AC30" s="8" t="e">
        <f t="shared" si="4"/>
        <v>#DIV/0!</v>
      </c>
      <c r="AD30" s="40"/>
      <c r="AE30" s="59" t="s">
        <v>37</v>
      </c>
    </row>
    <row r="31" spans="1:31" s="44" customFormat="1" ht="15" x14ac:dyDescent="0.25">
      <c r="A31" s="59" t="s">
        <v>234</v>
      </c>
      <c r="B31" s="346"/>
      <c r="E31" s="8" t="e">
        <f t="shared" si="0"/>
        <v>#DIV/0!</v>
      </c>
      <c r="F31" s="86" t="s">
        <v>234</v>
      </c>
      <c r="G31" s="59" t="s">
        <v>234</v>
      </c>
      <c r="H31" s="346"/>
      <c r="I31" s="8"/>
      <c r="J31" s="8"/>
      <c r="K31" s="8" t="e">
        <f t="shared" si="1"/>
        <v>#DIV/0!</v>
      </c>
      <c r="L31" s="40"/>
      <c r="M31" s="59" t="s">
        <v>234</v>
      </c>
      <c r="N31" s="346">
        <v>0</v>
      </c>
      <c r="Q31" s="8" t="e">
        <f t="shared" si="2"/>
        <v>#DIV/0!</v>
      </c>
      <c r="R31" s="40"/>
      <c r="S31" s="59" t="s">
        <v>234</v>
      </c>
      <c r="T31" s="346"/>
      <c r="W31" s="8" t="e">
        <f t="shared" si="3"/>
        <v>#DIV/0!</v>
      </c>
      <c r="X31" s="40"/>
      <c r="Y31" s="59" t="s">
        <v>234</v>
      </c>
      <c r="Z31" s="346"/>
      <c r="AC31" s="8" t="e">
        <f t="shared" si="4"/>
        <v>#DIV/0!</v>
      </c>
      <c r="AD31" s="40"/>
      <c r="AE31" s="59" t="s">
        <v>147</v>
      </c>
    </row>
    <row r="32" spans="1:31" s="44" customFormat="1" ht="15" x14ac:dyDescent="0.25">
      <c r="A32" s="59" t="s">
        <v>235</v>
      </c>
      <c r="B32" s="346">
        <v>6.1</v>
      </c>
      <c r="E32" s="8">
        <f t="shared" si="0"/>
        <v>0</v>
      </c>
      <c r="F32" s="86" t="s">
        <v>235</v>
      </c>
      <c r="G32" s="59" t="s">
        <v>235</v>
      </c>
      <c r="H32" s="346">
        <v>0</v>
      </c>
      <c r="I32" s="8"/>
      <c r="J32" s="8"/>
      <c r="K32" s="8" t="e">
        <f t="shared" si="1"/>
        <v>#DIV/0!</v>
      </c>
      <c r="L32" s="40"/>
      <c r="M32" s="59" t="s">
        <v>235</v>
      </c>
      <c r="N32" s="346">
        <v>1.22</v>
      </c>
      <c r="Q32" s="8">
        <f t="shared" si="2"/>
        <v>0</v>
      </c>
      <c r="R32" s="40"/>
      <c r="S32" s="59" t="s">
        <v>235</v>
      </c>
      <c r="T32" s="346"/>
      <c r="W32" s="8" t="e">
        <f t="shared" si="3"/>
        <v>#DIV/0!</v>
      </c>
      <c r="X32" s="40"/>
      <c r="Y32" s="59" t="s">
        <v>235</v>
      </c>
      <c r="Z32" s="346"/>
      <c r="AC32" s="8" t="e">
        <f t="shared" si="4"/>
        <v>#DIV/0!</v>
      </c>
      <c r="AD32" s="40"/>
      <c r="AE32" s="59" t="s">
        <v>148</v>
      </c>
    </row>
    <row r="33" spans="1:31" s="44" customFormat="1" ht="15" x14ac:dyDescent="0.25">
      <c r="A33" s="88" t="s">
        <v>236</v>
      </c>
      <c r="B33" s="346">
        <v>4.2699999999999996</v>
      </c>
      <c r="E33" s="8"/>
      <c r="F33" s="86" t="s">
        <v>236</v>
      </c>
      <c r="G33" s="88" t="s">
        <v>236</v>
      </c>
      <c r="H33" s="346">
        <v>1.83</v>
      </c>
      <c r="I33" s="8"/>
      <c r="J33" s="8"/>
      <c r="K33" s="8"/>
      <c r="L33" s="40"/>
      <c r="M33" s="88" t="s">
        <v>236</v>
      </c>
      <c r="N33" s="346">
        <v>2.44</v>
      </c>
      <c r="Q33" s="8"/>
      <c r="R33" s="40"/>
      <c r="S33" s="88" t="s">
        <v>236</v>
      </c>
      <c r="T33" s="346"/>
      <c r="W33" s="8"/>
      <c r="X33" s="40"/>
      <c r="Y33" s="88" t="s">
        <v>236</v>
      </c>
      <c r="Z33" s="346"/>
      <c r="AC33" s="8"/>
      <c r="AD33" s="40"/>
      <c r="AE33" s="88" t="s">
        <v>149</v>
      </c>
    </row>
    <row r="34" spans="1:31" s="44" customFormat="1" ht="15" x14ac:dyDescent="0.25">
      <c r="A34" s="59" t="s">
        <v>237</v>
      </c>
      <c r="B34" s="346">
        <v>0</v>
      </c>
      <c r="E34" s="8" t="e">
        <f t="shared" si="0"/>
        <v>#DIV/0!</v>
      </c>
      <c r="F34" s="86" t="s">
        <v>237</v>
      </c>
      <c r="G34" s="59" t="s">
        <v>237</v>
      </c>
      <c r="H34" s="346">
        <v>2.44</v>
      </c>
      <c r="I34" s="8"/>
      <c r="J34" s="8"/>
      <c r="K34" s="8">
        <f t="shared" si="1"/>
        <v>0</v>
      </c>
      <c r="L34" s="40"/>
      <c r="M34" s="59" t="s">
        <v>237</v>
      </c>
      <c r="N34" s="346">
        <v>0.61</v>
      </c>
      <c r="Q34" s="8">
        <f t="shared" si="2"/>
        <v>0</v>
      </c>
      <c r="R34" s="40"/>
      <c r="S34" s="59" t="s">
        <v>237</v>
      </c>
      <c r="T34" s="346"/>
      <c r="W34" s="8" t="e">
        <f t="shared" si="3"/>
        <v>#DIV/0!</v>
      </c>
      <c r="X34" s="40"/>
      <c r="Y34" s="59" t="s">
        <v>237</v>
      </c>
      <c r="Z34" s="346"/>
      <c r="AC34" s="8" t="e">
        <f t="shared" si="4"/>
        <v>#DIV/0!</v>
      </c>
      <c r="AD34" s="40"/>
      <c r="AE34" s="59" t="s">
        <v>150</v>
      </c>
    </row>
    <row r="35" spans="1:31" s="44" customFormat="1" ht="15" x14ac:dyDescent="0.25">
      <c r="A35" s="59" t="s">
        <v>238</v>
      </c>
      <c r="B35" s="346">
        <v>0</v>
      </c>
      <c r="E35" s="8" t="e">
        <f t="shared" si="0"/>
        <v>#DIV/0!</v>
      </c>
      <c r="F35" s="86" t="s">
        <v>238</v>
      </c>
      <c r="G35" s="59" t="s">
        <v>238</v>
      </c>
      <c r="H35" s="346">
        <v>0.96074359999999992</v>
      </c>
      <c r="I35" s="8"/>
      <c r="J35" s="8"/>
      <c r="K35" s="8">
        <f t="shared" si="1"/>
        <v>0</v>
      </c>
      <c r="L35" s="40"/>
      <c r="M35" s="59" t="s">
        <v>238</v>
      </c>
      <c r="N35" s="346">
        <v>1.2449071999999999</v>
      </c>
      <c r="Q35" s="8">
        <f t="shared" si="2"/>
        <v>0</v>
      </c>
      <c r="R35" s="40"/>
      <c r="S35" s="59" t="s">
        <v>238</v>
      </c>
      <c r="T35" s="346"/>
      <c r="W35" s="8" t="e">
        <f t="shared" si="3"/>
        <v>#DIV/0!</v>
      </c>
      <c r="X35" s="40"/>
      <c r="Y35" s="59" t="s">
        <v>238</v>
      </c>
      <c r="Z35" s="346"/>
      <c r="AC35" s="8" t="e">
        <f t="shared" si="4"/>
        <v>#DIV/0!</v>
      </c>
      <c r="AD35" s="40"/>
      <c r="AE35" s="59" t="s">
        <v>59</v>
      </c>
    </row>
    <row r="36" spans="1:31" s="44" customFormat="1" ht="15.75" customHeight="1" x14ac:dyDescent="0.25">
      <c r="A36" s="59" t="s">
        <v>239</v>
      </c>
      <c r="B36" s="346">
        <v>0</v>
      </c>
      <c r="E36" s="8" t="e">
        <f t="shared" si="0"/>
        <v>#DIV/0!</v>
      </c>
      <c r="F36" s="86" t="s">
        <v>239</v>
      </c>
      <c r="G36" s="59" t="s">
        <v>239</v>
      </c>
      <c r="H36" s="346">
        <v>0</v>
      </c>
      <c r="I36" s="8"/>
      <c r="J36" s="8"/>
      <c r="K36" s="8" t="e">
        <f t="shared" si="1"/>
        <v>#DIV/0!</v>
      </c>
      <c r="L36" s="40"/>
      <c r="M36" s="59" t="s">
        <v>239</v>
      </c>
      <c r="N36" s="346">
        <v>0</v>
      </c>
      <c r="Q36" s="8" t="e">
        <f t="shared" si="2"/>
        <v>#DIV/0!</v>
      </c>
      <c r="R36" s="40"/>
      <c r="S36" s="59" t="s">
        <v>239</v>
      </c>
      <c r="T36" s="346"/>
      <c r="W36" s="8" t="e">
        <f t="shared" si="3"/>
        <v>#DIV/0!</v>
      </c>
      <c r="X36" s="40"/>
      <c r="Y36" s="59" t="s">
        <v>239</v>
      </c>
      <c r="Z36" s="346"/>
      <c r="AC36" s="8" t="e">
        <f t="shared" si="4"/>
        <v>#DIV/0!</v>
      </c>
      <c r="AD36" s="40"/>
      <c r="AE36" s="59" t="s">
        <v>151</v>
      </c>
    </row>
    <row r="37" spans="1:31" s="44" customFormat="1" ht="15" x14ac:dyDescent="0.25">
      <c r="A37" s="59" t="s">
        <v>240</v>
      </c>
      <c r="B37" s="346">
        <v>35.588108000000005</v>
      </c>
      <c r="E37" s="8"/>
      <c r="F37" s="86" t="s">
        <v>240</v>
      </c>
      <c r="G37" s="59" t="s">
        <v>240</v>
      </c>
      <c r="H37" s="346">
        <v>29.553014400000013</v>
      </c>
      <c r="I37" s="8"/>
      <c r="J37" s="8"/>
      <c r="K37" s="8"/>
      <c r="L37" s="40"/>
      <c r="M37" s="59" t="s">
        <v>240</v>
      </c>
      <c r="N37" s="346">
        <v>86.696961200000018</v>
      </c>
      <c r="Q37" s="8"/>
      <c r="R37" s="40"/>
      <c r="S37" s="59" t="s">
        <v>240</v>
      </c>
      <c r="T37" s="346"/>
      <c r="W37" s="8"/>
      <c r="X37" s="40"/>
      <c r="Y37" s="59" t="s">
        <v>240</v>
      </c>
      <c r="Z37" s="346"/>
      <c r="AC37" s="8"/>
      <c r="AD37" s="40"/>
      <c r="AE37" s="59" t="s">
        <v>38</v>
      </c>
    </row>
    <row r="38" spans="1:31" s="44" customFormat="1" ht="15" x14ac:dyDescent="0.25">
      <c r="A38" s="88" t="s">
        <v>241</v>
      </c>
      <c r="B38" s="346">
        <v>637.18951239999728</v>
      </c>
      <c r="E38" s="8"/>
      <c r="F38" s="86" t="s">
        <v>241</v>
      </c>
      <c r="G38" s="88" t="s">
        <v>241</v>
      </c>
      <c r="H38" s="346">
        <v>512.45522359999813</v>
      </c>
      <c r="I38" s="8"/>
      <c r="J38" s="8"/>
      <c r="K38" s="8"/>
      <c r="L38" s="40"/>
      <c r="M38" s="88" t="s">
        <v>241</v>
      </c>
      <c r="N38" s="346">
        <v>562.305637999998</v>
      </c>
      <c r="Q38" s="8"/>
      <c r="R38" s="40"/>
      <c r="S38" s="88" t="s">
        <v>241</v>
      </c>
      <c r="T38" s="346"/>
      <c r="W38" s="8"/>
      <c r="X38" s="40"/>
      <c r="Y38" s="88" t="s">
        <v>241</v>
      </c>
      <c r="Z38" s="346"/>
      <c r="AC38" s="8"/>
      <c r="AD38" s="40"/>
      <c r="AE38" s="88" t="s">
        <v>39</v>
      </c>
    </row>
    <row r="39" spans="1:31" s="44" customFormat="1" ht="15" x14ac:dyDescent="0.25">
      <c r="A39" s="59" t="s">
        <v>242</v>
      </c>
      <c r="B39" s="346"/>
      <c r="E39" s="8" t="e">
        <f t="shared" si="0"/>
        <v>#DIV/0!</v>
      </c>
      <c r="F39" s="86" t="s">
        <v>242</v>
      </c>
      <c r="G39" s="59" t="s">
        <v>242</v>
      </c>
      <c r="H39" s="346"/>
      <c r="I39" s="8"/>
      <c r="J39" s="8"/>
      <c r="K39" s="8" t="e">
        <f t="shared" si="1"/>
        <v>#DIV/0!</v>
      </c>
      <c r="L39" s="40"/>
      <c r="M39" s="59" t="s">
        <v>242</v>
      </c>
      <c r="N39" s="346">
        <v>0</v>
      </c>
      <c r="Q39" s="8" t="e">
        <f t="shared" si="2"/>
        <v>#DIV/0!</v>
      </c>
      <c r="R39" s="40"/>
      <c r="S39" s="59" t="s">
        <v>242</v>
      </c>
      <c r="T39" s="346"/>
      <c r="W39" s="8" t="e">
        <f t="shared" si="3"/>
        <v>#DIV/0!</v>
      </c>
      <c r="X39" s="40"/>
      <c r="Y39" s="59" t="s">
        <v>242</v>
      </c>
      <c r="Z39" s="346"/>
      <c r="AC39" s="8" t="e">
        <f t="shared" si="4"/>
        <v>#DIV/0!</v>
      </c>
      <c r="AD39" s="40"/>
      <c r="AE39" s="59" t="s">
        <v>152</v>
      </c>
    </row>
    <row r="40" spans="1:31" s="44" customFormat="1" ht="15" x14ac:dyDescent="0.25">
      <c r="A40" s="88" t="s">
        <v>243</v>
      </c>
      <c r="B40" s="346">
        <v>1334.0804440000056</v>
      </c>
      <c r="E40" s="8">
        <f t="shared" si="0"/>
        <v>0</v>
      </c>
      <c r="F40" s="86" t="s">
        <v>243</v>
      </c>
      <c r="G40" s="88" t="s">
        <v>243</v>
      </c>
      <c r="H40" s="346">
        <v>1383.8496688000073</v>
      </c>
      <c r="I40" s="8"/>
      <c r="J40" s="8"/>
      <c r="K40" s="8">
        <f t="shared" si="1"/>
        <v>0</v>
      </c>
      <c r="L40" s="40"/>
      <c r="M40" s="88" t="s">
        <v>243</v>
      </c>
      <c r="N40" s="346">
        <v>1193.7171572000047</v>
      </c>
      <c r="Q40" s="8">
        <f t="shared" si="2"/>
        <v>0</v>
      </c>
      <c r="R40" s="40"/>
      <c r="S40" s="88" t="s">
        <v>243</v>
      </c>
      <c r="T40" s="346"/>
      <c r="W40" s="8" t="e">
        <f t="shared" si="3"/>
        <v>#DIV/0!</v>
      </c>
      <c r="X40" s="40"/>
      <c r="Y40" s="88" t="s">
        <v>243</v>
      </c>
      <c r="Z40" s="346"/>
      <c r="AC40" s="8" t="e">
        <f t="shared" si="4"/>
        <v>#DIV/0!</v>
      </c>
      <c r="AD40" s="40"/>
      <c r="AE40" s="88" t="s">
        <v>40</v>
      </c>
    </row>
    <row r="41" spans="1:31" s="44" customFormat="1" ht="13.5" customHeight="1" x14ac:dyDescent="0.25">
      <c r="A41" s="59" t="s">
        <v>244</v>
      </c>
      <c r="B41" s="346">
        <v>0</v>
      </c>
      <c r="E41" s="8" t="e">
        <f t="shared" si="0"/>
        <v>#DIV/0!</v>
      </c>
      <c r="F41" s="86" t="s">
        <v>244</v>
      </c>
      <c r="G41" s="59" t="s">
        <v>244</v>
      </c>
      <c r="H41" s="346">
        <v>0</v>
      </c>
      <c r="I41" s="8"/>
      <c r="J41" s="8"/>
      <c r="K41" s="8" t="e">
        <f t="shared" si="1"/>
        <v>#DIV/0!</v>
      </c>
      <c r="L41" s="40"/>
      <c r="M41" s="59" t="s">
        <v>244</v>
      </c>
      <c r="N41" s="346">
        <v>0</v>
      </c>
      <c r="Q41" s="8" t="e">
        <f t="shared" si="2"/>
        <v>#DIV/0!</v>
      </c>
      <c r="R41" s="40"/>
      <c r="S41" s="59" t="s">
        <v>244</v>
      </c>
      <c r="T41" s="346"/>
      <c r="W41" s="8" t="e">
        <f t="shared" si="3"/>
        <v>#DIV/0!</v>
      </c>
      <c r="X41" s="40"/>
      <c r="Y41" s="59" t="s">
        <v>244</v>
      </c>
      <c r="Z41" s="346"/>
      <c r="AC41" s="8" t="e">
        <f t="shared" si="4"/>
        <v>#DIV/0!</v>
      </c>
      <c r="AD41" s="40"/>
      <c r="AE41" s="59" t="s">
        <v>153</v>
      </c>
    </row>
    <row r="42" spans="1:31" s="44" customFormat="1" ht="15" x14ac:dyDescent="0.25">
      <c r="A42" s="59" t="s">
        <v>245</v>
      </c>
      <c r="B42" s="346">
        <v>43.571752000000004</v>
      </c>
      <c r="E42" s="8">
        <f t="shared" si="0"/>
        <v>0</v>
      </c>
      <c r="F42" s="86" t="s">
        <v>245</v>
      </c>
      <c r="G42" s="59" t="s">
        <v>245</v>
      </c>
      <c r="H42" s="346">
        <v>8.6466923999999992</v>
      </c>
      <c r="I42" s="8"/>
      <c r="J42" s="8"/>
      <c r="K42" s="8">
        <f t="shared" si="1"/>
        <v>0</v>
      </c>
      <c r="L42" s="40"/>
      <c r="M42" s="59" t="s">
        <v>245</v>
      </c>
      <c r="N42" s="346">
        <v>29.011750400000004</v>
      </c>
      <c r="Q42" s="8">
        <f t="shared" si="2"/>
        <v>0</v>
      </c>
      <c r="R42" s="40"/>
      <c r="S42" s="59" t="s">
        <v>245</v>
      </c>
      <c r="T42" s="346"/>
      <c r="W42" s="8" t="e">
        <f t="shared" si="3"/>
        <v>#DIV/0!</v>
      </c>
      <c r="X42" s="40"/>
      <c r="Y42" s="59" t="s">
        <v>245</v>
      </c>
      <c r="Z42" s="346"/>
      <c r="AC42" s="8" t="e">
        <f t="shared" si="4"/>
        <v>#DIV/0!</v>
      </c>
      <c r="AD42" s="40"/>
      <c r="AE42" s="59" t="s">
        <v>41</v>
      </c>
    </row>
    <row r="43" spans="1:31" s="44" customFormat="1" ht="15" x14ac:dyDescent="0.25">
      <c r="A43" s="59" t="s">
        <v>246</v>
      </c>
      <c r="B43" s="346"/>
      <c r="E43" s="8"/>
      <c r="F43" s="86" t="s">
        <v>246</v>
      </c>
      <c r="G43" s="59" t="s">
        <v>246</v>
      </c>
      <c r="H43" s="346"/>
      <c r="I43" s="8"/>
      <c r="J43" s="8"/>
      <c r="K43" s="8"/>
      <c r="L43" s="40"/>
      <c r="M43" s="59" t="s">
        <v>246</v>
      </c>
      <c r="N43" s="346">
        <v>0</v>
      </c>
      <c r="Q43" s="8"/>
      <c r="R43" s="40"/>
      <c r="S43" s="59" t="s">
        <v>246</v>
      </c>
      <c r="T43" s="346"/>
      <c r="W43" s="8"/>
      <c r="X43" s="40"/>
      <c r="Y43" s="59" t="s">
        <v>246</v>
      </c>
      <c r="Z43" s="346"/>
      <c r="AC43" s="8"/>
      <c r="AD43" s="40"/>
      <c r="AE43" s="59" t="s">
        <v>154</v>
      </c>
    </row>
    <row r="44" spans="1:31" s="44" customFormat="1" ht="15" x14ac:dyDescent="0.25">
      <c r="A44" s="59" t="s">
        <v>247</v>
      </c>
      <c r="B44" s="346">
        <v>1.83</v>
      </c>
      <c r="E44" s="8">
        <f t="shared" si="0"/>
        <v>0</v>
      </c>
      <c r="F44" s="86" t="s">
        <v>247</v>
      </c>
      <c r="G44" s="59" t="s">
        <v>247</v>
      </c>
      <c r="H44" s="346">
        <v>7.3200000000000012</v>
      </c>
      <c r="I44" s="8"/>
      <c r="J44" s="8"/>
      <c r="K44" s="8">
        <f t="shared" si="1"/>
        <v>0</v>
      </c>
      <c r="L44" s="40"/>
      <c r="M44" s="59" t="s">
        <v>247</v>
      </c>
      <c r="N44" s="346">
        <v>1.83</v>
      </c>
      <c r="Q44" s="8">
        <f t="shared" si="2"/>
        <v>0</v>
      </c>
      <c r="R44" s="40"/>
      <c r="S44" s="59" t="s">
        <v>247</v>
      </c>
      <c r="T44" s="346"/>
      <c r="W44" s="8" t="e">
        <f t="shared" si="3"/>
        <v>#DIV/0!</v>
      </c>
      <c r="X44" s="40"/>
      <c r="Y44" s="59" t="s">
        <v>247</v>
      </c>
      <c r="Z44" s="346"/>
      <c r="AC44" s="8" t="e">
        <f t="shared" si="4"/>
        <v>#DIV/0!</v>
      </c>
      <c r="AD44" s="40"/>
      <c r="AE44" s="59" t="s">
        <v>155</v>
      </c>
    </row>
    <row r="45" spans="1:31" s="44" customFormat="1" ht="15" x14ac:dyDescent="0.25">
      <c r="A45" s="59" t="s">
        <v>248</v>
      </c>
      <c r="B45" s="346"/>
      <c r="E45" s="8"/>
      <c r="F45" s="86" t="s">
        <v>248</v>
      </c>
      <c r="G45" s="59" t="s">
        <v>248</v>
      </c>
      <c r="H45" s="346"/>
      <c r="I45" s="8"/>
      <c r="J45" s="8"/>
      <c r="K45" s="8"/>
      <c r="L45" s="40"/>
      <c r="M45" s="59" t="s">
        <v>248</v>
      </c>
      <c r="N45" s="346">
        <v>0</v>
      </c>
      <c r="Q45" s="8"/>
      <c r="R45" s="40"/>
      <c r="S45" s="59" t="s">
        <v>248</v>
      </c>
      <c r="T45" s="346"/>
      <c r="W45" s="8"/>
      <c r="X45" s="40"/>
      <c r="Y45" s="59" t="s">
        <v>248</v>
      </c>
      <c r="Z45" s="346"/>
      <c r="AC45" s="8"/>
      <c r="AD45" s="40"/>
      <c r="AE45" s="59" t="s">
        <v>156</v>
      </c>
    </row>
    <row r="46" spans="1:31" s="44" customFormat="1" ht="15" x14ac:dyDescent="0.25">
      <c r="A46" s="59" t="s">
        <v>249</v>
      </c>
      <c r="B46" s="346">
        <v>0</v>
      </c>
      <c r="E46" s="8"/>
      <c r="F46" s="86" t="s">
        <v>249</v>
      </c>
      <c r="G46" s="59" t="s">
        <v>249</v>
      </c>
      <c r="H46" s="346">
        <v>6.1</v>
      </c>
      <c r="I46" s="8"/>
      <c r="J46" s="8"/>
      <c r="K46" s="8"/>
      <c r="L46" s="40"/>
      <c r="M46" s="59" t="s">
        <v>249</v>
      </c>
      <c r="N46" s="346">
        <v>0.61</v>
      </c>
      <c r="Q46" s="8"/>
      <c r="R46" s="40"/>
      <c r="S46" s="59" t="s">
        <v>249</v>
      </c>
      <c r="T46" s="346"/>
      <c r="W46" s="8"/>
      <c r="X46" s="40"/>
      <c r="Y46" s="59" t="s">
        <v>249</v>
      </c>
      <c r="Z46" s="346"/>
      <c r="AC46" s="8"/>
      <c r="AD46" s="40"/>
      <c r="AE46" s="59" t="s">
        <v>157</v>
      </c>
    </row>
    <row r="47" spans="1:31" s="44" customFormat="1" ht="15" x14ac:dyDescent="0.25">
      <c r="A47" s="59" t="s">
        <v>250</v>
      </c>
      <c r="B47" s="346">
        <v>18.695952000000002</v>
      </c>
      <c r="E47" s="8"/>
      <c r="F47" s="86" t="s">
        <v>250</v>
      </c>
      <c r="G47" s="59" t="s">
        <v>250</v>
      </c>
      <c r="H47" s="346">
        <v>32.792596799999998</v>
      </c>
      <c r="I47" s="8"/>
      <c r="J47" s="8"/>
      <c r="K47" s="8"/>
      <c r="L47" s="40"/>
      <c r="M47" s="59" t="s">
        <v>250</v>
      </c>
      <c r="N47" s="346">
        <v>33.910233600000005</v>
      </c>
      <c r="Q47" s="8"/>
      <c r="R47" s="40"/>
      <c r="S47" s="59" t="s">
        <v>250</v>
      </c>
      <c r="T47" s="346"/>
      <c r="W47" s="8"/>
      <c r="X47" s="40"/>
      <c r="Y47" s="59" t="s">
        <v>250</v>
      </c>
      <c r="Z47" s="346"/>
      <c r="AC47" s="8"/>
      <c r="AD47" s="40"/>
      <c r="AE47" s="59" t="s">
        <v>158</v>
      </c>
    </row>
    <row r="48" spans="1:31" s="44" customFormat="1" ht="15" x14ac:dyDescent="0.25">
      <c r="A48" s="88" t="s">
        <v>251</v>
      </c>
      <c r="B48" s="346">
        <v>14.681786000000001</v>
      </c>
      <c r="E48" s="8"/>
      <c r="F48" s="86" t="s">
        <v>251</v>
      </c>
      <c r="G48" s="88" t="s">
        <v>251</v>
      </c>
      <c r="H48" s="346">
        <v>0.96074359999999992</v>
      </c>
      <c r="I48" s="8"/>
      <c r="J48" s="8"/>
      <c r="K48" s="8"/>
      <c r="L48" s="40"/>
      <c r="M48" s="88" t="s">
        <v>251</v>
      </c>
      <c r="N48" s="346">
        <v>16.914500000000004</v>
      </c>
      <c r="Q48" s="8"/>
      <c r="R48" s="40"/>
      <c r="S48" s="88" t="s">
        <v>251</v>
      </c>
      <c r="T48" s="346"/>
      <c r="W48" s="8"/>
      <c r="X48" s="40"/>
      <c r="Y48" s="88" t="s">
        <v>251</v>
      </c>
      <c r="Z48" s="346"/>
      <c r="AC48" s="8"/>
      <c r="AD48" s="40"/>
      <c r="AE48" s="88" t="s">
        <v>58</v>
      </c>
    </row>
    <row r="49" spans="1:31" s="44" customFormat="1" ht="15" x14ac:dyDescent="0.25">
      <c r="A49" s="59" t="s">
        <v>252</v>
      </c>
      <c r="B49" s="346">
        <v>16.164833999999992</v>
      </c>
      <c r="E49" s="8">
        <f t="shared" si="0"/>
        <v>0</v>
      </c>
      <c r="F49" s="86" t="s">
        <v>252</v>
      </c>
      <c r="G49" s="59" t="s">
        <v>252</v>
      </c>
      <c r="H49" s="346">
        <v>15.494093999999986</v>
      </c>
      <c r="I49" s="8"/>
      <c r="J49" s="8"/>
      <c r="K49" s="8">
        <f t="shared" si="1"/>
        <v>0</v>
      </c>
      <c r="L49" s="40"/>
      <c r="M49" s="59" t="s">
        <v>252</v>
      </c>
      <c r="N49" s="346">
        <v>14.365014999999985</v>
      </c>
      <c r="Q49" s="8">
        <f t="shared" si="2"/>
        <v>0</v>
      </c>
      <c r="R49" s="40"/>
      <c r="S49" s="59" t="s">
        <v>252</v>
      </c>
      <c r="T49" s="346"/>
      <c r="W49" s="8" t="e">
        <f t="shared" si="3"/>
        <v>#DIV/0!</v>
      </c>
      <c r="X49" s="40"/>
      <c r="Y49" s="59" t="s">
        <v>252</v>
      </c>
      <c r="Z49" s="346"/>
      <c r="AC49" s="8" t="e">
        <f t="shared" si="4"/>
        <v>#DIV/0!</v>
      </c>
      <c r="AD49" s="40"/>
      <c r="AE49" s="59" t="s">
        <v>159</v>
      </c>
    </row>
    <row r="50" spans="1:31" s="44" customFormat="1" ht="15" x14ac:dyDescent="0.25">
      <c r="A50" s="59" t="s">
        <v>253</v>
      </c>
      <c r="B50" s="346">
        <v>17.1312</v>
      </c>
      <c r="E50" s="8">
        <f t="shared" si="0"/>
        <v>0</v>
      </c>
      <c r="F50" s="86" t="s">
        <v>253</v>
      </c>
      <c r="G50" s="59" t="s">
        <v>253</v>
      </c>
      <c r="H50" s="346">
        <v>17.670400000000001</v>
      </c>
      <c r="I50" s="8"/>
      <c r="J50" s="8"/>
      <c r="K50" s="8">
        <f t="shared" si="1"/>
        <v>0</v>
      </c>
      <c r="L50" s="40"/>
      <c r="M50" s="59" t="s">
        <v>253</v>
      </c>
      <c r="N50" s="346">
        <v>31.945600000000002</v>
      </c>
      <c r="Q50" s="8">
        <f t="shared" si="2"/>
        <v>0</v>
      </c>
      <c r="R50" s="40"/>
      <c r="S50" s="59" t="s">
        <v>253</v>
      </c>
      <c r="T50" s="346"/>
      <c r="W50" s="8" t="e">
        <f t="shared" si="3"/>
        <v>#DIV/0!</v>
      </c>
      <c r="X50" s="40"/>
      <c r="Y50" s="59" t="s">
        <v>253</v>
      </c>
      <c r="Z50" s="346"/>
      <c r="AC50" s="8" t="e">
        <f t="shared" si="4"/>
        <v>#DIV/0!</v>
      </c>
      <c r="AD50" s="40"/>
      <c r="AE50" s="59" t="s">
        <v>160</v>
      </c>
    </row>
    <row r="51" spans="1:31" s="44" customFormat="1" ht="15" x14ac:dyDescent="0.25">
      <c r="A51" s="59" t="s">
        <v>254</v>
      </c>
      <c r="B51" s="346">
        <v>204.17831239999992</v>
      </c>
      <c r="E51" s="8">
        <f t="shared" si="0"/>
        <v>0</v>
      </c>
      <c r="F51" s="86" t="s">
        <v>254</v>
      </c>
      <c r="G51" s="59" t="s">
        <v>254</v>
      </c>
      <c r="H51" s="346">
        <v>256.59973079999992</v>
      </c>
      <c r="I51" s="8"/>
      <c r="J51" s="8"/>
      <c r="K51" s="8">
        <f t="shared" si="1"/>
        <v>0</v>
      </c>
      <c r="L51" s="40"/>
      <c r="M51" s="59" t="s">
        <v>254</v>
      </c>
      <c r="N51" s="346">
        <v>165.87035279999955</v>
      </c>
      <c r="Q51" s="8">
        <f t="shared" si="2"/>
        <v>0</v>
      </c>
      <c r="R51" s="40"/>
      <c r="S51" s="59" t="s">
        <v>254</v>
      </c>
      <c r="T51" s="346"/>
      <c r="W51" s="8" t="e">
        <f t="shared" si="3"/>
        <v>#DIV/0!</v>
      </c>
      <c r="X51" s="40"/>
      <c r="Y51" s="59" t="s">
        <v>254</v>
      </c>
      <c r="Z51" s="346"/>
      <c r="AC51" s="8" t="e">
        <f t="shared" si="4"/>
        <v>#DIV/0!</v>
      </c>
      <c r="AD51" s="40"/>
      <c r="AE51" s="59" t="s">
        <v>42</v>
      </c>
    </row>
    <row r="52" spans="1:31" s="44" customFormat="1" ht="15" x14ac:dyDescent="0.25">
      <c r="A52" s="88" t="s">
        <v>255</v>
      </c>
      <c r="B52" s="346">
        <v>47.775052399999979</v>
      </c>
      <c r="E52" s="8"/>
      <c r="F52" s="86" t="s">
        <v>255</v>
      </c>
      <c r="G52" s="88" t="s">
        <v>255</v>
      </c>
      <c r="H52" s="346">
        <v>38.266785199999987</v>
      </c>
      <c r="I52" s="8"/>
      <c r="J52" s="8"/>
      <c r="K52" s="8"/>
      <c r="L52" s="40"/>
      <c r="M52" s="88" t="s">
        <v>255</v>
      </c>
      <c r="N52" s="346">
        <v>36.362851599999964</v>
      </c>
      <c r="Q52" s="8"/>
      <c r="R52" s="40"/>
      <c r="S52" s="88" t="s">
        <v>255</v>
      </c>
      <c r="T52" s="346"/>
      <c r="W52" s="8"/>
      <c r="X52" s="40"/>
      <c r="Y52" s="88" t="s">
        <v>255</v>
      </c>
      <c r="Z52" s="346"/>
      <c r="AC52" s="8"/>
      <c r="AD52" s="40"/>
      <c r="AE52" s="88" t="s">
        <v>161</v>
      </c>
    </row>
    <row r="53" spans="1:31" s="44" customFormat="1" ht="15" x14ac:dyDescent="0.25">
      <c r="A53" s="59" t="s">
        <v>256</v>
      </c>
      <c r="B53" s="346">
        <v>340.92866200000043</v>
      </c>
      <c r="E53" s="8">
        <f t="shared" si="0"/>
        <v>0</v>
      </c>
      <c r="F53" s="86" t="s">
        <v>256</v>
      </c>
      <c r="G53" s="59" t="s">
        <v>256</v>
      </c>
      <c r="H53" s="346">
        <v>305.11051680000025</v>
      </c>
      <c r="I53" s="8"/>
      <c r="J53" s="8"/>
      <c r="K53" s="8">
        <f t="shared" si="1"/>
        <v>0</v>
      </c>
      <c r="L53" s="40"/>
      <c r="M53" s="59" t="s">
        <v>256</v>
      </c>
      <c r="N53" s="346">
        <v>272.07988119999999</v>
      </c>
      <c r="Q53" s="8">
        <f t="shared" si="2"/>
        <v>0</v>
      </c>
      <c r="R53" s="40"/>
      <c r="S53" s="59" t="s">
        <v>256</v>
      </c>
      <c r="T53" s="346"/>
      <c r="W53" s="8" t="e">
        <f t="shared" si="3"/>
        <v>#DIV/0!</v>
      </c>
      <c r="X53" s="40"/>
      <c r="Y53" s="59" t="s">
        <v>256</v>
      </c>
      <c r="Z53" s="346"/>
      <c r="AC53" s="8" t="e">
        <f t="shared" si="4"/>
        <v>#DIV/0!</v>
      </c>
      <c r="AD53" s="40"/>
      <c r="AE53" s="59" t="s">
        <v>11</v>
      </c>
    </row>
    <row r="54" spans="1:31" s="44" customFormat="1" ht="15" x14ac:dyDescent="0.25">
      <c r="A54" s="59" t="s">
        <v>257</v>
      </c>
      <c r="B54" s="346">
        <v>1147.94192</v>
      </c>
      <c r="E54" s="8">
        <f t="shared" si="0"/>
        <v>0</v>
      </c>
      <c r="F54" s="86" t="s">
        <v>257</v>
      </c>
      <c r="G54" s="59" t="s">
        <v>257</v>
      </c>
      <c r="H54" s="346">
        <v>1115.75344</v>
      </c>
      <c r="I54" s="8"/>
      <c r="J54" s="8"/>
      <c r="K54" s="8">
        <f t="shared" si="1"/>
        <v>0</v>
      </c>
      <c r="L54" s="40"/>
      <c r="M54" s="59" t="s">
        <v>257</v>
      </c>
      <c r="N54" s="346">
        <v>1265.91104</v>
      </c>
      <c r="Q54" s="8">
        <f t="shared" si="2"/>
        <v>0</v>
      </c>
      <c r="R54" s="40"/>
      <c r="S54" s="59" t="s">
        <v>257</v>
      </c>
      <c r="T54" s="346"/>
      <c r="W54" s="8" t="e">
        <f t="shared" si="3"/>
        <v>#DIV/0!</v>
      </c>
      <c r="X54" s="40"/>
      <c r="Y54" s="59" t="s">
        <v>257</v>
      </c>
      <c r="Z54" s="346"/>
      <c r="AC54" s="8" t="e">
        <f t="shared" si="4"/>
        <v>#DIV/0!</v>
      </c>
      <c r="AD54" s="40"/>
      <c r="AE54" s="59" t="s">
        <v>13</v>
      </c>
    </row>
    <row r="55" spans="1:31" s="44" customFormat="1" ht="15" x14ac:dyDescent="0.25">
      <c r="A55" s="59" t="s">
        <v>258</v>
      </c>
      <c r="B55" s="346">
        <v>1.2</v>
      </c>
      <c r="E55" s="8">
        <f t="shared" si="0"/>
        <v>0</v>
      </c>
      <c r="F55" s="86" t="s">
        <v>258</v>
      </c>
      <c r="G55" s="59" t="s">
        <v>258</v>
      </c>
      <c r="H55" s="346">
        <v>2.34</v>
      </c>
      <c r="I55" s="8"/>
      <c r="J55" s="8"/>
      <c r="K55" s="8">
        <f t="shared" si="1"/>
        <v>0</v>
      </c>
      <c r="L55" s="40"/>
      <c r="M55" s="59" t="s">
        <v>258</v>
      </c>
      <c r="N55" s="346">
        <v>0.6</v>
      </c>
      <c r="Q55" s="8">
        <f t="shared" si="2"/>
        <v>0</v>
      </c>
      <c r="R55" s="40"/>
      <c r="S55" s="59" t="s">
        <v>258</v>
      </c>
      <c r="T55" s="346"/>
      <c r="W55" s="8" t="e">
        <f t="shared" si="3"/>
        <v>#DIV/0!</v>
      </c>
      <c r="X55" s="40"/>
      <c r="Y55" s="59" t="s">
        <v>258</v>
      </c>
      <c r="Z55" s="346"/>
      <c r="AC55" s="8" t="e">
        <f t="shared" si="4"/>
        <v>#DIV/0!</v>
      </c>
      <c r="AD55" s="40"/>
      <c r="AE55" s="59" t="s">
        <v>162</v>
      </c>
    </row>
    <row r="56" spans="1:31" s="44" customFormat="1" ht="15" x14ac:dyDescent="0.25">
      <c r="A56" s="59" t="s">
        <v>259</v>
      </c>
      <c r="B56" s="346">
        <v>0</v>
      </c>
      <c r="E56" s="8"/>
      <c r="F56" s="86" t="s">
        <v>259</v>
      </c>
      <c r="G56" s="59" t="s">
        <v>259</v>
      </c>
      <c r="H56" s="346">
        <v>0</v>
      </c>
      <c r="I56" s="8"/>
      <c r="J56" s="8"/>
      <c r="K56" s="8"/>
      <c r="L56" s="40"/>
      <c r="M56" s="59" t="s">
        <v>259</v>
      </c>
      <c r="N56" s="346">
        <v>0</v>
      </c>
      <c r="Q56" s="8"/>
      <c r="R56" s="40"/>
      <c r="S56" s="59" t="s">
        <v>259</v>
      </c>
      <c r="T56" s="346"/>
      <c r="W56" s="8"/>
      <c r="X56" s="40"/>
      <c r="Y56" s="59" t="s">
        <v>259</v>
      </c>
      <c r="Z56" s="346"/>
      <c r="AC56" s="8"/>
      <c r="AD56" s="40"/>
      <c r="AE56" s="59" t="s">
        <v>163</v>
      </c>
    </row>
    <row r="57" spans="1:31" s="44" customFormat="1" ht="15" x14ac:dyDescent="0.25">
      <c r="A57" s="59" t="s">
        <v>260</v>
      </c>
      <c r="B57" s="346"/>
      <c r="E57" s="8" t="e">
        <f t="shared" si="0"/>
        <v>#DIV/0!</v>
      </c>
      <c r="F57" s="86" t="s">
        <v>260</v>
      </c>
      <c r="G57" s="59" t="s">
        <v>260</v>
      </c>
      <c r="H57" s="346"/>
      <c r="I57" s="8"/>
      <c r="J57" s="8"/>
      <c r="K57" s="8" t="e">
        <f t="shared" si="1"/>
        <v>#DIV/0!</v>
      </c>
      <c r="L57" s="40"/>
      <c r="M57" s="59" t="s">
        <v>260</v>
      </c>
      <c r="N57" s="346">
        <v>0</v>
      </c>
      <c r="Q57" s="8" t="e">
        <f t="shared" si="2"/>
        <v>#DIV/0!</v>
      </c>
      <c r="R57" s="40"/>
      <c r="S57" s="59" t="s">
        <v>260</v>
      </c>
      <c r="T57" s="346"/>
      <c r="W57" s="8" t="e">
        <f t="shared" si="3"/>
        <v>#DIV/0!</v>
      </c>
      <c r="X57" s="40"/>
      <c r="Y57" s="59" t="s">
        <v>260</v>
      </c>
      <c r="Z57" s="346"/>
      <c r="AC57" s="8" t="e">
        <f t="shared" si="4"/>
        <v>#DIV/0!</v>
      </c>
      <c r="AD57" s="40"/>
      <c r="AE57" s="59" t="s">
        <v>164</v>
      </c>
    </row>
    <row r="58" spans="1:31" s="44" customFormat="1" ht="15" x14ac:dyDescent="0.25">
      <c r="A58" s="59" t="s">
        <v>314</v>
      </c>
      <c r="B58" s="346">
        <v>0</v>
      </c>
      <c r="E58" s="8" t="e">
        <f t="shared" si="0"/>
        <v>#DIV/0!</v>
      </c>
      <c r="F58" s="44" t="s">
        <v>314</v>
      </c>
      <c r="G58" s="59" t="s">
        <v>314</v>
      </c>
      <c r="H58" s="346">
        <v>0</v>
      </c>
      <c r="I58" s="8"/>
      <c r="J58" s="8"/>
      <c r="K58" s="8" t="e">
        <f t="shared" si="1"/>
        <v>#DIV/0!</v>
      </c>
      <c r="L58" s="40"/>
      <c r="M58" s="59" t="s">
        <v>314</v>
      </c>
      <c r="N58" s="346">
        <v>0</v>
      </c>
      <c r="Q58" s="8" t="e">
        <f t="shared" si="2"/>
        <v>#DIV/0!</v>
      </c>
      <c r="R58" s="40"/>
      <c r="S58" s="59" t="s">
        <v>314</v>
      </c>
      <c r="T58" s="346"/>
      <c r="W58" s="8" t="e">
        <f t="shared" si="3"/>
        <v>#DIV/0!</v>
      </c>
      <c r="X58" s="40"/>
      <c r="Y58" s="59" t="s">
        <v>314</v>
      </c>
      <c r="Z58" s="346"/>
      <c r="AC58" s="8" t="e">
        <f t="shared" si="4"/>
        <v>#DIV/0!</v>
      </c>
      <c r="AD58" s="40"/>
      <c r="AE58" s="59" t="s">
        <v>203</v>
      </c>
    </row>
    <row r="59" spans="1:31" s="44" customFormat="1" ht="15" x14ac:dyDescent="0.25">
      <c r="A59" s="88" t="s">
        <v>261</v>
      </c>
      <c r="B59" s="346">
        <v>9.2285512000000001</v>
      </c>
      <c r="E59" s="8"/>
      <c r="F59" s="86" t="s">
        <v>261</v>
      </c>
      <c r="G59" s="88" t="s">
        <v>261</v>
      </c>
      <c r="H59" s="346">
        <v>29.228256000000002</v>
      </c>
      <c r="I59" s="8"/>
      <c r="J59" s="8"/>
      <c r="K59" s="8"/>
      <c r="L59" s="40"/>
      <c r="M59" s="88" t="s">
        <v>261</v>
      </c>
      <c r="N59" s="346">
        <v>5.8321196000000004</v>
      </c>
      <c r="Q59" s="8"/>
      <c r="R59" s="40"/>
      <c r="S59" s="88" t="s">
        <v>261</v>
      </c>
      <c r="T59" s="346"/>
      <c r="W59" s="8"/>
      <c r="X59" s="40"/>
      <c r="Y59" s="88" t="s">
        <v>261</v>
      </c>
      <c r="Z59" s="346"/>
      <c r="AC59" s="8"/>
      <c r="AD59" s="40"/>
      <c r="AE59" s="88" t="s">
        <v>57</v>
      </c>
    </row>
    <row r="60" spans="1:31" s="44" customFormat="1" ht="15" x14ac:dyDescent="0.25">
      <c r="A60" s="88" t="s">
        <v>262</v>
      </c>
      <c r="B60" s="346">
        <v>2.8822307999999999</v>
      </c>
      <c r="E60" s="8"/>
      <c r="F60" s="86" t="s">
        <v>262</v>
      </c>
      <c r="G60" s="88" t="s">
        <v>262</v>
      </c>
      <c r="H60" s="346">
        <v>0</v>
      </c>
      <c r="I60" s="8"/>
      <c r="J60" s="8"/>
      <c r="K60" s="8"/>
      <c r="L60" s="40"/>
      <c r="M60" s="88" t="s">
        <v>262</v>
      </c>
      <c r="N60" s="346">
        <v>0.96074359999999992</v>
      </c>
      <c r="Q60" s="8"/>
      <c r="R60" s="40"/>
      <c r="S60" s="88" t="s">
        <v>262</v>
      </c>
      <c r="T60" s="346"/>
      <c r="W60" s="8"/>
      <c r="X60" s="40"/>
      <c r="Y60" s="88" t="s">
        <v>262</v>
      </c>
      <c r="Z60" s="346"/>
      <c r="AC60" s="8"/>
      <c r="AD60" s="40"/>
      <c r="AE60" s="88" t="s">
        <v>56</v>
      </c>
    </row>
    <row r="61" spans="1:31" s="44" customFormat="1" ht="15" x14ac:dyDescent="0.25">
      <c r="A61" s="59" t="s">
        <v>263</v>
      </c>
      <c r="B61" s="346">
        <v>20.392121200000005</v>
      </c>
      <c r="E61" s="8">
        <f t="shared" si="0"/>
        <v>0</v>
      </c>
      <c r="F61" s="86" t="s">
        <v>263</v>
      </c>
      <c r="G61" s="59" t="s">
        <v>263</v>
      </c>
      <c r="H61" s="346">
        <v>28.0645384</v>
      </c>
      <c r="I61" s="8"/>
      <c r="J61" s="8"/>
      <c r="K61" s="8">
        <f t="shared" si="1"/>
        <v>0</v>
      </c>
      <c r="L61" s="40"/>
      <c r="M61" s="59" t="s">
        <v>263</v>
      </c>
      <c r="N61" s="346">
        <v>52.326697200000019</v>
      </c>
      <c r="Q61" s="8">
        <f t="shared" si="2"/>
        <v>0</v>
      </c>
      <c r="R61" s="40"/>
      <c r="S61" s="59" t="s">
        <v>263</v>
      </c>
      <c r="T61" s="346"/>
      <c r="W61" s="8" t="e">
        <f t="shared" si="3"/>
        <v>#DIV/0!</v>
      </c>
      <c r="X61" s="40"/>
      <c r="Y61" s="59" t="s">
        <v>263</v>
      </c>
      <c r="Z61" s="346"/>
      <c r="AC61" s="8" t="e">
        <f t="shared" si="4"/>
        <v>#DIV/0!</v>
      </c>
      <c r="AD61" s="40"/>
      <c r="AE61" s="59" t="s">
        <v>43</v>
      </c>
    </row>
    <row r="62" spans="1:31" s="44" customFormat="1" ht="15" x14ac:dyDescent="0.25">
      <c r="A62" s="59" t="s">
        <v>264</v>
      </c>
      <c r="B62" s="346">
        <v>0</v>
      </c>
      <c r="E62" s="8" t="e">
        <f t="shared" si="0"/>
        <v>#DIV/0!</v>
      </c>
      <c r="F62" s="86" t="s">
        <v>264</v>
      </c>
      <c r="G62" s="59" t="s">
        <v>264</v>
      </c>
      <c r="H62" s="346">
        <v>9.92</v>
      </c>
      <c r="I62" s="8"/>
      <c r="J62" s="8"/>
      <c r="K62" s="8">
        <f t="shared" si="1"/>
        <v>0</v>
      </c>
      <c r="L62" s="40"/>
      <c r="M62" s="59" t="s">
        <v>264</v>
      </c>
      <c r="N62" s="346">
        <v>0</v>
      </c>
      <c r="Q62" s="8" t="e">
        <f t="shared" si="2"/>
        <v>#DIV/0!</v>
      </c>
      <c r="R62" s="40"/>
      <c r="S62" s="59" t="s">
        <v>264</v>
      </c>
      <c r="T62" s="346"/>
      <c r="W62" s="8" t="e">
        <f t="shared" si="3"/>
        <v>#DIV/0!</v>
      </c>
      <c r="X62" s="40"/>
      <c r="Y62" s="59" t="s">
        <v>264</v>
      </c>
      <c r="Z62" s="346"/>
      <c r="AC62" s="8" t="e">
        <f t="shared" si="4"/>
        <v>#DIV/0!</v>
      </c>
      <c r="AD62" s="40"/>
      <c r="AE62" s="59" t="s">
        <v>165</v>
      </c>
    </row>
    <row r="63" spans="1:31" s="44" customFormat="1" ht="15" x14ac:dyDescent="0.25">
      <c r="A63" s="59" t="s">
        <v>265</v>
      </c>
      <c r="B63" s="346">
        <v>21.209999999999997</v>
      </c>
      <c r="E63" s="8"/>
      <c r="F63" s="86" t="s">
        <v>265</v>
      </c>
      <c r="G63" s="59" t="s">
        <v>265</v>
      </c>
      <c r="H63" s="346">
        <v>45.839999999999996</v>
      </c>
      <c r="I63" s="8"/>
      <c r="J63" s="8"/>
      <c r="K63" s="8"/>
      <c r="L63" s="40"/>
      <c r="M63" s="59" t="s">
        <v>265</v>
      </c>
      <c r="N63" s="346">
        <v>16.809999999999995</v>
      </c>
      <c r="Q63" s="8"/>
      <c r="R63" s="40"/>
      <c r="S63" s="59" t="s">
        <v>265</v>
      </c>
      <c r="T63" s="346"/>
      <c r="W63" s="8"/>
      <c r="X63" s="40"/>
      <c r="Y63" s="59" t="s">
        <v>265</v>
      </c>
      <c r="Z63" s="346"/>
      <c r="AC63" s="8"/>
      <c r="AD63" s="40"/>
      <c r="AE63" s="59" t="s">
        <v>166</v>
      </c>
    </row>
    <row r="64" spans="1:31" s="44" customFormat="1" ht="15" x14ac:dyDescent="0.25">
      <c r="A64" s="88" t="s">
        <v>266</v>
      </c>
      <c r="B64" s="346">
        <v>2.4086248000000001</v>
      </c>
      <c r="E64" s="8"/>
      <c r="F64" s="86" t="s">
        <v>266</v>
      </c>
      <c r="G64" s="88" t="s">
        <v>266</v>
      </c>
      <c r="H64" s="346">
        <v>0</v>
      </c>
      <c r="I64" s="8"/>
      <c r="J64" s="8"/>
      <c r="K64" s="8"/>
      <c r="L64" s="40"/>
      <c r="M64" s="88" t="s">
        <v>266</v>
      </c>
      <c r="N64" s="346">
        <v>3.8429743999999997</v>
      </c>
      <c r="Q64" s="8"/>
      <c r="R64" s="40"/>
      <c r="S64" s="88" t="s">
        <v>266</v>
      </c>
      <c r="T64" s="346"/>
      <c r="W64" s="8"/>
      <c r="X64" s="40"/>
      <c r="Y64" s="88" t="s">
        <v>266</v>
      </c>
      <c r="Z64" s="346"/>
      <c r="AC64" s="8"/>
      <c r="AD64" s="40"/>
      <c r="AE64" s="88" t="s">
        <v>55</v>
      </c>
    </row>
    <row r="65" spans="1:31" s="44" customFormat="1" ht="15" x14ac:dyDescent="0.25">
      <c r="A65" s="88" t="s">
        <v>267</v>
      </c>
      <c r="B65" s="346">
        <v>0</v>
      </c>
      <c r="E65" s="8"/>
      <c r="F65" s="86" t="s">
        <v>267</v>
      </c>
      <c r="G65" s="88" t="s">
        <v>267</v>
      </c>
      <c r="H65" s="346">
        <v>0</v>
      </c>
      <c r="I65" s="8"/>
      <c r="J65" s="8"/>
      <c r="K65" s="8"/>
      <c r="L65" s="40"/>
      <c r="M65" s="88" t="s">
        <v>267</v>
      </c>
      <c r="N65" s="346">
        <v>0</v>
      </c>
      <c r="Q65" s="8"/>
      <c r="R65" s="40"/>
      <c r="S65" s="88" t="s">
        <v>267</v>
      </c>
      <c r="T65" s="346"/>
      <c r="W65" s="8"/>
      <c r="X65" s="40"/>
      <c r="Y65" s="88" t="s">
        <v>267</v>
      </c>
      <c r="Z65" s="346"/>
      <c r="AC65" s="8"/>
      <c r="AD65" s="40"/>
      <c r="AE65" s="88" t="s">
        <v>167</v>
      </c>
    </row>
    <row r="66" spans="1:31" s="44" customFormat="1" ht="15" x14ac:dyDescent="0.25">
      <c r="A66" s="88" t="s">
        <v>268</v>
      </c>
      <c r="B66" s="346">
        <v>305.12141600000081</v>
      </c>
      <c r="E66" s="8"/>
      <c r="F66" s="86" t="s">
        <v>268</v>
      </c>
      <c r="G66" s="88" t="s">
        <v>268</v>
      </c>
      <c r="H66" s="346">
        <v>366.64964899999984</v>
      </c>
      <c r="I66" s="8"/>
      <c r="J66" s="8"/>
      <c r="K66" s="8"/>
      <c r="L66" s="40"/>
      <c r="M66" s="88" t="s">
        <v>268</v>
      </c>
      <c r="N66" s="346">
        <v>394.71830699999964</v>
      </c>
      <c r="Q66" s="8"/>
      <c r="R66" s="40"/>
      <c r="S66" s="88" t="s">
        <v>268</v>
      </c>
      <c r="T66" s="346"/>
      <c r="W66" s="8"/>
      <c r="X66" s="40"/>
      <c r="Y66" s="88" t="s">
        <v>268</v>
      </c>
      <c r="Z66" s="346"/>
      <c r="AC66" s="8"/>
      <c r="AD66" s="40"/>
      <c r="AE66" s="88" t="s">
        <v>73</v>
      </c>
    </row>
    <row r="67" spans="1:31" s="44" customFormat="1" ht="15" x14ac:dyDescent="0.25">
      <c r="A67" s="88" t="s">
        <v>269</v>
      </c>
      <c r="B67" s="346"/>
      <c r="E67" s="8"/>
      <c r="F67" s="86" t="s">
        <v>269</v>
      </c>
      <c r="G67" s="88" t="s">
        <v>269</v>
      </c>
      <c r="H67" s="346"/>
      <c r="I67" s="8"/>
      <c r="J67" s="8"/>
      <c r="K67" s="8"/>
      <c r="L67" s="40"/>
      <c r="M67" s="88" t="s">
        <v>269</v>
      </c>
      <c r="N67" s="346">
        <v>0</v>
      </c>
      <c r="Q67" s="8"/>
      <c r="R67" s="40"/>
      <c r="S67" s="88" t="s">
        <v>269</v>
      </c>
      <c r="T67" s="346"/>
      <c r="W67" s="8"/>
      <c r="X67" s="40"/>
      <c r="Y67" s="88" t="s">
        <v>269</v>
      </c>
      <c r="Z67" s="346"/>
      <c r="AC67" s="8"/>
      <c r="AD67" s="40"/>
      <c r="AE67" s="88" t="s">
        <v>168</v>
      </c>
    </row>
    <row r="68" spans="1:31" s="44" customFormat="1" ht="15" x14ac:dyDescent="0.25">
      <c r="A68" s="88" t="s">
        <v>313</v>
      </c>
      <c r="B68" s="346">
        <v>0</v>
      </c>
      <c r="E68" s="8"/>
      <c r="F68" s="44" t="s">
        <v>313</v>
      </c>
      <c r="G68" s="88" t="s">
        <v>313</v>
      </c>
      <c r="H68" s="346">
        <v>0</v>
      </c>
      <c r="I68" s="8"/>
      <c r="J68" s="8"/>
      <c r="K68" s="8"/>
      <c r="L68" s="40"/>
      <c r="M68" s="88" t="s">
        <v>313</v>
      </c>
      <c r="N68" s="346">
        <v>0</v>
      </c>
      <c r="Q68" s="8"/>
      <c r="R68" s="40"/>
      <c r="S68" s="88" t="s">
        <v>313</v>
      </c>
      <c r="T68" s="346"/>
      <c r="W68" s="8"/>
      <c r="X68" s="40"/>
      <c r="Y68" s="88" t="s">
        <v>313</v>
      </c>
      <c r="Z68" s="346"/>
      <c r="AC68" s="8"/>
      <c r="AD68" s="40"/>
      <c r="AE68" s="88" t="s">
        <v>169</v>
      </c>
    </row>
    <row r="69" spans="1:31" s="44" customFormat="1" ht="15" x14ac:dyDescent="0.25">
      <c r="A69" s="88" t="s">
        <v>270</v>
      </c>
      <c r="B69" s="346">
        <v>1.24</v>
      </c>
      <c r="E69" s="8"/>
      <c r="F69" s="86" t="s">
        <v>270</v>
      </c>
      <c r="G69" s="88" t="s">
        <v>270</v>
      </c>
      <c r="H69" s="346">
        <v>0</v>
      </c>
      <c r="I69" s="8"/>
      <c r="J69" s="8"/>
      <c r="K69" s="8"/>
      <c r="L69" s="40"/>
      <c r="M69" s="88" t="s">
        <v>270</v>
      </c>
      <c r="N69" s="346">
        <v>0</v>
      </c>
      <c r="Q69" s="8"/>
      <c r="R69" s="40"/>
      <c r="S69" s="88" t="s">
        <v>270</v>
      </c>
      <c r="T69" s="346"/>
      <c r="W69" s="8"/>
      <c r="X69" s="40"/>
      <c r="Y69" s="88" t="s">
        <v>270</v>
      </c>
      <c r="Z69" s="346"/>
      <c r="AC69" s="8"/>
      <c r="AD69" s="40"/>
      <c r="AE69" s="88" t="s">
        <v>170</v>
      </c>
    </row>
    <row r="70" spans="1:31" s="44" customFormat="1" ht="15" x14ac:dyDescent="0.25">
      <c r="A70" s="88" t="s">
        <v>312</v>
      </c>
      <c r="B70" s="346"/>
      <c r="E70" s="8"/>
      <c r="F70" s="44" t="s">
        <v>312</v>
      </c>
      <c r="G70" s="88" t="s">
        <v>312</v>
      </c>
      <c r="H70" s="346"/>
      <c r="I70" s="8"/>
      <c r="J70" s="8"/>
      <c r="K70" s="8"/>
      <c r="L70" s="40"/>
      <c r="M70" s="88" t="s">
        <v>312</v>
      </c>
      <c r="N70" s="346">
        <v>0</v>
      </c>
      <c r="Q70" s="8"/>
      <c r="R70" s="40"/>
      <c r="S70" s="88" t="s">
        <v>312</v>
      </c>
      <c r="T70" s="346"/>
      <c r="W70" s="8"/>
      <c r="X70" s="40"/>
      <c r="Y70" s="88" t="s">
        <v>312</v>
      </c>
      <c r="Z70" s="346"/>
      <c r="AC70" s="8"/>
      <c r="AD70" s="40"/>
      <c r="AE70" s="88" t="s">
        <v>204</v>
      </c>
    </row>
    <row r="71" spans="1:31" s="44" customFormat="1" ht="15" x14ac:dyDescent="0.25">
      <c r="A71" s="88" t="s">
        <v>271</v>
      </c>
      <c r="B71" s="346"/>
      <c r="E71" s="8"/>
      <c r="F71" s="86" t="s">
        <v>271</v>
      </c>
      <c r="G71" s="88" t="s">
        <v>271</v>
      </c>
      <c r="H71" s="346"/>
      <c r="I71" s="8"/>
      <c r="J71" s="8"/>
      <c r="K71" s="8"/>
      <c r="L71" s="40"/>
      <c r="M71" s="88" t="s">
        <v>271</v>
      </c>
      <c r="N71" s="346">
        <v>0</v>
      </c>
      <c r="Q71" s="8"/>
      <c r="R71" s="40"/>
      <c r="S71" s="88" t="s">
        <v>271</v>
      </c>
      <c r="T71" s="346"/>
      <c r="W71" s="8"/>
      <c r="X71" s="40"/>
      <c r="Y71" s="88" t="s">
        <v>271</v>
      </c>
      <c r="Z71" s="346"/>
      <c r="AC71" s="8"/>
      <c r="AD71" s="40"/>
      <c r="AE71" s="88" t="s">
        <v>171</v>
      </c>
    </row>
    <row r="72" spans="1:31" s="44" customFormat="1" ht="15" x14ac:dyDescent="0.25">
      <c r="A72" s="88" t="s">
        <v>94</v>
      </c>
      <c r="B72" s="346">
        <v>3.6599999999999997</v>
      </c>
      <c r="E72" s="8"/>
      <c r="F72" s="86" t="s">
        <v>94</v>
      </c>
      <c r="G72" s="88" t="s">
        <v>94</v>
      </c>
      <c r="H72" s="346">
        <v>1.22</v>
      </c>
      <c r="I72" s="8"/>
      <c r="J72" s="8"/>
      <c r="K72" s="8"/>
      <c r="L72" s="40"/>
      <c r="M72" s="88" t="s">
        <v>94</v>
      </c>
      <c r="N72" s="346">
        <v>0</v>
      </c>
      <c r="Q72" s="8"/>
      <c r="R72" s="40"/>
      <c r="S72" s="88" t="s">
        <v>94</v>
      </c>
      <c r="T72" s="346"/>
      <c r="W72" s="8"/>
      <c r="X72" s="40"/>
      <c r="Y72" s="88" t="s">
        <v>94</v>
      </c>
      <c r="Z72" s="346"/>
      <c r="AC72" s="8"/>
      <c r="AD72" s="40"/>
      <c r="AE72" s="88" t="s">
        <v>172</v>
      </c>
    </row>
    <row r="73" spans="1:31" s="44" customFormat="1" ht="15" x14ac:dyDescent="0.25">
      <c r="A73" s="88" t="s">
        <v>272</v>
      </c>
      <c r="B73" s="346"/>
      <c r="E73" s="8"/>
      <c r="F73" s="86" t="s">
        <v>272</v>
      </c>
      <c r="G73" s="88" t="s">
        <v>272</v>
      </c>
      <c r="H73" s="346"/>
      <c r="I73" s="8"/>
      <c r="J73" s="8"/>
      <c r="K73" s="8"/>
      <c r="L73" s="40"/>
      <c r="M73" s="88" t="s">
        <v>272</v>
      </c>
      <c r="N73" s="346">
        <v>0</v>
      </c>
      <c r="Q73" s="8"/>
      <c r="R73" s="40"/>
      <c r="S73" s="88" t="s">
        <v>272</v>
      </c>
      <c r="T73" s="346"/>
      <c r="W73" s="8"/>
      <c r="X73" s="40"/>
      <c r="Y73" s="88" t="s">
        <v>272</v>
      </c>
      <c r="Z73" s="346"/>
      <c r="AC73" s="8"/>
      <c r="AD73" s="40"/>
      <c r="AE73" s="88" t="s">
        <v>173</v>
      </c>
    </row>
    <row r="74" spans="1:31" s="44" customFormat="1" ht="15" x14ac:dyDescent="0.25">
      <c r="A74" s="88" t="s">
        <v>273</v>
      </c>
      <c r="B74" s="346">
        <v>186.24894239999978</v>
      </c>
      <c r="E74" s="8"/>
      <c r="F74" s="86" t="s">
        <v>273</v>
      </c>
      <c r="G74" s="88" t="s">
        <v>273</v>
      </c>
      <c r="H74" s="346">
        <v>241.29549120000027</v>
      </c>
      <c r="I74" s="8"/>
      <c r="J74" s="8"/>
      <c r="K74" s="8"/>
      <c r="L74" s="40"/>
      <c r="M74" s="88" t="s">
        <v>273</v>
      </c>
      <c r="N74" s="346">
        <v>177.15570719999971</v>
      </c>
      <c r="Q74" s="8"/>
      <c r="R74" s="40"/>
      <c r="S74" s="88" t="s">
        <v>273</v>
      </c>
      <c r="T74" s="346"/>
      <c r="W74" s="8"/>
      <c r="X74" s="40"/>
      <c r="Y74" s="88" t="s">
        <v>273</v>
      </c>
      <c r="Z74" s="346"/>
      <c r="AC74" s="8"/>
      <c r="AD74" s="40"/>
      <c r="AE74" s="88" t="s">
        <v>44</v>
      </c>
    </row>
    <row r="75" spans="1:31" s="44" customFormat="1" ht="15" x14ac:dyDescent="0.25">
      <c r="A75" s="88" t="s">
        <v>274</v>
      </c>
      <c r="B75" s="346">
        <v>279.14688900000044</v>
      </c>
      <c r="E75" s="8"/>
      <c r="F75" s="86" t="s">
        <v>274</v>
      </c>
      <c r="G75" s="88" t="s">
        <v>274</v>
      </c>
      <c r="H75" s="346">
        <v>272.53535400000038</v>
      </c>
      <c r="I75" s="8"/>
      <c r="J75" s="8"/>
      <c r="K75" s="8"/>
      <c r="L75" s="40"/>
      <c r="M75" s="88" t="s">
        <v>274</v>
      </c>
      <c r="N75" s="346">
        <v>236.95566300000038</v>
      </c>
      <c r="Q75" s="8"/>
      <c r="R75" s="40"/>
      <c r="S75" s="88" t="s">
        <v>274</v>
      </c>
      <c r="T75" s="346"/>
      <c r="W75" s="8"/>
      <c r="X75" s="40"/>
      <c r="Y75" s="88" t="s">
        <v>274</v>
      </c>
      <c r="Z75" s="346"/>
      <c r="AC75" s="8"/>
      <c r="AD75" s="40"/>
      <c r="AE75" s="88" t="s">
        <v>45</v>
      </c>
    </row>
    <row r="76" spans="1:31" s="44" customFormat="1" ht="15" x14ac:dyDescent="0.25">
      <c r="A76" s="88" t="s">
        <v>275</v>
      </c>
      <c r="B76" s="346">
        <v>1.83</v>
      </c>
      <c r="E76" s="8"/>
      <c r="F76" s="86" t="s">
        <v>275</v>
      </c>
      <c r="G76" s="88" t="s">
        <v>275</v>
      </c>
      <c r="H76" s="346">
        <v>0</v>
      </c>
      <c r="I76" s="8"/>
      <c r="J76" s="8"/>
      <c r="K76" s="8"/>
      <c r="L76" s="40"/>
      <c r="M76" s="88" t="s">
        <v>275</v>
      </c>
      <c r="N76" s="346">
        <v>0</v>
      </c>
      <c r="Q76" s="8"/>
      <c r="R76" s="40"/>
      <c r="S76" s="88" t="s">
        <v>275</v>
      </c>
      <c r="T76" s="346"/>
      <c r="W76" s="8"/>
      <c r="X76" s="40"/>
      <c r="Y76" s="88" t="s">
        <v>275</v>
      </c>
      <c r="Z76" s="346"/>
      <c r="AC76" s="8"/>
      <c r="AD76" s="40"/>
      <c r="AE76" s="88" t="s">
        <v>174</v>
      </c>
    </row>
    <row r="77" spans="1:31" s="44" customFormat="1" ht="15" x14ac:dyDescent="0.25">
      <c r="A77" s="88" t="s">
        <v>276</v>
      </c>
      <c r="B77" s="346"/>
      <c r="E77" s="8"/>
      <c r="F77" s="86" t="s">
        <v>276</v>
      </c>
      <c r="G77" s="88" t="s">
        <v>276</v>
      </c>
      <c r="H77" s="346"/>
      <c r="I77" s="8"/>
      <c r="J77" s="8"/>
      <c r="K77" s="8"/>
      <c r="L77" s="40"/>
      <c r="M77" s="88" t="s">
        <v>276</v>
      </c>
      <c r="N77" s="346">
        <v>0</v>
      </c>
      <c r="Q77" s="8"/>
      <c r="R77" s="40"/>
      <c r="S77" s="88" t="s">
        <v>276</v>
      </c>
      <c r="T77" s="346"/>
      <c r="W77" s="8"/>
      <c r="X77" s="40"/>
      <c r="Y77" s="88" t="s">
        <v>276</v>
      </c>
      <c r="Z77" s="346"/>
      <c r="AC77" s="8"/>
      <c r="AD77" s="40"/>
      <c r="AE77" s="88" t="s">
        <v>175</v>
      </c>
    </row>
    <row r="78" spans="1:31" s="44" customFormat="1" ht="15" x14ac:dyDescent="0.25">
      <c r="A78" s="88" t="s">
        <v>277</v>
      </c>
      <c r="B78" s="346">
        <v>0.61</v>
      </c>
      <c r="E78" s="8"/>
      <c r="F78" s="86" t="s">
        <v>277</v>
      </c>
      <c r="G78" s="88" t="s">
        <v>277</v>
      </c>
      <c r="H78" s="346">
        <v>3.6599999999999997</v>
      </c>
      <c r="I78" s="8"/>
      <c r="J78" s="8"/>
      <c r="K78" s="8"/>
      <c r="L78" s="40"/>
      <c r="M78" s="88" t="s">
        <v>277</v>
      </c>
      <c r="N78" s="346">
        <v>4.2699999999999996</v>
      </c>
      <c r="Q78" s="8"/>
      <c r="R78" s="40"/>
      <c r="S78" s="88" t="s">
        <v>277</v>
      </c>
      <c r="T78" s="346"/>
      <c r="W78" s="8"/>
      <c r="X78" s="40"/>
      <c r="Y78" s="88" t="s">
        <v>277</v>
      </c>
      <c r="Z78" s="346"/>
      <c r="AC78" s="8"/>
      <c r="AD78" s="40"/>
      <c r="AE78" s="88" t="s">
        <v>176</v>
      </c>
    </row>
    <row r="79" spans="1:31" s="44" customFormat="1" ht="15" x14ac:dyDescent="0.25">
      <c r="A79" s="88" t="s">
        <v>278</v>
      </c>
      <c r="B79" s="346">
        <v>125.43793199999979</v>
      </c>
      <c r="E79" s="8"/>
      <c r="F79" s="86" t="s">
        <v>278</v>
      </c>
      <c r="G79" s="88" t="s">
        <v>278</v>
      </c>
      <c r="H79" s="346">
        <v>74.532052800000073</v>
      </c>
      <c r="I79" s="8"/>
      <c r="J79" s="8"/>
      <c r="K79" s="8"/>
      <c r="L79" s="40"/>
      <c r="M79" s="88" t="s">
        <v>278</v>
      </c>
      <c r="N79" s="346">
        <v>136.93979199999978</v>
      </c>
      <c r="Q79" s="8"/>
      <c r="R79" s="40"/>
      <c r="S79" s="88" t="s">
        <v>278</v>
      </c>
      <c r="T79" s="346"/>
      <c r="W79" s="8"/>
      <c r="X79" s="40"/>
      <c r="Y79" s="88" t="s">
        <v>278</v>
      </c>
      <c r="Z79" s="346"/>
      <c r="AC79" s="8"/>
      <c r="AD79" s="40"/>
      <c r="AE79" s="88" t="s">
        <v>46</v>
      </c>
    </row>
    <row r="80" spans="1:31" s="44" customFormat="1" ht="15" x14ac:dyDescent="0.25">
      <c r="A80" s="88" t="s">
        <v>279</v>
      </c>
      <c r="B80" s="346">
        <v>1.22</v>
      </c>
      <c r="E80" s="8"/>
      <c r="F80" s="86" t="s">
        <v>279</v>
      </c>
      <c r="G80" s="88" t="s">
        <v>279</v>
      </c>
      <c r="H80" s="346">
        <v>6.71</v>
      </c>
      <c r="I80" s="8"/>
      <c r="J80" s="8"/>
      <c r="K80" s="8"/>
      <c r="L80" s="40"/>
      <c r="M80" s="88" t="s">
        <v>279</v>
      </c>
      <c r="N80" s="346">
        <v>4.2699999999999996</v>
      </c>
      <c r="Q80" s="8"/>
      <c r="R80" s="40"/>
      <c r="S80" s="88" t="s">
        <v>279</v>
      </c>
      <c r="T80" s="346"/>
      <c r="W80" s="8"/>
      <c r="X80" s="40"/>
      <c r="Y80" s="88" t="s">
        <v>279</v>
      </c>
      <c r="Z80" s="346"/>
      <c r="AC80" s="8"/>
      <c r="AD80" s="40"/>
      <c r="AE80" s="88" t="s">
        <v>177</v>
      </c>
    </row>
    <row r="81" spans="1:31" s="44" customFormat="1" ht="15" x14ac:dyDescent="0.25">
      <c r="A81" s="88" t="s">
        <v>280</v>
      </c>
      <c r="B81" s="346"/>
      <c r="E81" s="8"/>
      <c r="F81" s="86" t="s">
        <v>280</v>
      </c>
      <c r="G81" s="88" t="s">
        <v>280</v>
      </c>
      <c r="H81" s="346"/>
      <c r="I81" s="8"/>
      <c r="J81" s="8"/>
      <c r="K81" s="8"/>
      <c r="L81" s="40"/>
      <c r="M81" s="88" t="s">
        <v>280</v>
      </c>
      <c r="N81" s="346">
        <v>0</v>
      </c>
      <c r="Q81" s="8"/>
      <c r="R81" s="40"/>
      <c r="S81" s="88" t="s">
        <v>280</v>
      </c>
      <c r="T81" s="346"/>
      <c r="W81" s="8"/>
      <c r="X81" s="40"/>
      <c r="Y81" s="88" t="s">
        <v>280</v>
      </c>
      <c r="Z81" s="346"/>
      <c r="AC81" s="8"/>
      <c r="AD81" s="40"/>
      <c r="AE81" s="88" t="s">
        <v>178</v>
      </c>
    </row>
    <row r="82" spans="1:31" s="44" customFormat="1" ht="15" x14ac:dyDescent="0.25">
      <c r="A82" s="88" t="s">
        <v>281</v>
      </c>
      <c r="B82" s="346">
        <v>2.37</v>
      </c>
      <c r="E82" s="8"/>
      <c r="F82" s="86" t="s">
        <v>281</v>
      </c>
      <c r="G82" s="88" t="s">
        <v>281</v>
      </c>
      <c r="H82" s="346">
        <v>1.22</v>
      </c>
      <c r="I82" s="8"/>
      <c r="J82" s="8"/>
      <c r="K82" s="8"/>
      <c r="L82" s="40"/>
      <c r="M82" s="88" t="s">
        <v>281</v>
      </c>
      <c r="N82" s="346">
        <v>0</v>
      </c>
      <c r="Q82" s="8"/>
      <c r="R82" s="40"/>
      <c r="S82" s="88" t="s">
        <v>281</v>
      </c>
      <c r="T82" s="346"/>
      <c r="W82" s="8"/>
      <c r="X82" s="40"/>
      <c r="Y82" s="88" t="s">
        <v>281</v>
      </c>
      <c r="Z82" s="346"/>
      <c r="AC82" s="8"/>
      <c r="AD82" s="40"/>
      <c r="AE82" s="88" t="s">
        <v>179</v>
      </c>
    </row>
    <row r="83" spans="1:31" s="44" customFormat="1" ht="15" x14ac:dyDescent="0.25">
      <c r="A83" s="88" t="s">
        <v>282</v>
      </c>
      <c r="B83" s="346">
        <v>3.4099999999999997</v>
      </c>
      <c r="E83" s="8"/>
      <c r="F83" s="86" t="s">
        <v>282</v>
      </c>
      <c r="G83" s="88" t="s">
        <v>282</v>
      </c>
      <c r="H83" s="346">
        <v>14.209999999999999</v>
      </c>
      <c r="I83" s="8"/>
      <c r="J83" s="8"/>
      <c r="K83" s="8"/>
      <c r="L83" s="40"/>
      <c r="M83" s="88" t="s">
        <v>282</v>
      </c>
      <c r="N83" s="346">
        <v>0.61</v>
      </c>
      <c r="Q83" s="8"/>
      <c r="R83" s="40"/>
      <c r="S83" s="88" t="s">
        <v>282</v>
      </c>
      <c r="T83" s="346"/>
      <c r="W83" s="8"/>
      <c r="X83" s="40"/>
      <c r="Y83" s="88" t="s">
        <v>282</v>
      </c>
      <c r="Z83" s="346"/>
      <c r="AC83" s="8"/>
      <c r="AD83" s="40"/>
      <c r="AE83" s="88" t="s">
        <v>180</v>
      </c>
    </row>
    <row r="84" spans="1:31" s="44" customFormat="1" ht="15" x14ac:dyDescent="0.25">
      <c r="A84" s="88" t="s">
        <v>283</v>
      </c>
      <c r="B84" s="346">
        <v>41.199999999999982</v>
      </c>
      <c r="E84" s="8"/>
      <c r="F84" s="86" t="s">
        <v>283</v>
      </c>
      <c r="G84" s="88" t="s">
        <v>283</v>
      </c>
      <c r="H84" s="346">
        <v>51.379999999999995</v>
      </c>
      <c r="I84" s="8"/>
      <c r="J84" s="8"/>
      <c r="K84" s="8"/>
      <c r="L84" s="40"/>
      <c r="M84" s="88" t="s">
        <v>283</v>
      </c>
      <c r="N84" s="346">
        <v>25.980000000000008</v>
      </c>
      <c r="Q84" s="8"/>
      <c r="R84" s="40"/>
      <c r="S84" s="88" t="s">
        <v>283</v>
      </c>
      <c r="T84" s="346"/>
      <c r="W84" s="8"/>
      <c r="X84" s="40"/>
      <c r="Y84" s="88" t="s">
        <v>283</v>
      </c>
      <c r="Z84" s="346"/>
      <c r="AC84" s="8"/>
      <c r="AD84" s="40"/>
      <c r="AE84" s="88" t="s">
        <v>181</v>
      </c>
    </row>
    <row r="85" spans="1:31" s="44" customFormat="1" ht="15" x14ac:dyDescent="0.25">
      <c r="A85" s="88" t="s">
        <v>284</v>
      </c>
      <c r="B85" s="346">
        <v>21.136359200000008</v>
      </c>
      <c r="E85" s="8"/>
      <c r="F85" s="86" t="s">
        <v>284</v>
      </c>
      <c r="G85" s="88" t="s">
        <v>284</v>
      </c>
      <c r="H85" s="346">
        <v>23.544984000000003</v>
      </c>
      <c r="I85" s="8"/>
      <c r="J85" s="8"/>
      <c r="K85" s="8"/>
      <c r="L85" s="40"/>
      <c r="M85" s="88" t="s">
        <v>284</v>
      </c>
      <c r="N85" s="346">
        <v>63.124914000000004</v>
      </c>
      <c r="Q85" s="8"/>
      <c r="R85" s="40"/>
      <c r="S85" s="88" t="s">
        <v>284</v>
      </c>
      <c r="T85" s="346"/>
      <c r="W85" s="8"/>
      <c r="X85" s="40"/>
      <c r="Y85" s="88" t="s">
        <v>284</v>
      </c>
      <c r="Z85" s="346"/>
      <c r="AC85" s="8"/>
      <c r="AD85" s="40"/>
      <c r="AE85" s="88" t="s">
        <v>54</v>
      </c>
    </row>
    <row r="86" spans="1:31" s="44" customFormat="1" ht="15" x14ac:dyDescent="0.25">
      <c r="A86" s="88" t="s">
        <v>285</v>
      </c>
      <c r="B86" s="346">
        <v>7.6859487999999994</v>
      </c>
      <c r="E86" s="8"/>
      <c r="F86" s="86" t="s">
        <v>285</v>
      </c>
      <c r="G86" s="88" t="s">
        <v>285</v>
      </c>
      <c r="H86" s="346">
        <v>56.413240400000021</v>
      </c>
      <c r="I86" s="8"/>
      <c r="J86" s="8"/>
      <c r="K86" s="8"/>
      <c r="L86" s="40"/>
      <c r="M86" s="88" t="s">
        <v>285</v>
      </c>
      <c r="N86" s="346">
        <v>36.860078400000013</v>
      </c>
      <c r="Q86" s="8"/>
      <c r="R86" s="40"/>
      <c r="S86" s="88" t="s">
        <v>285</v>
      </c>
      <c r="T86" s="346"/>
      <c r="W86" s="8"/>
      <c r="X86" s="40"/>
      <c r="Y86" s="88" t="s">
        <v>285</v>
      </c>
      <c r="Z86" s="346"/>
      <c r="AC86" s="8"/>
      <c r="AD86" s="40"/>
      <c r="AE86" s="88" t="s">
        <v>47</v>
      </c>
    </row>
    <row r="87" spans="1:31" s="44" customFormat="1" ht="15" x14ac:dyDescent="0.25">
      <c r="A87" s="88" t="s">
        <v>286</v>
      </c>
      <c r="B87" s="346">
        <v>0</v>
      </c>
      <c r="E87" s="8"/>
      <c r="F87" s="86" t="s">
        <v>286</v>
      </c>
      <c r="G87" s="88" t="s">
        <v>286</v>
      </c>
      <c r="H87" s="346">
        <v>4.1271379999999995</v>
      </c>
      <c r="I87" s="8"/>
      <c r="J87" s="8"/>
      <c r="K87" s="8"/>
      <c r="L87" s="40"/>
      <c r="M87" s="88" t="s">
        <v>286</v>
      </c>
      <c r="N87" s="346">
        <v>7.902454399999999</v>
      </c>
      <c r="Q87" s="8"/>
      <c r="R87" s="40"/>
      <c r="S87" s="88" t="s">
        <v>286</v>
      </c>
      <c r="T87" s="346"/>
      <c r="W87" s="8"/>
      <c r="X87" s="40"/>
      <c r="Y87" s="88" t="s">
        <v>286</v>
      </c>
      <c r="Z87" s="346"/>
      <c r="AC87" s="8"/>
      <c r="AD87" s="40"/>
      <c r="AE87" s="88" t="s">
        <v>53</v>
      </c>
    </row>
    <row r="88" spans="1:31" s="44" customFormat="1" ht="15" x14ac:dyDescent="0.25">
      <c r="A88" s="88" t="s">
        <v>311</v>
      </c>
      <c r="B88" s="346">
        <v>147.39944999999997</v>
      </c>
      <c r="E88" s="8"/>
      <c r="F88" s="143" t="s">
        <v>311</v>
      </c>
      <c r="G88" s="88" t="s">
        <v>311</v>
      </c>
      <c r="H88" s="346">
        <v>158.80220999999992</v>
      </c>
      <c r="I88" s="8"/>
      <c r="J88" s="8"/>
      <c r="K88" s="8"/>
      <c r="L88" s="40"/>
      <c r="M88" s="88" t="s">
        <v>311</v>
      </c>
      <c r="N88" s="346">
        <v>131.76333</v>
      </c>
      <c r="Q88" s="8"/>
      <c r="R88" s="40"/>
      <c r="S88" s="88" t="s">
        <v>311</v>
      </c>
      <c r="T88" s="346"/>
      <c r="W88" s="8"/>
      <c r="X88" s="40"/>
      <c r="Y88" s="88" t="s">
        <v>311</v>
      </c>
      <c r="Z88" s="346"/>
      <c r="AC88" s="8"/>
      <c r="AD88" s="40"/>
      <c r="AE88" s="88" t="s">
        <v>182</v>
      </c>
    </row>
    <row r="89" spans="1:31" s="44" customFormat="1" ht="15" x14ac:dyDescent="0.25">
      <c r="A89" s="88" t="s">
        <v>287</v>
      </c>
      <c r="B89" s="346"/>
      <c r="E89" s="8"/>
      <c r="F89" s="86" t="s">
        <v>287</v>
      </c>
      <c r="G89" s="88" t="s">
        <v>287</v>
      </c>
      <c r="H89" s="346"/>
      <c r="I89" s="8"/>
      <c r="J89" s="8"/>
      <c r="K89" s="8"/>
      <c r="L89" s="40"/>
      <c r="M89" s="88" t="s">
        <v>287</v>
      </c>
      <c r="N89" s="346">
        <v>0</v>
      </c>
      <c r="Q89" s="8"/>
      <c r="R89" s="40"/>
      <c r="S89" s="88" t="s">
        <v>287</v>
      </c>
      <c r="T89" s="346"/>
      <c r="W89" s="8"/>
      <c r="X89" s="40"/>
      <c r="Y89" s="88" t="s">
        <v>287</v>
      </c>
      <c r="Z89" s="346"/>
      <c r="AC89" s="8"/>
      <c r="AD89" s="40"/>
      <c r="AE89" s="88" t="s">
        <v>183</v>
      </c>
    </row>
    <row r="90" spans="1:31" s="44" customFormat="1" ht="15" x14ac:dyDescent="0.25">
      <c r="A90" s="88" t="s">
        <v>288</v>
      </c>
      <c r="B90" s="346">
        <v>61.479630000000036</v>
      </c>
      <c r="E90" s="8"/>
      <c r="F90" s="86" t="s">
        <v>288</v>
      </c>
      <c r="G90" s="88" t="s">
        <v>288</v>
      </c>
      <c r="H90" s="346">
        <v>94.725621000000089</v>
      </c>
      <c r="I90" s="8"/>
      <c r="J90" s="8"/>
      <c r="K90" s="8"/>
      <c r="L90" s="40"/>
      <c r="M90" s="88" t="s">
        <v>288</v>
      </c>
      <c r="N90" s="346">
        <v>60.57897300000004</v>
      </c>
      <c r="Q90" s="8"/>
      <c r="R90" s="40"/>
      <c r="S90" s="88" t="s">
        <v>288</v>
      </c>
      <c r="T90" s="346"/>
      <c r="W90" s="8"/>
      <c r="X90" s="40"/>
      <c r="Y90" s="88" t="s">
        <v>288</v>
      </c>
      <c r="Z90" s="346"/>
      <c r="AC90" s="8"/>
      <c r="AD90" s="40"/>
      <c r="AE90" s="88" t="s">
        <v>184</v>
      </c>
    </row>
    <row r="91" spans="1:31" s="44" customFormat="1" ht="15" x14ac:dyDescent="0.25">
      <c r="A91" s="88" t="s">
        <v>289</v>
      </c>
      <c r="B91" s="346">
        <v>1.9214871999999998</v>
      </c>
      <c r="E91" s="8"/>
      <c r="F91" s="86" t="s">
        <v>289</v>
      </c>
      <c r="G91" s="88" t="s">
        <v>289</v>
      </c>
      <c r="H91" s="346">
        <v>4.1271379999999995</v>
      </c>
      <c r="I91" s="8"/>
      <c r="J91" s="8"/>
      <c r="K91" s="8"/>
      <c r="L91" s="40"/>
      <c r="M91" s="88" t="s">
        <v>289</v>
      </c>
      <c r="N91" s="346">
        <v>13.139183600000001</v>
      </c>
      <c r="Q91" s="8"/>
      <c r="R91" s="40"/>
      <c r="S91" s="88" t="s">
        <v>289</v>
      </c>
      <c r="T91" s="346"/>
      <c r="W91" s="8"/>
      <c r="X91" s="40"/>
      <c r="Y91" s="88" t="s">
        <v>289</v>
      </c>
      <c r="Z91" s="346"/>
      <c r="AC91" s="8"/>
      <c r="AD91" s="40"/>
      <c r="AE91" s="88" t="s">
        <v>52</v>
      </c>
    </row>
    <row r="92" spans="1:31" s="44" customFormat="1" ht="15" x14ac:dyDescent="0.25">
      <c r="A92" s="88" t="s">
        <v>290</v>
      </c>
      <c r="B92" s="346">
        <v>0.96074359999999992</v>
      </c>
      <c r="E92" s="8"/>
      <c r="F92" s="86" t="s">
        <v>290</v>
      </c>
      <c r="G92" s="88" t="s">
        <v>290</v>
      </c>
      <c r="H92" s="346">
        <v>0.96074359999999992</v>
      </c>
      <c r="I92" s="8"/>
      <c r="J92" s="8"/>
      <c r="K92" s="8"/>
      <c r="L92" s="40"/>
      <c r="M92" s="88" t="s">
        <v>290</v>
      </c>
      <c r="N92" s="346">
        <v>27.320300400000001</v>
      </c>
      <c r="Q92" s="8"/>
      <c r="R92" s="40"/>
      <c r="S92" s="88" t="s">
        <v>290</v>
      </c>
      <c r="T92" s="346"/>
      <c r="W92" s="8"/>
      <c r="X92" s="40"/>
      <c r="Y92" s="88" t="s">
        <v>290</v>
      </c>
      <c r="Z92" s="346"/>
      <c r="AC92" s="8"/>
      <c r="AD92" s="40"/>
      <c r="AE92" s="88" t="s">
        <v>90</v>
      </c>
    </row>
    <row r="93" spans="1:31" s="44" customFormat="1" ht="15" x14ac:dyDescent="0.25">
      <c r="A93" s="88" t="s">
        <v>291</v>
      </c>
      <c r="B93" s="346">
        <v>106.2306851999999</v>
      </c>
      <c r="E93" s="8"/>
      <c r="F93" s="86" t="s">
        <v>291</v>
      </c>
      <c r="G93" s="88" t="s">
        <v>291</v>
      </c>
      <c r="H93" s="346">
        <v>108.26490119999991</v>
      </c>
      <c r="I93" s="8"/>
      <c r="J93" s="8"/>
      <c r="K93" s="8"/>
      <c r="L93" s="40"/>
      <c r="M93" s="88" t="s">
        <v>291</v>
      </c>
      <c r="N93" s="346">
        <v>122.54902319999991</v>
      </c>
      <c r="Q93" s="8"/>
      <c r="R93" s="40"/>
      <c r="S93" s="88" t="s">
        <v>291</v>
      </c>
      <c r="T93" s="346"/>
      <c r="W93" s="8"/>
      <c r="X93" s="40"/>
      <c r="Y93" s="88" t="s">
        <v>291</v>
      </c>
      <c r="Z93" s="346"/>
      <c r="AC93" s="8"/>
      <c r="AD93" s="40"/>
      <c r="AE93" s="88" t="s">
        <v>185</v>
      </c>
    </row>
    <row r="94" spans="1:31" s="44" customFormat="1" ht="15" x14ac:dyDescent="0.25">
      <c r="A94" s="88" t="s">
        <v>292</v>
      </c>
      <c r="B94" s="346">
        <v>125.31614759999991</v>
      </c>
      <c r="E94" s="8"/>
      <c r="F94" s="86" t="s">
        <v>292</v>
      </c>
      <c r="G94" s="88" t="s">
        <v>292</v>
      </c>
      <c r="H94" s="346">
        <v>110.01190800000001</v>
      </c>
      <c r="I94" s="8"/>
      <c r="J94" s="8"/>
      <c r="K94" s="8"/>
      <c r="L94" s="40"/>
      <c r="M94" s="88" t="s">
        <v>292</v>
      </c>
      <c r="N94" s="346">
        <v>141.58113079999973</v>
      </c>
      <c r="Q94" s="8"/>
      <c r="R94" s="40"/>
      <c r="S94" s="88" t="s">
        <v>292</v>
      </c>
      <c r="T94" s="346"/>
      <c r="W94" s="8"/>
      <c r="X94" s="40"/>
      <c r="Y94" s="88" t="s">
        <v>292</v>
      </c>
      <c r="Z94" s="346"/>
      <c r="AC94" s="8"/>
      <c r="AD94" s="40"/>
      <c r="AE94" s="88" t="s">
        <v>48</v>
      </c>
    </row>
    <row r="95" spans="1:31" s="44" customFormat="1" ht="15" x14ac:dyDescent="0.25">
      <c r="A95" s="88" t="s">
        <v>293</v>
      </c>
      <c r="B95" s="346">
        <v>0</v>
      </c>
      <c r="E95" s="8"/>
      <c r="F95" s="86" t="s">
        <v>293</v>
      </c>
      <c r="G95" s="88" t="s">
        <v>293</v>
      </c>
      <c r="H95" s="346">
        <v>0</v>
      </c>
      <c r="I95" s="8"/>
      <c r="J95" s="8"/>
      <c r="K95" s="8"/>
      <c r="L95" s="40"/>
      <c r="M95" s="88" t="s">
        <v>293</v>
      </c>
      <c r="N95" s="346">
        <v>0.62</v>
      </c>
      <c r="Q95" s="8"/>
      <c r="R95" s="40"/>
      <c r="S95" s="88" t="s">
        <v>293</v>
      </c>
      <c r="T95" s="346"/>
      <c r="W95" s="8"/>
      <c r="X95" s="40"/>
      <c r="Y95" s="88" t="s">
        <v>293</v>
      </c>
      <c r="Z95" s="346"/>
      <c r="AC95" s="8"/>
      <c r="AD95" s="40"/>
      <c r="AE95" s="88" t="s">
        <v>186</v>
      </c>
    </row>
    <row r="96" spans="1:31" s="44" customFormat="1" ht="15" x14ac:dyDescent="0.25">
      <c r="A96" s="88" t="s">
        <v>294</v>
      </c>
      <c r="B96" s="346"/>
      <c r="E96" s="8"/>
      <c r="F96" s="86" t="s">
        <v>294</v>
      </c>
      <c r="G96" s="88" t="s">
        <v>294</v>
      </c>
      <c r="H96" s="346"/>
      <c r="I96" s="8"/>
      <c r="J96" s="8"/>
      <c r="K96" s="8"/>
      <c r="L96" s="40"/>
      <c r="M96" s="88" t="s">
        <v>294</v>
      </c>
      <c r="N96" s="346">
        <v>0</v>
      </c>
      <c r="Q96" s="8"/>
      <c r="R96" s="40"/>
      <c r="S96" s="88" t="s">
        <v>294</v>
      </c>
      <c r="T96" s="346"/>
      <c r="W96" s="8"/>
      <c r="X96" s="40"/>
      <c r="Y96" s="88" t="s">
        <v>294</v>
      </c>
      <c r="Z96" s="346"/>
      <c r="AC96" s="8"/>
      <c r="AD96" s="40"/>
      <c r="AE96" s="88" t="s">
        <v>187</v>
      </c>
    </row>
    <row r="97" spans="1:31" s="44" customFormat="1" ht="15" x14ac:dyDescent="0.25">
      <c r="A97" s="88" t="s">
        <v>295</v>
      </c>
      <c r="B97" s="346">
        <v>140.87748759999971</v>
      </c>
      <c r="E97" s="8"/>
      <c r="F97" s="86" t="s">
        <v>295</v>
      </c>
      <c r="G97" s="88" t="s">
        <v>295</v>
      </c>
      <c r="H97" s="346">
        <v>66.50781400000001</v>
      </c>
      <c r="I97" s="8"/>
      <c r="J97" s="8"/>
      <c r="K97" s="8"/>
      <c r="L97" s="40"/>
      <c r="M97" s="88" t="s">
        <v>295</v>
      </c>
      <c r="N97" s="346">
        <v>97.413988400000022</v>
      </c>
      <c r="Q97" s="8"/>
      <c r="R97" s="40"/>
      <c r="S97" s="88" t="s">
        <v>295</v>
      </c>
      <c r="T97" s="346"/>
      <c r="W97" s="8"/>
      <c r="X97" s="40"/>
      <c r="Y97" s="88" t="s">
        <v>295</v>
      </c>
      <c r="Z97" s="346"/>
      <c r="AC97" s="8"/>
      <c r="AD97" s="40"/>
      <c r="AE97" s="88" t="s">
        <v>49</v>
      </c>
    </row>
    <row r="98" spans="1:31" s="44" customFormat="1" ht="15" x14ac:dyDescent="0.25">
      <c r="A98" s="88" t="s">
        <v>296</v>
      </c>
      <c r="B98" s="346">
        <v>476.70473639999892</v>
      </c>
      <c r="E98" s="8"/>
      <c r="F98" s="86" t="s">
        <v>296</v>
      </c>
      <c r="G98" s="88" t="s">
        <v>296</v>
      </c>
      <c r="H98" s="346">
        <v>437.67960199999936</v>
      </c>
      <c r="I98" s="8"/>
      <c r="J98" s="8"/>
      <c r="K98" s="8"/>
      <c r="L98" s="40"/>
      <c r="M98" s="88" t="s">
        <v>296</v>
      </c>
      <c r="N98" s="346">
        <v>399.9670327999998</v>
      </c>
      <c r="Q98" s="8"/>
      <c r="R98" s="40"/>
      <c r="S98" s="88" t="s">
        <v>296</v>
      </c>
      <c r="T98" s="346"/>
      <c r="W98" s="8"/>
      <c r="X98" s="40"/>
      <c r="Y98" s="88" t="s">
        <v>296</v>
      </c>
      <c r="Z98" s="346"/>
      <c r="AC98" s="8"/>
      <c r="AD98" s="40"/>
      <c r="AE98" s="88" t="s">
        <v>50</v>
      </c>
    </row>
    <row r="99" spans="1:31" s="44" customFormat="1" ht="15" x14ac:dyDescent="0.25">
      <c r="A99" s="88" t="s">
        <v>297</v>
      </c>
      <c r="B99" s="346">
        <v>20.128680000000003</v>
      </c>
      <c r="E99" s="8"/>
      <c r="F99" s="86" t="s">
        <v>297</v>
      </c>
      <c r="G99" s="88" t="s">
        <v>297</v>
      </c>
      <c r="H99" s="346">
        <v>9.7025500000000005</v>
      </c>
      <c r="I99" s="8"/>
      <c r="J99" s="8"/>
      <c r="K99" s="8"/>
      <c r="L99" s="40"/>
      <c r="M99" s="88" t="s">
        <v>297</v>
      </c>
      <c r="N99" s="346">
        <v>44.500170000000004</v>
      </c>
      <c r="Q99" s="8"/>
      <c r="R99" s="40"/>
      <c r="S99" s="88" t="s">
        <v>297</v>
      </c>
      <c r="T99" s="346"/>
      <c r="W99" s="8"/>
      <c r="X99" s="40"/>
      <c r="Y99" s="88" t="s">
        <v>297</v>
      </c>
      <c r="Z99" s="346"/>
      <c r="AC99" s="8"/>
      <c r="AD99" s="40"/>
      <c r="AE99" s="88" t="s">
        <v>188</v>
      </c>
    </row>
    <row r="100" spans="1:31" s="44" customFormat="1" ht="15" x14ac:dyDescent="0.25">
      <c r="A100" s="88" t="s">
        <v>298</v>
      </c>
      <c r="B100" s="346"/>
      <c r="E100" s="8"/>
      <c r="F100" s="86" t="s">
        <v>298</v>
      </c>
      <c r="G100" s="88" t="s">
        <v>298</v>
      </c>
      <c r="H100" s="346"/>
      <c r="I100" s="8"/>
      <c r="J100" s="8"/>
      <c r="K100" s="8"/>
      <c r="L100" s="40"/>
      <c r="M100" s="88" t="s">
        <v>298</v>
      </c>
      <c r="N100" s="346">
        <v>0</v>
      </c>
      <c r="Q100" s="8"/>
      <c r="R100" s="40"/>
      <c r="S100" s="88" t="s">
        <v>298</v>
      </c>
      <c r="T100" s="346"/>
      <c r="W100" s="8"/>
      <c r="X100" s="40"/>
      <c r="Y100" s="88" t="s">
        <v>298</v>
      </c>
      <c r="Z100" s="346"/>
      <c r="AC100" s="8"/>
      <c r="AD100" s="40"/>
      <c r="AE100" s="88" t="s">
        <v>189</v>
      </c>
    </row>
    <row r="101" spans="1:31" s="44" customFormat="1" ht="15" x14ac:dyDescent="0.25">
      <c r="A101" s="88" t="s">
        <v>299</v>
      </c>
      <c r="B101" s="346">
        <v>50.05999999999996</v>
      </c>
      <c r="E101" s="8"/>
      <c r="F101" s="86" t="s">
        <v>299</v>
      </c>
      <c r="G101" s="88" t="s">
        <v>299</v>
      </c>
      <c r="H101" s="346">
        <v>23.840000000000007</v>
      </c>
      <c r="I101" s="8"/>
      <c r="J101" s="8"/>
      <c r="K101" s="8"/>
      <c r="L101" s="40"/>
      <c r="M101" s="88" t="s">
        <v>299</v>
      </c>
      <c r="N101" s="346">
        <v>37.140000000000008</v>
      </c>
      <c r="Q101" s="8"/>
      <c r="R101" s="40"/>
      <c r="S101" s="88" t="s">
        <v>299</v>
      </c>
      <c r="T101" s="346"/>
      <c r="W101" s="8"/>
      <c r="X101" s="40"/>
      <c r="Y101" s="88" t="s">
        <v>299</v>
      </c>
      <c r="Z101" s="346"/>
      <c r="AC101" s="8"/>
      <c r="AD101" s="40"/>
      <c r="AE101" s="88" t="s">
        <v>190</v>
      </c>
    </row>
    <row r="102" spans="1:31" s="44" customFormat="1" ht="15" x14ac:dyDescent="0.25">
      <c r="A102" s="88" t="s">
        <v>300</v>
      </c>
      <c r="B102" s="346">
        <v>0</v>
      </c>
      <c r="E102" s="8"/>
      <c r="F102" s="86" t="s">
        <v>300</v>
      </c>
      <c r="G102" s="88" t="s">
        <v>300</v>
      </c>
      <c r="H102" s="346">
        <v>0</v>
      </c>
      <c r="I102" s="8"/>
      <c r="J102" s="8"/>
      <c r="K102" s="8"/>
      <c r="L102" s="40"/>
      <c r="M102" s="88" t="s">
        <v>300</v>
      </c>
      <c r="N102" s="346">
        <v>1.83</v>
      </c>
      <c r="Q102" s="8"/>
      <c r="R102" s="40"/>
      <c r="S102" s="88" t="s">
        <v>300</v>
      </c>
      <c r="T102" s="346"/>
      <c r="W102" s="8"/>
      <c r="X102" s="40"/>
      <c r="Y102" s="88" t="s">
        <v>300</v>
      </c>
      <c r="Z102" s="346"/>
      <c r="AC102" s="8"/>
      <c r="AD102" s="40"/>
      <c r="AE102" s="88" t="s">
        <v>191</v>
      </c>
    </row>
    <row r="103" spans="1:31" s="44" customFormat="1" ht="15" x14ac:dyDescent="0.25">
      <c r="A103" s="88" t="s">
        <v>301</v>
      </c>
      <c r="B103" s="346">
        <v>36.072163999999944</v>
      </c>
      <c r="E103" s="8"/>
      <c r="F103" s="86" t="s">
        <v>301</v>
      </c>
      <c r="G103" s="88" t="s">
        <v>301</v>
      </c>
      <c r="H103" s="346">
        <v>47.91247699999996</v>
      </c>
      <c r="I103" s="8"/>
      <c r="J103" s="8"/>
      <c r="K103" s="8"/>
      <c r="L103" s="40"/>
      <c r="M103" s="88" t="s">
        <v>301</v>
      </c>
      <c r="N103" s="346">
        <v>26.039868999999989</v>
      </c>
      <c r="Q103" s="8"/>
      <c r="R103" s="40"/>
      <c r="S103" s="88" t="s">
        <v>301</v>
      </c>
      <c r="T103" s="346"/>
      <c r="W103" s="8"/>
      <c r="X103" s="40"/>
      <c r="Y103" s="88" t="s">
        <v>301</v>
      </c>
      <c r="Z103" s="346"/>
      <c r="AC103" s="8"/>
      <c r="AD103" s="40"/>
      <c r="AE103" s="88" t="s">
        <v>192</v>
      </c>
    </row>
    <row r="104" spans="1:31" s="44" customFormat="1" ht="15" x14ac:dyDescent="0.25">
      <c r="A104" s="88" t="s">
        <v>302</v>
      </c>
      <c r="B104" s="346"/>
      <c r="E104" s="8"/>
      <c r="F104" s="86" t="s">
        <v>302</v>
      </c>
      <c r="G104" s="88" t="s">
        <v>302</v>
      </c>
      <c r="H104" s="346"/>
      <c r="I104" s="8"/>
      <c r="J104" s="8"/>
      <c r="K104" s="8"/>
      <c r="L104" s="40"/>
      <c r="M104" s="88" t="s">
        <v>302</v>
      </c>
      <c r="N104" s="346">
        <v>0</v>
      </c>
      <c r="Q104" s="8"/>
      <c r="R104" s="40"/>
      <c r="S104" s="88" t="s">
        <v>302</v>
      </c>
      <c r="T104" s="346"/>
      <c r="W104" s="8"/>
      <c r="X104" s="40"/>
      <c r="Y104" s="88" t="s">
        <v>302</v>
      </c>
      <c r="Z104" s="346"/>
      <c r="AC104" s="8"/>
      <c r="AD104" s="40"/>
      <c r="AE104" s="88" t="s">
        <v>193</v>
      </c>
    </row>
    <row r="105" spans="1:31" s="44" customFormat="1" ht="15" x14ac:dyDescent="0.25">
      <c r="A105" s="88" t="s">
        <v>303</v>
      </c>
      <c r="B105" s="346">
        <v>0</v>
      </c>
      <c r="E105" s="8"/>
      <c r="F105" s="86" t="s">
        <v>303</v>
      </c>
      <c r="G105" s="88" t="s">
        <v>303</v>
      </c>
      <c r="H105" s="346">
        <v>0</v>
      </c>
      <c r="I105" s="8"/>
      <c r="J105" s="8"/>
      <c r="K105" s="8"/>
      <c r="L105" s="40"/>
      <c r="M105" s="88" t="s">
        <v>303</v>
      </c>
      <c r="N105" s="346">
        <v>0</v>
      </c>
      <c r="Q105" s="8"/>
      <c r="R105" s="40"/>
      <c r="S105" s="88" t="s">
        <v>303</v>
      </c>
      <c r="T105" s="346"/>
      <c r="W105" s="8"/>
      <c r="X105" s="40"/>
      <c r="Y105" s="88" t="s">
        <v>303</v>
      </c>
      <c r="Z105" s="346"/>
      <c r="AC105" s="8"/>
      <c r="AD105" s="40"/>
      <c r="AE105" s="88" t="s">
        <v>194</v>
      </c>
    </row>
    <row r="106" spans="1:31" s="44" customFormat="1" ht="15" x14ac:dyDescent="0.25">
      <c r="A106" s="88" t="s">
        <v>304</v>
      </c>
      <c r="B106" s="346">
        <v>2.58</v>
      </c>
      <c r="E106" s="8"/>
      <c r="F106" s="86" t="s">
        <v>304</v>
      </c>
      <c r="G106" s="88" t="s">
        <v>304</v>
      </c>
      <c r="H106" s="346">
        <v>1.2</v>
      </c>
      <c r="I106" s="8"/>
      <c r="J106" s="8"/>
      <c r="K106" s="8"/>
      <c r="L106" s="40"/>
      <c r="M106" s="88" t="s">
        <v>304</v>
      </c>
      <c r="N106" s="346">
        <v>0.6</v>
      </c>
      <c r="Q106" s="8"/>
      <c r="R106" s="40"/>
      <c r="S106" s="88" t="s">
        <v>304</v>
      </c>
      <c r="T106" s="346"/>
      <c r="W106" s="8"/>
      <c r="X106" s="40"/>
      <c r="Y106" s="88" t="s">
        <v>304</v>
      </c>
      <c r="Z106" s="346"/>
      <c r="AC106" s="8"/>
      <c r="AD106" s="40"/>
      <c r="AE106" s="88" t="s">
        <v>195</v>
      </c>
    </row>
    <row r="107" spans="1:31" s="44" customFormat="1" ht="15" x14ac:dyDescent="0.25">
      <c r="A107" s="88" t="s">
        <v>305</v>
      </c>
      <c r="B107" s="346">
        <v>3944.5425896000643</v>
      </c>
      <c r="E107" s="8"/>
      <c r="F107" s="86" t="s">
        <v>305</v>
      </c>
      <c r="G107" s="88" t="s">
        <v>305</v>
      </c>
      <c r="H107" s="346">
        <v>3593.4787592000512</v>
      </c>
      <c r="I107" s="8"/>
      <c r="J107" s="8"/>
      <c r="K107" s="8"/>
      <c r="L107" s="40"/>
      <c r="M107" s="88" t="s">
        <v>305</v>
      </c>
      <c r="N107" s="346">
        <v>3542.2210584000572</v>
      </c>
      <c r="Q107" s="8"/>
      <c r="R107" s="40"/>
      <c r="S107" s="88" t="s">
        <v>305</v>
      </c>
      <c r="T107" s="346"/>
      <c r="W107" s="8"/>
      <c r="X107" s="40"/>
      <c r="Y107" s="88" t="s">
        <v>305</v>
      </c>
      <c r="Z107" s="346"/>
      <c r="AC107" s="8"/>
      <c r="AD107" s="40"/>
      <c r="AE107" s="88" t="s">
        <v>72</v>
      </c>
    </row>
    <row r="108" spans="1:31" s="44" customFormat="1" ht="15" x14ac:dyDescent="0.25">
      <c r="A108" s="88" t="s">
        <v>51</v>
      </c>
      <c r="B108" s="346">
        <v>23466.790000002926</v>
      </c>
      <c r="E108" s="8"/>
      <c r="F108" s="86" t="s">
        <v>51</v>
      </c>
      <c r="G108" s="88" t="s">
        <v>51</v>
      </c>
      <c r="H108" s="346">
        <v>24724.040000003009</v>
      </c>
      <c r="I108" s="8"/>
      <c r="J108" s="8"/>
      <c r="K108" s="8"/>
      <c r="L108" s="40"/>
      <c r="M108" s="88" t="s">
        <v>51</v>
      </c>
      <c r="N108" s="346">
        <v>24182.450000002646</v>
      </c>
      <c r="Q108" s="8"/>
      <c r="R108" s="40"/>
      <c r="S108" s="88" t="s">
        <v>51</v>
      </c>
      <c r="T108" s="346"/>
      <c r="W108" s="8"/>
      <c r="X108" s="40"/>
      <c r="Y108" s="88" t="s">
        <v>51</v>
      </c>
      <c r="Z108" s="346"/>
      <c r="AC108" s="8"/>
      <c r="AD108" s="40"/>
      <c r="AE108" s="88" t="s">
        <v>201</v>
      </c>
    </row>
    <row r="109" spans="1:31" s="44" customFormat="1" ht="15" x14ac:dyDescent="0.25">
      <c r="A109" s="88" t="s">
        <v>306</v>
      </c>
      <c r="B109" s="346"/>
      <c r="E109" s="8"/>
      <c r="F109" s="86" t="s">
        <v>306</v>
      </c>
      <c r="G109" s="88" t="s">
        <v>306</v>
      </c>
      <c r="H109" s="346"/>
      <c r="I109" s="8"/>
      <c r="J109" s="8"/>
      <c r="K109" s="8"/>
      <c r="L109" s="40"/>
      <c r="M109" s="88" t="s">
        <v>306</v>
      </c>
      <c r="N109" s="346">
        <v>0</v>
      </c>
      <c r="Q109" s="8"/>
      <c r="R109" s="40"/>
      <c r="S109" s="88" t="s">
        <v>306</v>
      </c>
      <c r="T109" s="346"/>
      <c r="W109" s="8"/>
      <c r="X109" s="40"/>
      <c r="Y109" s="88" t="s">
        <v>306</v>
      </c>
      <c r="Z109" s="346"/>
      <c r="AC109" s="8"/>
      <c r="AD109" s="40"/>
      <c r="AE109" s="88" t="s">
        <v>196</v>
      </c>
    </row>
    <row r="110" spans="1:31" s="44" customFormat="1" ht="15" x14ac:dyDescent="0.25">
      <c r="A110" s="88" t="s">
        <v>307</v>
      </c>
      <c r="B110" s="346">
        <v>0</v>
      </c>
      <c r="E110" s="8"/>
      <c r="F110" s="86" t="s">
        <v>307</v>
      </c>
      <c r="G110" s="88" t="s">
        <v>307</v>
      </c>
      <c r="H110" s="346">
        <v>0</v>
      </c>
      <c r="I110" s="8"/>
      <c r="J110" s="8"/>
      <c r="K110" s="8"/>
      <c r="L110" s="40"/>
      <c r="M110" s="88" t="s">
        <v>307</v>
      </c>
      <c r="N110" s="346">
        <v>1.22</v>
      </c>
      <c r="Q110" s="8"/>
      <c r="R110" s="40"/>
      <c r="S110" s="88" t="s">
        <v>307</v>
      </c>
      <c r="T110" s="346"/>
      <c r="W110" s="8"/>
      <c r="X110" s="40"/>
      <c r="Y110" s="88" t="s">
        <v>307</v>
      </c>
      <c r="Z110" s="346"/>
      <c r="AC110" s="8"/>
      <c r="AD110" s="40"/>
      <c r="AE110" s="88" t="s">
        <v>197</v>
      </c>
    </row>
    <row r="111" spans="1:31" s="44" customFormat="1" ht="15" x14ac:dyDescent="0.25">
      <c r="A111" s="88" t="s">
        <v>308</v>
      </c>
      <c r="B111" s="346">
        <v>0</v>
      </c>
      <c r="E111" s="8"/>
      <c r="F111" s="86" t="s">
        <v>308</v>
      </c>
      <c r="G111" s="88" t="s">
        <v>308</v>
      </c>
      <c r="H111" s="346">
        <v>1.8599999999999999</v>
      </c>
      <c r="I111" s="8"/>
      <c r="J111" s="8"/>
      <c r="K111" s="8"/>
      <c r="L111" s="40"/>
      <c r="M111" s="88" t="s">
        <v>308</v>
      </c>
      <c r="N111" s="346">
        <v>3.72</v>
      </c>
      <c r="Q111" s="8"/>
      <c r="R111" s="40"/>
      <c r="S111" s="88" t="s">
        <v>308</v>
      </c>
      <c r="T111" s="346"/>
      <c r="W111" s="8"/>
      <c r="X111" s="40"/>
      <c r="Y111" s="88" t="s">
        <v>308</v>
      </c>
      <c r="Z111" s="346"/>
      <c r="AC111" s="8"/>
      <c r="AD111" s="40"/>
      <c r="AE111" s="88" t="s">
        <v>198</v>
      </c>
    </row>
    <row r="112" spans="1:31" s="44" customFormat="1" ht="15" x14ac:dyDescent="0.25">
      <c r="A112" s="88" t="s">
        <v>310</v>
      </c>
      <c r="B112" s="346"/>
      <c r="E112" s="8"/>
      <c r="F112" s="44" t="s">
        <v>310</v>
      </c>
      <c r="G112" s="88" t="s">
        <v>310</v>
      </c>
      <c r="H112" s="346"/>
      <c r="I112" s="8"/>
      <c r="J112" s="8"/>
      <c r="K112" s="8"/>
      <c r="L112" s="40"/>
      <c r="M112" s="88" t="s">
        <v>310</v>
      </c>
      <c r="N112" s="346">
        <v>0</v>
      </c>
      <c r="Q112" s="8"/>
      <c r="R112" s="40"/>
      <c r="S112" s="88" t="s">
        <v>310</v>
      </c>
      <c r="T112" s="346"/>
      <c r="W112" s="8"/>
      <c r="X112" s="40"/>
      <c r="Y112" s="88" t="s">
        <v>310</v>
      </c>
      <c r="Z112" s="346"/>
      <c r="AC112" s="8"/>
      <c r="AD112" s="40"/>
      <c r="AE112" s="88" t="s">
        <v>199</v>
      </c>
    </row>
    <row r="113" spans="1:31" s="44" customFormat="1" ht="15" x14ac:dyDescent="0.25">
      <c r="A113" s="88" t="s">
        <v>309</v>
      </c>
      <c r="B113" s="346">
        <v>0</v>
      </c>
      <c r="E113" s="8"/>
      <c r="F113" s="86" t="s">
        <v>309</v>
      </c>
      <c r="G113" s="88" t="s">
        <v>309</v>
      </c>
      <c r="H113" s="346">
        <v>0</v>
      </c>
      <c r="I113" s="8"/>
      <c r="J113" s="8"/>
      <c r="K113" s="8"/>
      <c r="L113" s="40"/>
      <c r="M113" s="88" t="s">
        <v>309</v>
      </c>
      <c r="N113" s="346">
        <v>0</v>
      </c>
      <c r="Q113" s="8"/>
      <c r="R113" s="40"/>
      <c r="S113" s="88" t="s">
        <v>309</v>
      </c>
      <c r="T113" s="346"/>
      <c r="W113" s="8"/>
      <c r="X113" s="40"/>
      <c r="Y113" s="88" t="s">
        <v>309</v>
      </c>
      <c r="Z113" s="346"/>
      <c r="AC113" s="8"/>
      <c r="AD113" s="40"/>
      <c r="AE113" s="88" t="s">
        <v>200</v>
      </c>
    </row>
    <row r="114" spans="1:31" s="44" customFormat="1" ht="15" x14ac:dyDescent="0.25">
      <c r="A114" s="89" t="s">
        <v>21</v>
      </c>
      <c r="B114" s="118">
        <f>SUM(B2:B113)</f>
        <v>40406.48209880291</v>
      </c>
      <c r="C114" s="118">
        <f>SUM(C2:C113)</f>
        <v>0</v>
      </c>
      <c r="D114" s="118">
        <f>SUM(D2:D113)</f>
        <v>0</v>
      </c>
      <c r="E114" s="8">
        <f>IF(C114 &gt; 0, C114/B114, 0)</f>
        <v>0</v>
      </c>
      <c r="F114" s="40"/>
      <c r="G114" s="91" t="s">
        <v>21</v>
      </c>
      <c r="H114" s="118">
        <f>SUM(H2:H113)</f>
        <v>41346.955468602959</v>
      </c>
      <c r="I114" s="118">
        <f>SUM(I2:I113)</f>
        <v>0</v>
      </c>
      <c r="J114" s="118">
        <f>SUM(J2:J113)</f>
        <v>0</v>
      </c>
      <c r="K114" s="8">
        <f>IF(I114 &gt; 0, I114/H114, 0)</f>
        <v>0</v>
      </c>
      <c r="L114" s="40"/>
      <c r="M114" s="89" t="s">
        <v>21</v>
      </c>
      <c r="N114" s="118">
        <f>SUM(N2:N113)</f>
        <v>41377.375283002591</v>
      </c>
      <c r="O114" s="118">
        <f>SUM(O2:O113)</f>
        <v>0</v>
      </c>
      <c r="P114" s="118">
        <f>SUM(P2:P113)</f>
        <v>0</v>
      </c>
      <c r="Q114" s="8">
        <f>IF(O114 &gt; 0, O114/N114, 0)</f>
        <v>0</v>
      </c>
      <c r="R114" s="40"/>
      <c r="S114" s="89" t="s">
        <v>21</v>
      </c>
      <c r="T114" s="118">
        <f>SUM(T2:T113)</f>
        <v>0</v>
      </c>
      <c r="U114" s="118">
        <f>SUM(U2:U113)</f>
        <v>0</v>
      </c>
      <c r="V114" s="118">
        <f>SUM(V2:V113)</f>
        <v>0</v>
      </c>
      <c r="W114" s="8" t="e">
        <f>U114/T114</f>
        <v>#DIV/0!</v>
      </c>
      <c r="X114" s="40"/>
      <c r="Y114" s="14" t="s">
        <v>22</v>
      </c>
      <c r="Z114" s="118">
        <f>SUM(Z2:Z113)</f>
        <v>0</v>
      </c>
      <c r="AA114" s="118">
        <f>SUM(AA2:AA113)</f>
        <v>0</v>
      </c>
      <c r="AB114" s="118">
        <f>SUM(AB2:AB113)</f>
        <v>0</v>
      </c>
      <c r="AC114" s="8">
        <f>IF(AA114 &gt; 0, AA114/Z114, 0)</f>
        <v>0</v>
      </c>
      <c r="AD114" s="40"/>
    </row>
    <row r="115" spans="1:31" s="44" customFormat="1" ht="15" x14ac:dyDescent="0.25">
      <c r="A115" s="8"/>
      <c r="B115" s="8"/>
      <c r="C115" s="8"/>
      <c r="D115" s="8"/>
      <c r="E115" s="8"/>
      <c r="F115" s="40"/>
      <c r="G115" s="8"/>
      <c r="H115" s="8"/>
      <c r="I115" s="8"/>
      <c r="J115" s="8"/>
      <c r="K115" s="8"/>
      <c r="L115" s="40"/>
      <c r="M115" s="8"/>
      <c r="N115" s="8"/>
      <c r="O115" s="8"/>
      <c r="P115" s="8"/>
      <c r="Q115" s="8"/>
      <c r="R115" s="40"/>
      <c r="S115" s="8"/>
      <c r="T115" s="8"/>
      <c r="U115" s="8"/>
      <c r="V115" s="8"/>
      <c r="W115" s="8"/>
      <c r="X115" s="40"/>
      <c r="Y115" s="8"/>
      <c r="Z115" s="8"/>
      <c r="AA115" s="8"/>
      <c r="AB115" s="8"/>
      <c r="AC115" s="8"/>
      <c r="AD115" s="40"/>
    </row>
    <row r="116" spans="1:31" s="44" customFormat="1" ht="15" x14ac:dyDescent="0.25">
      <c r="A116" s="16" t="s">
        <v>9</v>
      </c>
      <c r="B116" s="17">
        <f>SUM(B22,B66,B108)</f>
        <v>26144.65123040292</v>
      </c>
      <c r="C116" s="17">
        <f>SUM(C22,C66,C108)</f>
        <v>0</v>
      </c>
      <c r="D116" s="17">
        <f>SUM(D22,D66,D108)</f>
        <v>0</v>
      </c>
      <c r="E116" s="18">
        <f>IF(C116 &gt; 0, C116/B116, 0)</f>
        <v>0</v>
      </c>
      <c r="F116" s="40"/>
      <c r="G116" s="16" t="s">
        <v>9</v>
      </c>
      <c r="H116" s="17">
        <f>SUM(H22,H66,H108)</f>
        <v>27773.358327402984</v>
      </c>
      <c r="I116" s="17">
        <f>SUM(I22,I66,I108)</f>
        <v>0</v>
      </c>
      <c r="J116" s="17">
        <f>SUM(J22,J66,J108)</f>
        <v>0</v>
      </c>
      <c r="K116" s="18">
        <f>IF(I116 &gt; 0, I116/H116, 0)</f>
        <v>0</v>
      </c>
      <c r="L116" s="40"/>
      <c r="M116" s="16" t="s">
        <v>9</v>
      </c>
      <c r="N116" s="17">
        <f>SUM(N22,N66,N108)</f>
        <v>27073.055935802637</v>
      </c>
      <c r="O116" s="17">
        <f>SUM(O22,O66,O108)</f>
        <v>0</v>
      </c>
      <c r="P116" s="17">
        <f>SUM(P22,P66,P108)</f>
        <v>0</v>
      </c>
      <c r="Q116" s="18">
        <f>IF(O116 &gt; 0, O116/N116, 0)</f>
        <v>0</v>
      </c>
      <c r="R116" s="40"/>
      <c r="S116" s="16" t="s">
        <v>9</v>
      </c>
      <c r="T116" s="17">
        <f>SUM(T22,T66,T108)</f>
        <v>0</v>
      </c>
      <c r="U116" s="17">
        <f>SUM(U22,U66,U108)</f>
        <v>0</v>
      </c>
      <c r="V116" s="17">
        <f>SUM(V22,V66,V108)</f>
        <v>0</v>
      </c>
      <c r="W116" s="18">
        <f>IF(U116 &gt; 0, U116/T116, 0)</f>
        <v>0</v>
      </c>
      <c r="X116" s="40"/>
      <c r="Y116" s="16" t="s">
        <v>9</v>
      </c>
      <c r="Z116" s="17">
        <f>SUM(Z22,Z66,Z108)</f>
        <v>0</v>
      </c>
      <c r="AA116" s="17">
        <f>SUM(AA22,AA66,AA108)</f>
        <v>0</v>
      </c>
      <c r="AB116" s="17">
        <f>SUM(AB22,AB66,AB108)</f>
        <v>0</v>
      </c>
      <c r="AC116" s="18">
        <f>IF(AA116 &gt; 0, AA116/Z116, 0)</f>
        <v>0</v>
      </c>
      <c r="AD116" s="40"/>
    </row>
    <row r="117" spans="1:31" s="44" customFormat="1" ht="15" x14ac:dyDescent="0.25">
      <c r="A117" s="8"/>
      <c r="B117" s="8"/>
      <c r="C117" s="8"/>
      <c r="D117" s="8"/>
      <c r="E117" s="8" t="str">
        <f>IF(C117 &gt; 0, C117/B117, "")</f>
        <v/>
      </c>
      <c r="F117" s="40"/>
      <c r="G117" s="8"/>
      <c r="H117" s="8"/>
      <c r="I117" s="8"/>
      <c r="J117" s="8"/>
      <c r="K117" s="8" t="str">
        <f>IF(I117 &gt; 0, I117/H117, "")</f>
        <v/>
      </c>
      <c r="L117" s="40"/>
      <c r="M117" s="8"/>
      <c r="N117" s="8"/>
      <c r="O117" s="8"/>
      <c r="P117" s="8"/>
      <c r="Q117" s="8" t="str">
        <f>IF(O117 &gt; 0, O117/N117, "")</f>
        <v/>
      </c>
      <c r="R117" s="40"/>
      <c r="S117" s="8"/>
      <c r="T117" s="8"/>
      <c r="U117" s="8"/>
      <c r="V117" s="8"/>
      <c r="W117" s="8" t="str">
        <f>IF(U117 &gt; 0, U117/T117, "")</f>
        <v/>
      </c>
      <c r="X117" s="40"/>
      <c r="Y117" s="8"/>
      <c r="Z117" s="8"/>
      <c r="AA117" s="8"/>
      <c r="AB117" s="8"/>
      <c r="AC117" s="8" t="str">
        <f>IF(AA117 &gt; 0, AA117/Z117, "")</f>
        <v/>
      </c>
      <c r="AD117" s="40"/>
    </row>
    <row r="118" spans="1:31" s="44" customFormat="1" ht="15" x14ac:dyDescent="0.25">
      <c r="A118" s="93" t="s">
        <v>23</v>
      </c>
      <c r="B118" s="20">
        <f>B107</f>
        <v>3944.5425896000643</v>
      </c>
      <c r="C118" s="20">
        <f>C107</f>
        <v>0</v>
      </c>
      <c r="D118" s="20">
        <f>D107</f>
        <v>0</v>
      </c>
      <c r="E118" s="8">
        <f t="shared" ref="E118:E125" si="5">IF(C118 &gt; 0, C118/B118, 0)</f>
        <v>0</v>
      </c>
      <c r="F118" s="40"/>
      <c r="G118" s="93" t="s">
        <v>23</v>
      </c>
      <c r="H118" s="20">
        <f>H107</f>
        <v>3593.4787592000512</v>
      </c>
      <c r="I118" s="20">
        <f>I107</f>
        <v>0</v>
      </c>
      <c r="J118" s="20">
        <f>J107</f>
        <v>0</v>
      </c>
      <c r="K118" s="8">
        <f t="shared" ref="K118:K125" si="6">IF(I118 &gt; 0, I118/H118, 0)</f>
        <v>0</v>
      </c>
      <c r="L118" s="40"/>
      <c r="M118" s="93" t="s">
        <v>23</v>
      </c>
      <c r="N118" s="20">
        <f>N107</f>
        <v>3542.2210584000572</v>
      </c>
      <c r="O118" s="20">
        <f>O107</f>
        <v>0</v>
      </c>
      <c r="P118" s="20">
        <f>P107</f>
        <v>0</v>
      </c>
      <c r="Q118" s="8">
        <f t="shared" ref="Q118:Q125" si="7">IF(O118 &gt; 0, O118/N118, 0)</f>
        <v>0</v>
      </c>
      <c r="R118" s="40"/>
      <c r="S118" s="93" t="s">
        <v>23</v>
      </c>
      <c r="T118" s="20">
        <f>T107</f>
        <v>0</v>
      </c>
      <c r="U118" s="20">
        <f>U107</f>
        <v>0</v>
      </c>
      <c r="V118" s="20">
        <f>V107</f>
        <v>0</v>
      </c>
      <c r="W118" s="8">
        <f t="shared" ref="W118:W125" si="8">IF(U118 &gt; 0, U118/T118, 0)</f>
        <v>0</v>
      </c>
      <c r="X118" s="40"/>
      <c r="Y118" s="93" t="s">
        <v>23</v>
      </c>
      <c r="Z118" s="20">
        <f>Z107</f>
        <v>0</v>
      </c>
      <c r="AA118" s="20">
        <f>AA107</f>
        <v>0</v>
      </c>
      <c r="AB118" s="20">
        <f>AB107</f>
        <v>0</v>
      </c>
      <c r="AC118" s="8">
        <f t="shared" ref="AC118:AC125" si="9">IF(AA118 &gt; 0, AA118/Z118, 0)</f>
        <v>0</v>
      </c>
      <c r="AD118" s="40"/>
    </row>
    <row r="119" spans="1:31" s="44" customFormat="1" ht="15" x14ac:dyDescent="0.25">
      <c r="A119" s="94" t="s">
        <v>93</v>
      </c>
      <c r="B119" s="20">
        <f>SUM(B12,B38,B61,B74)</f>
        <v>1219.5625131999973</v>
      </c>
      <c r="C119" s="20">
        <f>SUM(C12,C38,C61,C74)</f>
        <v>0</v>
      </c>
      <c r="D119" s="20">
        <f>SUM(D12,D38,D61,D74)</f>
        <v>0</v>
      </c>
      <c r="E119" s="8">
        <f t="shared" si="5"/>
        <v>0</v>
      </c>
      <c r="F119" s="40"/>
      <c r="G119" s="94" t="s">
        <v>93</v>
      </c>
      <c r="H119" s="20">
        <f>SUM(H12,H38,H61,H74)</f>
        <v>1044.5312671999984</v>
      </c>
      <c r="I119" s="20">
        <f>SUM(I12,I38,I61,I74)</f>
        <v>0</v>
      </c>
      <c r="J119" s="20">
        <f>SUM(J12,J38,J61,J74)</f>
        <v>0</v>
      </c>
      <c r="K119" s="8">
        <f t="shared" si="6"/>
        <v>0</v>
      </c>
      <c r="L119" s="40"/>
      <c r="M119" s="94" t="s">
        <v>93</v>
      </c>
      <c r="N119" s="20">
        <f>SUM(N12,N38,N61,N74)</f>
        <v>1084.1653235999981</v>
      </c>
      <c r="O119" s="20">
        <f>SUM(O12,O38,O61,O74)</f>
        <v>0</v>
      </c>
      <c r="P119" s="20">
        <f>SUM(P12,P38,P61,P74)</f>
        <v>0</v>
      </c>
      <c r="Q119" s="8">
        <f t="shared" si="7"/>
        <v>0</v>
      </c>
      <c r="R119" s="40"/>
      <c r="S119" s="94" t="s">
        <v>93</v>
      </c>
      <c r="T119" s="20">
        <f>SUM(T12,T38,T61,T74)</f>
        <v>0</v>
      </c>
      <c r="U119" s="20">
        <f>SUM(U12,U38,U61,U74)</f>
        <v>0</v>
      </c>
      <c r="V119" s="20">
        <f>SUM(V12,V38,V61,V74)</f>
        <v>0</v>
      </c>
      <c r="W119" s="8">
        <f t="shared" si="8"/>
        <v>0</v>
      </c>
      <c r="X119" s="40"/>
      <c r="Y119" s="94" t="s">
        <v>93</v>
      </c>
      <c r="Z119" s="20">
        <f>SUM(Z12,Z38,Z61,Z74)</f>
        <v>0</v>
      </c>
      <c r="AA119" s="20">
        <f>SUM(AA12,AA38,AA61,AA74)</f>
        <v>0</v>
      </c>
      <c r="AB119" s="20">
        <f>SUM(AB12,AB38,AB61,AB74)</f>
        <v>0</v>
      </c>
      <c r="AC119" s="8">
        <f t="shared" si="9"/>
        <v>0</v>
      </c>
      <c r="AD119" s="40"/>
    </row>
    <row r="120" spans="1:31" s="44" customFormat="1" ht="15" x14ac:dyDescent="0.25">
      <c r="A120" s="94" t="s">
        <v>87</v>
      </c>
      <c r="B120" s="20">
        <f>SUM(B7,B40,B98)</f>
        <v>1953.5841552000043</v>
      </c>
      <c r="C120" s="20">
        <f>SUM(C7,C40,C98)</f>
        <v>0</v>
      </c>
      <c r="D120" s="20">
        <f>SUM(D7,D40,D98)</f>
        <v>0</v>
      </c>
      <c r="E120" s="8">
        <f t="shared" si="5"/>
        <v>0</v>
      </c>
      <c r="F120" s="40"/>
      <c r="G120" s="94" t="s">
        <v>87</v>
      </c>
      <c r="H120" s="20">
        <f>SUM(H7,H40,H98)</f>
        <v>2001.2153872000063</v>
      </c>
      <c r="I120" s="20">
        <f>SUM(I7,I40,I98)</f>
        <v>0</v>
      </c>
      <c r="J120" s="20">
        <f>SUM(J7,J40,J98)</f>
        <v>0</v>
      </c>
      <c r="K120" s="8">
        <f t="shared" si="6"/>
        <v>0</v>
      </c>
      <c r="L120" s="40"/>
      <c r="M120" s="94" t="s">
        <v>87</v>
      </c>
      <c r="N120" s="20">
        <f>SUM(N7,N40,N98)</f>
        <v>1739.8390016000044</v>
      </c>
      <c r="O120" s="20">
        <f>SUM(O7,O40,O98)</f>
        <v>0</v>
      </c>
      <c r="P120" s="20">
        <f>SUM(P7,P40,P98)</f>
        <v>0</v>
      </c>
      <c r="Q120" s="8">
        <f t="shared" si="7"/>
        <v>0</v>
      </c>
      <c r="R120" s="40"/>
      <c r="S120" s="94" t="s">
        <v>87</v>
      </c>
      <c r="T120" s="20">
        <f>SUM(T7,T40,T98)</f>
        <v>0</v>
      </c>
      <c r="U120" s="20">
        <f>SUM(U7,U40,U98)</f>
        <v>0</v>
      </c>
      <c r="V120" s="20">
        <f>SUM(V7,V40,V98)</f>
        <v>0</v>
      </c>
      <c r="W120" s="8">
        <f t="shared" si="8"/>
        <v>0</v>
      </c>
      <c r="X120" s="40"/>
      <c r="Y120" s="94" t="s">
        <v>87</v>
      </c>
      <c r="Z120" s="20">
        <f>SUM(Z7,Z40,Z98)</f>
        <v>0</v>
      </c>
      <c r="AA120" s="20">
        <f>SUM(AA7,AA40,AA98)</f>
        <v>0</v>
      </c>
      <c r="AB120" s="20">
        <f>SUM(AB7,AB40,AB98)</f>
        <v>0</v>
      </c>
      <c r="AC120" s="8">
        <f t="shared" si="9"/>
        <v>0</v>
      </c>
      <c r="AD120" s="40"/>
    </row>
    <row r="121" spans="1:31" s="44" customFormat="1" ht="15" x14ac:dyDescent="0.25">
      <c r="A121" s="94" t="s">
        <v>75</v>
      </c>
      <c r="B121" s="20">
        <f>SUM(B94,B86,B53)</f>
        <v>473.93075840000034</v>
      </c>
      <c r="C121" s="20">
        <f>SUM(C94,C86,C53)</f>
        <v>0</v>
      </c>
      <c r="D121" s="20">
        <f>SUM(D94,D86,D53)</f>
        <v>0</v>
      </c>
      <c r="E121" s="8">
        <f>IF(C121 &gt; 0, C121/B121, 0)</f>
        <v>0</v>
      </c>
      <c r="F121" s="40"/>
      <c r="G121" s="94" t="s">
        <v>75</v>
      </c>
      <c r="H121" s="20">
        <f>SUM(H94,H86,H53)</f>
        <v>471.53566520000027</v>
      </c>
      <c r="I121" s="20">
        <f>SUM(I94,I86,I53)</f>
        <v>0</v>
      </c>
      <c r="J121" s="20">
        <f>SUM(J94,J86,J53)</f>
        <v>0</v>
      </c>
      <c r="K121" s="8">
        <f t="shared" si="6"/>
        <v>0</v>
      </c>
      <c r="L121" s="40"/>
      <c r="M121" s="94" t="s">
        <v>75</v>
      </c>
      <c r="N121" s="20">
        <f>SUM(N94,N86,N53)</f>
        <v>450.52109039999971</v>
      </c>
      <c r="O121" s="20">
        <f>SUM(O94,O86,O53)</f>
        <v>0</v>
      </c>
      <c r="P121" s="20">
        <f>SUM(P94,P86,P53)</f>
        <v>0</v>
      </c>
      <c r="Q121" s="8">
        <f t="shared" si="7"/>
        <v>0</v>
      </c>
      <c r="R121" s="40"/>
      <c r="S121" s="94" t="s">
        <v>75</v>
      </c>
      <c r="T121" s="20">
        <f>SUM(T94,T86,T53)</f>
        <v>0</v>
      </c>
      <c r="U121" s="20">
        <f>SUM(U94,U86,U53)</f>
        <v>0</v>
      </c>
      <c r="V121" s="20">
        <f>SUM(V94,V86,V53)</f>
        <v>0</v>
      </c>
      <c r="W121" s="8">
        <f t="shared" si="8"/>
        <v>0</v>
      </c>
      <c r="X121" s="40"/>
      <c r="Y121" s="94" t="s">
        <v>75</v>
      </c>
      <c r="Z121" s="20">
        <f>SUM(Z94,Z86,Z53)</f>
        <v>0</v>
      </c>
      <c r="AA121" s="20">
        <f>SUM(AA94,AA86,AA53)</f>
        <v>0</v>
      </c>
      <c r="AB121" s="20">
        <f>SUM(AB94,AB86,AB53)</f>
        <v>0</v>
      </c>
      <c r="AC121" s="8">
        <f t="shared" si="9"/>
        <v>0</v>
      </c>
      <c r="AD121" s="40"/>
    </row>
    <row r="122" spans="1:31" s="44" customFormat="1" ht="15" x14ac:dyDescent="0.25">
      <c r="A122" s="94" t="s">
        <v>97</v>
      </c>
      <c r="B122" s="20">
        <f>SUM(B97,B30,B37,B79)</f>
        <v>432.29402519999951</v>
      </c>
      <c r="C122" s="20">
        <f>SUM(C97,C30,C37,C79)</f>
        <v>0</v>
      </c>
      <c r="D122" s="20">
        <f>SUM(D97,D30,D37,D79)</f>
        <v>0</v>
      </c>
      <c r="E122" s="8"/>
      <c r="F122" s="40"/>
      <c r="G122" s="94" t="s">
        <v>97</v>
      </c>
      <c r="H122" s="20">
        <f>SUM(H97,H30,H37,H79)</f>
        <v>289.14322880000003</v>
      </c>
      <c r="I122" s="20">
        <f>SUM(I97,I30,I37,I79)</f>
        <v>0</v>
      </c>
      <c r="J122" s="20">
        <f>SUM(J97,J30,J37,J79)</f>
        <v>0</v>
      </c>
      <c r="K122" s="8"/>
      <c r="L122" s="40"/>
      <c r="M122" s="94" t="s">
        <v>97</v>
      </c>
      <c r="N122" s="20">
        <f>SUM(N97,N30,N37,N79)</f>
        <v>436.86770599999977</v>
      </c>
      <c r="O122" s="20">
        <f>SUM(O97,O30,O37,O79)</f>
        <v>0</v>
      </c>
      <c r="P122" s="20">
        <f>SUM(P97,P30,P37,P79)</f>
        <v>0</v>
      </c>
      <c r="Q122" s="8"/>
      <c r="R122" s="40"/>
      <c r="S122" s="94" t="s">
        <v>97</v>
      </c>
      <c r="T122" s="20">
        <f>SUM(T97,T30,T37,T79)</f>
        <v>0</v>
      </c>
      <c r="U122" s="20">
        <f>SUM(U97,U30,U37,U79)</f>
        <v>0</v>
      </c>
      <c r="V122" s="20">
        <f>SUM(V97,V30,V37,V79)</f>
        <v>0</v>
      </c>
      <c r="W122" s="8"/>
      <c r="X122" s="40"/>
      <c r="Y122" s="94" t="s">
        <v>97</v>
      </c>
      <c r="Z122" s="20">
        <f>SUM(Z97,Z30,Z37,Z79)</f>
        <v>0</v>
      </c>
      <c r="AA122" s="20">
        <f>SUM(AA97,AA30,AA37,AA79)</f>
        <v>0</v>
      </c>
      <c r="AB122" s="20">
        <f>SUM(AB97,AB30,AB37,AB79)</f>
        <v>0</v>
      </c>
      <c r="AC122" s="8"/>
      <c r="AD122" s="40"/>
    </row>
    <row r="123" spans="1:31" s="44" customFormat="1" ht="15" x14ac:dyDescent="0.25">
      <c r="A123" s="94" t="s">
        <v>64</v>
      </c>
      <c r="B123" s="20">
        <f>SUM(B51,B42)</f>
        <v>247.75006439999993</v>
      </c>
      <c r="C123" s="20">
        <f>SUM(C51,C42)</f>
        <v>0</v>
      </c>
      <c r="D123" s="20">
        <f>SUM(D51,D42)</f>
        <v>0</v>
      </c>
      <c r="E123" s="8">
        <f t="shared" si="5"/>
        <v>0</v>
      </c>
      <c r="F123" s="40"/>
      <c r="G123" s="94" t="s">
        <v>64</v>
      </c>
      <c r="H123" s="20">
        <f>SUM(H51,H42)</f>
        <v>265.24642319999992</v>
      </c>
      <c r="I123" s="20">
        <f>SUM(I51,I42)</f>
        <v>0</v>
      </c>
      <c r="J123" s="20">
        <f>SUM(J51,J42)</f>
        <v>0</v>
      </c>
      <c r="K123" s="8">
        <f t="shared" si="6"/>
        <v>0</v>
      </c>
      <c r="L123" s="40"/>
      <c r="M123" s="94" t="s">
        <v>64</v>
      </c>
      <c r="N123" s="20">
        <f>SUM(N51,N42)</f>
        <v>194.88210319999956</v>
      </c>
      <c r="O123" s="20">
        <f>SUM(O51,O42)</f>
        <v>0</v>
      </c>
      <c r="P123" s="20">
        <f>SUM(P51,P42)</f>
        <v>0</v>
      </c>
      <c r="Q123" s="8">
        <f t="shared" si="7"/>
        <v>0</v>
      </c>
      <c r="R123" s="40"/>
      <c r="S123" s="94" t="s">
        <v>64</v>
      </c>
      <c r="T123" s="20">
        <f>SUM(T51,T42)</f>
        <v>0</v>
      </c>
      <c r="U123" s="20">
        <f>SUM(U51,U42)</f>
        <v>0</v>
      </c>
      <c r="V123" s="20">
        <f>SUM(V51,V42)</f>
        <v>0</v>
      </c>
      <c r="W123" s="8">
        <f t="shared" si="8"/>
        <v>0</v>
      </c>
      <c r="X123" s="40"/>
      <c r="Y123" s="94" t="s">
        <v>64</v>
      </c>
      <c r="Z123" s="20">
        <f>SUM(Z51,Z42)</f>
        <v>0</v>
      </c>
      <c r="AA123" s="20">
        <f>SUM(AA51,AA42)</f>
        <v>0</v>
      </c>
      <c r="AB123" s="20">
        <f>SUM(AB51,AB42)</f>
        <v>0</v>
      </c>
      <c r="AC123" s="8">
        <f t="shared" si="9"/>
        <v>0</v>
      </c>
      <c r="AD123" s="40"/>
    </row>
    <row r="124" spans="1:31" s="44" customFormat="1" ht="15" x14ac:dyDescent="0.25">
      <c r="A124" s="94" t="s">
        <v>89</v>
      </c>
      <c r="B124" s="20">
        <f>SUM(B19,B28:B29,B35,B48,B59,B60,B64,B85,B87,B91:B92)</f>
        <v>72.637628800000016</v>
      </c>
      <c r="C124" s="20">
        <f>SUM(C19,C28:C29,C35,C48,C59,C60,C64,C85,C87,C91:C92)</f>
        <v>0</v>
      </c>
      <c r="D124" s="20">
        <f>SUM(D19,D28:D29,D35,D48,D59,D60,D64,D85,D87,D91:D92)</f>
        <v>0</v>
      </c>
      <c r="E124" s="8"/>
      <c r="F124" s="40"/>
      <c r="G124" s="94" t="s">
        <v>89</v>
      </c>
      <c r="H124" s="20">
        <f>SUM(H19,H28:H29,H35,H48,H59,H60,H64,H85,H87,H91:H92)</f>
        <v>91.230047200000016</v>
      </c>
      <c r="I124" s="20">
        <f>SUM(I19,I28:I29,I35,I48,I59,I60,I64,I85,I87,I91:I92)</f>
        <v>0</v>
      </c>
      <c r="J124" s="20">
        <f>SUM(J19,J28:J29,J35,J48,J59,J60,J64,J85,J87,J91:J92)</f>
        <v>0</v>
      </c>
      <c r="K124" s="8"/>
      <c r="L124" s="40"/>
      <c r="M124" s="94" t="s">
        <v>89</v>
      </c>
      <c r="N124" s="20">
        <f>SUM(N19,N28:N29,N35,N48,N59,N60,N64,N85,N87,N91:N92)</f>
        <v>208.94143560000003</v>
      </c>
      <c r="O124" s="20">
        <f>SUM(O19,O28:O29,O35,O48,O59,O60,O64,O85,O87,O91:O92)</f>
        <v>0</v>
      </c>
      <c r="P124" s="20">
        <f>SUM(P19,P28:P29,P35,P48,P59,P60,P64,P85,P87,P91:P92)</f>
        <v>0</v>
      </c>
      <c r="Q124" s="8"/>
      <c r="R124" s="40"/>
      <c r="S124" s="94" t="s">
        <v>89</v>
      </c>
      <c r="T124" s="20">
        <f>SUM(T19,T28:T29,T35,T48,T59,T60,T64,T85,T87,T91:T92)</f>
        <v>0</v>
      </c>
      <c r="U124" s="20">
        <f>SUM(U19,U28:U29,U35,U48,U59,U60,U64,U85,U87,U91:U92)</f>
        <v>0</v>
      </c>
      <c r="V124" s="20">
        <f>SUM(V19,V28:V29,V35,V48,V59,V60,V64,V85,V87,V91:V92)</f>
        <v>0</v>
      </c>
      <c r="W124" s="8"/>
      <c r="X124" s="40"/>
      <c r="Y124" s="94" t="s">
        <v>89</v>
      </c>
      <c r="Z124" s="20">
        <f>SUM(Z19,Z28:Z29,Z35,Z48,Z59,Z60,Z64,Z85,Z87,Z91:Z92)</f>
        <v>0</v>
      </c>
      <c r="AA124" s="20">
        <f>SUM(AA19,AA28:AA29,AA35,AA48,AA59,AA60,AA64,AA85,AA87,AA91:AA92)</f>
        <v>0</v>
      </c>
      <c r="AB124" s="20">
        <f>SUM(AB19,AB28:AB29,AB35,AB48,AB59,AB60,AB64,AB85,AB87,AB91:AB92)</f>
        <v>0</v>
      </c>
      <c r="AC124" s="8"/>
      <c r="AD124" s="40"/>
    </row>
    <row r="125" spans="1:31" s="44" customFormat="1" ht="15" x14ac:dyDescent="0.25">
      <c r="A125" s="16" t="s">
        <v>24</v>
      </c>
      <c r="B125" s="92">
        <f>SUM(B118:B124)</f>
        <v>8344.3017348000649</v>
      </c>
      <c r="C125" s="92">
        <f>SUM(C118:C124)</f>
        <v>0</v>
      </c>
      <c r="D125" s="92">
        <f>SUM(D118:D124)</f>
        <v>0</v>
      </c>
      <c r="E125" s="18">
        <f t="shared" si="5"/>
        <v>0</v>
      </c>
      <c r="F125" s="40"/>
      <c r="G125" s="16" t="s">
        <v>24</v>
      </c>
      <c r="H125" s="92">
        <f>SUM(H118:H124)</f>
        <v>7756.3807780000552</v>
      </c>
      <c r="I125" s="92">
        <f>SUM(I118:I124)</f>
        <v>0</v>
      </c>
      <c r="J125" s="92">
        <f>SUM(J118:J124)</f>
        <v>0</v>
      </c>
      <c r="K125" s="18">
        <f t="shared" si="6"/>
        <v>0</v>
      </c>
      <c r="L125" s="40"/>
      <c r="M125" s="16" t="s">
        <v>24</v>
      </c>
      <c r="N125" s="92">
        <f>SUM(N118:N124)</f>
        <v>7657.437718800059</v>
      </c>
      <c r="O125" s="92">
        <f>SUM(O118:O124)</f>
        <v>0</v>
      </c>
      <c r="P125" s="92">
        <f>SUM(P118:P124)</f>
        <v>0</v>
      </c>
      <c r="Q125" s="18">
        <f t="shared" si="7"/>
        <v>0</v>
      </c>
      <c r="R125" s="40"/>
      <c r="S125" s="16" t="s">
        <v>24</v>
      </c>
      <c r="T125" s="92">
        <f>SUM(T118:T124)</f>
        <v>0</v>
      </c>
      <c r="U125" s="92">
        <f>SUM(U118:U124)</f>
        <v>0</v>
      </c>
      <c r="V125" s="92">
        <f>SUM(V118:V124)</f>
        <v>0</v>
      </c>
      <c r="W125" s="18">
        <f t="shared" si="8"/>
        <v>0</v>
      </c>
      <c r="X125" s="40"/>
      <c r="Y125" s="16" t="s">
        <v>24</v>
      </c>
      <c r="Z125" s="92">
        <f>SUM(Z118:Z124)</f>
        <v>0</v>
      </c>
      <c r="AA125" s="92">
        <f>SUM(AA118:AA124)</f>
        <v>0</v>
      </c>
      <c r="AB125" s="92">
        <f>SUM(AB118:AB124)</f>
        <v>0</v>
      </c>
      <c r="AC125" s="18">
        <f t="shared" si="9"/>
        <v>0</v>
      </c>
      <c r="AD125" s="40"/>
    </row>
    <row r="126" spans="1:31" s="44" customFormat="1" ht="15" x14ac:dyDescent="0.25">
      <c r="A126" s="8"/>
      <c r="B126" s="8"/>
      <c r="C126" s="8"/>
      <c r="D126" s="8"/>
      <c r="E126" s="8" t="str">
        <f>IF(C126 &gt; 0, C126/B126, "")</f>
        <v/>
      </c>
      <c r="F126" s="40"/>
      <c r="G126" s="8"/>
      <c r="H126" s="8"/>
      <c r="I126" s="8"/>
      <c r="J126" s="8"/>
      <c r="K126" s="8" t="str">
        <f>IF(I126 &gt; 0, I126/H126, "")</f>
        <v/>
      </c>
      <c r="L126" s="40"/>
      <c r="M126" s="8"/>
      <c r="N126" s="8"/>
      <c r="O126" s="8"/>
      <c r="P126" s="8"/>
      <c r="Q126" s="8" t="str">
        <f>IF(O126 &gt; 0, O126/N126, "")</f>
        <v/>
      </c>
      <c r="R126" s="40"/>
      <c r="S126" s="8"/>
      <c r="T126" s="8"/>
      <c r="U126" s="8"/>
      <c r="V126" s="8"/>
      <c r="W126" s="8" t="str">
        <f>IF(U126 &gt; 0, U126/T126, "")</f>
        <v/>
      </c>
      <c r="X126" s="40"/>
      <c r="Y126" s="8"/>
      <c r="Z126" s="8"/>
      <c r="AA126" s="8"/>
      <c r="AB126" s="8"/>
      <c r="AC126" s="8" t="str">
        <f>IF(AA126 &gt; 0, AA126/Z126, "")</f>
        <v/>
      </c>
      <c r="AD126" s="40"/>
    </row>
    <row r="127" spans="1:31" s="44" customFormat="1" ht="15" x14ac:dyDescent="0.25">
      <c r="A127" s="93" t="s">
        <v>65</v>
      </c>
      <c r="B127" s="20">
        <f>SUM(B75,B6)</f>
        <v>3874.4295659999302</v>
      </c>
      <c r="C127" s="20">
        <f>SUM(C75,C6)</f>
        <v>0</v>
      </c>
      <c r="D127" s="20">
        <f>SUM(D75,D6)</f>
        <v>0</v>
      </c>
      <c r="E127" s="8">
        <f>IF(C127 &gt; 0, C127/B127, 0)</f>
        <v>0</v>
      </c>
      <c r="F127" s="40"/>
      <c r="G127" s="93" t="s">
        <v>65</v>
      </c>
      <c r="H127" s="20">
        <f>SUM(H75,H6)</f>
        <v>3767.1212879999239</v>
      </c>
      <c r="I127" s="20">
        <f>SUM(I75,I6)</f>
        <v>0</v>
      </c>
      <c r="J127" s="20">
        <f>SUM(J75,J6)</f>
        <v>0</v>
      </c>
      <c r="K127" s="8">
        <f>IF(I127 &gt; 0, I127/H127, 0)</f>
        <v>0</v>
      </c>
      <c r="L127" s="40"/>
      <c r="M127" s="93" t="s">
        <v>65</v>
      </c>
      <c r="N127" s="20">
        <f>SUM(N75,N6)</f>
        <v>4483.9255229999017</v>
      </c>
      <c r="O127" s="20">
        <f>SUM(O75,O6)</f>
        <v>0</v>
      </c>
      <c r="P127" s="20">
        <f>SUM(P75,P6)</f>
        <v>0</v>
      </c>
      <c r="Q127" s="8">
        <f>IF(O127 &gt; 0, O127/N127, 0)</f>
        <v>0</v>
      </c>
      <c r="R127" s="40"/>
      <c r="S127" s="93" t="s">
        <v>65</v>
      </c>
      <c r="T127" s="20">
        <f>SUM(T75,T6)</f>
        <v>0</v>
      </c>
      <c r="U127" s="20">
        <f>SUM(U75,U6)</f>
        <v>0</v>
      </c>
      <c r="V127" s="20">
        <f>SUM(V75,V6)</f>
        <v>0</v>
      </c>
      <c r="W127" s="8">
        <f>IF(U127 &gt; 0, U127/T127, 0)</f>
        <v>0</v>
      </c>
      <c r="X127" s="40"/>
      <c r="Y127" s="93" t="s">
        <v>65</v>
      </c>
      <c r="Z127" s="20">
        <f>SUM(Z75,Z6)</f>
        <v>0</v>
      </c>
      <c r="AA127" s="20">
        <f>SUM(AA75,AA6)</f>
        <v>0</v>
      </c>
      <c r="AB127" s="20">
        <f>SUM(AB75,AB6)</f>
        <v>0</v>
      </c>
      <c r="AC127" s="8">
        <f>IF(AA127 &gt; 0, AA127/Z127, 0)</f>
        <v>0</v>
      </c>
      <c r="AD127" s="40"/>
    </row>
    <row r="128" spans="1:31" s="44" customFormat="1" ht="15" x14ac:dyDescent="0.25">
      <c r="A128" s="93" t="s">
        <v>25</v>
      </c>
      <c r="B128" s="20">
        <f>B54</f>
        <v>1147.94192</v>
      </c>
      <c r="C128" s="20">
        <f>C54</f>
        <v>0</v>
      </c>
      <c r="D128" s="20">
        <f>D54</f>
        <v>0</v>
      </c>
      <c r="E128" s="8">
        <f>IF(C128 &gt; 0, C128/B128, 0)</f>
        <v>0</v>
      </c>
      <c r="F128" s="40"/>
      <c r="G128" s="93" t="s">
        <v>25</v>
      </c>
      <c r="H128" s="20">
        <f>H54</f>
        <v>1115.75344</v>
      </c>
      <c r="I128" s="20">
        <f>I54</f>
        <v>0</v>
      </c>
      <c r="J128" s="20">
        <f>J54</f>
        <v>0</v>
      </c>
      <c r="K128" s="8">
        <f>IF(I128 &gt; 0, I128/H128, 0)</f>
        <v>0</v>
      </c>
      <c r="L128" s="40"/>
      <c r="M128" s="93" t="s">
        <v>25</v>
      </c>
      <c r="N128" s="20">
        <f>N54</f>
        <v>1265.91104</v>
      </c>
      <c r="O128" s="20">
        <f>O54</f>
        <v>0</v>
      </c>
      <c r="P128" s="20">
        <f>P54</f>
        <v>0</v>
      </c>
      <c r="Q128" s="8">
        <f>IF(O128 &gt; 0, O128/N128, 0)</f>
        <v>0</v>
      </c>
      <c r="R128" s="40"/>
      <c r="S128" s="93" t="s">
        <v>25</v>
      </c>
      <c r="T128" s="20">
        <f>T54</f>
        <v>0</v>
      </c>
      <c r="U128" s="20">
        <f>U54</f>
        <v>0</v>
      </c>
      <c r="V128" s="20">
        <f>V54</f>
        <v>0</v>
      </c>
      <c r="W128" s="8">
        <f>IF(U128 &gt; 0, U128/T128, 0)</f>
        <v>0</v>
      </c>
      <c r="X128" s="40"/>
      <c r="Y128" s="93" t="s">
        <v>25</v>
      </c>
      <c r="Z128" s="20">
        <f>Z54</f>
        <v>0</v>
      </c>
      <c r="AA128" s="20">
        <f>AA54</f>
        <v>0</v>
      </c>
      <c r="AB128" s="20">
        <f>AB54</f>
        <v>0</v>
      </c>
      <c r="AC128" s="8">
        <f>IF(AA128 &gt; 0, AA128/Z128, 0)</f>
        <v>0</v>
      </c>
      <c r="AD128" s="40"/>
    </row>
    <row r="129" spans="1:30" s="44" customFormat="1" ht="15" x14ac:dyDescent="0.25">
      <c r="A129" s="93" t="s">
        <v>96</v>
      </c>
      <c r="B129" s="20">
        <f>SUM(B83,B82,B80,B76,B46,B44,B32,B34,B25,B26,B27,B17,B4,B15,B33,B110,B13)</f>
        <v>302.32000000000028</v>
      </c>
      <c r="C129" s="20">
        <f>SUM(C83,C82,C80,C76,C46,C44,C32,C34,C25,C26,C27,C17,C4,C15,C33,C110)</f>
        <v>0</v>
      </c>
      <c r="D129" s="20">
        <f>SUM(D83,D82,D80,D76,D46,D44,D32,D34,D25,D26,D27,D17,D4,D15,D33,D110)</f>
        <v>0</v>
      </c>
      <c r="E129" s="8"/>
      <c r="F129" s="40"/>
      <c r="G129" s="93" t="s">
        <v>96</v>
      </c>
      <c r="H129" s="20">
        <f>SUM(H83,H82,H80,H76,H46,H44,H32,H34,H25,H26,H27,H17,H4,H15,H33,H110,H13)</f>
        <v>265.78999999999996</v>
      </c>
      <c r="I129" s="20">
        <f>SUM(I83,I82,I80,I76,I46,I44,I32,I34,I25,I26,I27,I17,I4,I15,I33,I110)</f>
        <v>0</v>
      </c>
      <c r="J129" s="20">
        <f>SUM(J83,J82,J80,J76,J46,J44,J32,J34,J25,J26,J27,J17,J4,J15,J33,J110)</f>
        <v>0</v>
      </c>
      <c r="K129" s="8"/>
      <c r="L129" s="40"/>
      <c r="M129" s="93" t="s">
        <v>96</v>
      </c>
      <c r="N129" s="20">
        <f>SUM(N83,N82,N80,N76,N46,N44,N32,N34,N25,N26,N27,N17,N4,N15,N33,N110,N13)</f>
        <v>293.0400000000003</v>
      </c>
      <c r="O129" s="20">
        <f>SUM(O83,O82,O80,O76,O46,O44,O32,O34,O25,O26,O27,O17,O4,O15,O33,O110)</f>
        <v>0</v>
      </c>
      <c r="P129" s="20">
        <f>SUM(P83,P82,P80,P76,P46,P44,P32,P34,P25,P26,P27,P17,P4,P15,P33,P110)</f>
        <v>0</v>
      </c>
      <c r="Q129" s="8"/>
      <c r="R129" s="40"/>
      <c r="S129" s="93" t="s">
        <v>96</v>
      </c>
      <c r="T129" s="20">
        <f>SUM(T83,T82,T80,T76,T46,T44,T32,T34,T25,T26,T27,T17,T4,T15,T33,T110,T13)</f>
        <v>0</v>
      </c>
      <c r="U129" s="20">
        <f>SUM(U83,U82,U80,U76,U46,U44,U32,U34,U25,U26,U27,U17,U4,U15,U33,U110)</f>
        <v>0</v>
      </c>
      <c r="V129" s="20">
        <f>SUM(V83,V82,V80,V76,V46,V44,V32,V34,V25,V26,V27,V17,V4,V15,V33,V110)</f>
        <v>0</v>
      </c>
      <c r="W129" s="8"/>
      <c r="X129" s="40"/>
      <c r="Y129" s="93" t="s">
        <v>96</v>
      </c>
      <c r="Z129" s="20">
        <f>SUM(Z83,Z82,Z80,Z76,Z46,Z44,Z32,Z34,Z25,Z26,Z27,Z17,Z4,Z15,Z33,Z110,Z13)</f>
        <v>0</v>
      </c>
      <c r="AA129" s="20">
        <f>SUM(AA83,AA82,AA80,AA76,AA46,AA44,AA32,AA34,AA25,AA26,AA27,AA17,AA4,AA15,AA33,AA110)</f>
        <v>0</v>
      </c>
      <c r="AB129" s="20">
        <f>SUM(AB83,AB82,AB80,AB76,AB46,AB44,AB32,AB34,AB25,AB26,AB27,AB17,AB4,AB15,AB33,AB110)</f>
        <v>0</v>
      </c>
      <c r="AC129" s="8"/>
      <c r="AD129" s="40"/>
    </row>
    <row r="130" spans="1:30" s="44" customFormat="1" ht="15" x14ac:dyDescent="0.25">
      <c r="A130" s="26" t="s">
        <v>99</v>
      </c>
      <c r="B130" s="20">
        <f>SUM(B18,B21,B47,B62,B63,B69,B84,B90,B99,B101,B111,B95,B58)</f>
        <v>214.01426199999997</v>
      </c>
      <c r="C130" s="20">
        <f>SUM(C18,C21,C47,C62,C63,C69,C84,C90,C99,C101,C111,C95,C58)</f>
        <v>0</v>
      </c>
      <c r="D130" s="20">
        <f>SUM(D18,D21,D47,D62,D63,D69,D84,D90,D99,D101,D111,D95,D58)</f>
        <v>0</v>
      </c>
      <c r="E130" s="8"/>
      <c r="F130" s="40"/>
      <c r="G130" s="26" t="s">
        <v>99</v>
      </c>
      <c r="H130" s="20">
        <f>SUM(H18,H21,H47,H62,H63,H69,H84,H90,H99,H101,H111,H95,H58)</f>
        <v>270.68076780000013</v>
      </c>
      <c r="I130" s="20">
        <f>SUM(I18,I21,I47,I62,I63,I69,I84,I90,I99,I101,I111,I95,I58)</f>
        <v>0</v>
      </c>
      <c r="J130" s="20">
        <f>SUM(J18,J21,J47,J62,J63,J69,J84,J90,J99,J101,J111,J95,J58)</f>
        <v>0</v>
      </c>
      <c r="K130" s="8"/>
      <c r="L130" s="40"/>
      <c r="M130" s="26" t="s">
        <v>99</v>
      </c>
      <c r="N130" s="20">
        <f>SUM(N18,N21,N47,N62,N63,N69,N84,N90,N99,N101,N111,N95,N58)</f>
        <v>223.25937660000005</v>
      </c>
      <c r="O130" s="20">
        <f>SUM(O18,O21,O47,O62,O63,O69,O84,O90,O99,O101,O111,O95,O58)</f>
        <v>0</v>
      </c>
      <c r="P130" s="20">
        <f>SUM(P18,P21,P47,P62,P63,P69,P84,P90,P99,P101,P111,P95,P58)</f>
        <v>0</v>
      </c>
      <c r="Q130" s="8"/>
      <c r="R130" s="40"/>
      <c r="S130" s="26" t="s">
        <v>99</v>
      </c>
      <c r="T130" s="20">
        <f>SUM(T18,T21,T47,T62,T63,T69,T84,T90,T99,T101,T111,T95,T58)</f>
        <v>0</v>
      </c>
      <c r="U130" s="20">
        <f>SUM(U18,U21,U47,U62,U63,U69,U84,U90,U99,U101,U111,U95,U58)</f>
        <v>0</v>
      </c>
      <c r="V130" s="20">
        <f>SUM(V18,V21,V47,V62,V63,V69,V84,V90,V99,V101,V111,V95,V58)</f>
        <v>0</v>
      </c>
      <c r="W130" s="8"/>
      <c r="X130" s="40"/>
      <c r="Y130" s="26" t="s">
        <v>99</v>
      </c>
      <c r="Z130" s="20">
        <f>SUM(Z18,Z21,Z47,Z62,Z63,Z69,Z84,Z90,Z99,Z101,Z111,Z95,Z58)</f>
        <v>0</v>
      </c>
      <c r="AA130" s="20">
        <f>SUM(AA18,AA21,AA47,AA62,AA63,AA69,AA84,AA90,AA99,AA101,AA111,AA95,AA58)</f>
        <v>0</v>
      </c>
      <c r="AB130" s="20">
        <f>SUM(AB18,AB21,AB47,AB62,AB63,AB69,AB84,AB90,AB99,AB101,AB111,AB95,AB58)</f>
        <v>0</v>
      </c>
      <c r="AC130" s="8"/>
      <c r="AD130" s="40"/>
    </row>
    <row r="131" spans="1:30" s="44" customFormat="1" ht="15" x14ac:dyDescent="0.25">
      <c r="A131" s="26" t="s">
        <v>202</v>
      </c>
      <c r="B131" s="20">
        <f>B112+B113+B109+B106+B105+B104+B102+B100+B96+B89+B81+B77+B78+B71+B72+B73+B67+B68+B65+B55+B56+B57+B52+B50+B49+B45+B43+B41+B39+B36+B31+B24+B23+B20+B16+B14+B11+B10+B9+B8+B5+B3+B2+B93+B70</f>
        <v>195.35177159999986</v>
      </c>
      <c r="C131" s="20">
        <f t="shared" ref="C131:D131" si="10">C112+C113+C109+C106+C105+C104+C102+C100+C96+C89+C81+C77+C78+C71+C72+C73+C67+C68+C65+C55+C56+C57+C52+C50+C49+C45+C43+C41+C39+C36+C31+C24+C23+C20+C16+C14+C11+C10+C9+C8+C5+C3+C2+C93+C13+C70</f>
        <v>0</v>
      </c>
      <c r="D131" s="20">
        <f t="shared" si="10"/>
        <v>0</v>
      </c>
      <c r="E131" s="8"/>
      <c r="F131" s="40"/>
      <c r="G131" s="26" t="s">
        <v>202</v>
      </c>
      <c r="H131" s="20">
        <f>H112+H113+H109+H106+H105+H104+H102+H100+H96+H89+H81+H77+H78+H71+H72+H73+H67+H68+H65+H55+H56+H57+H52+H50+H49+H45+H43+H41+H39+H36+H31+H24+H23+H20+H16+H14+H11+H10+H9+H8+H5+H3+H2+H93+H70</f>
        <v>191.15618039999987</v>
      </c>
      <c r="I131" s="20">
        <f t="shared" ref="I131:J131" si="11">I112+I113+I109+I106+I105+I104+I102+I100+I96+I89+I81+I77+I78+I71+I72+I73+I67+I68+I65+I55+I56+I57+I52+I50+I49+I45+I43+I41+I39+I36+I31+I24+I23+I20+I16+I14+I11+I10+I9+I8+I5+I3+I2+I93+I13+I70</f>
        <v>0</v>
      </c>
      <c r="J131" s="20">
        <f t="shared" si="11"/>
        <v>0</v>
      </c>
      <c r="K131" s="8"/>
      <c r="L131" s="40"/>
      <c r="M131" s="26" t="s">
        <v>202</v>
      </c>
      <c r="N131" s="20">
        <f>N112+N113+N109+N106+N105+N104+N102+N100+N96+N89+N81+N77+N78+N71+N72+N73+N67+N68+N65+N55+N56+N57+N52+N50+N49+N45+N43+N41+N39+N36+N31+N24+N23+N20+N16+N14+N11+N10+N9+N8+N5+N3+N2+N93+N70</f>
        <v>222.94248979999986</v>
      </c>
      <c r="O131" s="20">
        <f t="shared" ref="O131:P131" si="12">O112+O113+O109+O106+O105+O104+O102+O100+O96+O89+O81+O77+O78+O71+O72+O73+O67+O68+O65+O55+O56+O57+O52+O50+O49+O45+O43+O41+O39+O36+O31+O24+O23+O20+O16+O14+O11+O10+O9+O8+O5+O3+O2+O93+O13+O70</f>
        <v>0</v>
      </c>
      <c r="P131" s="20">
        <f t="shared" si="12"/>
        <v>0</v>
      </c>
      <c r="Q131" s="8"/>
      <c r="R131" s="40"/>
      <c r="S131" s="26" t="s">
        <v>202</v>
      </c>
      <c r="T131" s="20">
        <f>T112+T113+T109+T106+T105+T104+T102+T100+T96+T89+T81+T77+T78+T71+T72+T73+T67+T68+T65+T55+T56+T57+T52+T50+T49+T45+T43+T41+T39+T36+T31+T24+T23+T20+T16+T14+T11+T10+T9+T8+T5+T3+T2+T93+T70</f>
        <v>0</v>
      </c>
      <c r="U131" s="20">
        <f t="shared" ref="U131:V131" si="13">U112+U113+U109+U106+U105+U104+U102+U100+U96+U89+U81+U77+U78+U71+U72+U73+U67+U68+U65+U55+U56+U57+U52+U50+U49+U45+U43+U41+U39+U36+U31+U24+U23+U20+U16+U14+U11+U10+U9+U8+U5+U3+U2+U93+U13+U70</f>
        <v>0</v>
      </c>
      <c r="V131" s="20">
        <f t="shared" si="13"/>
        <v>0</v>
      </c>
      <c r="W131" s="8"/>
      <c r="X131" s="40"/>
      <c r="Y131" s="26" t="s">
        <v>202</v>
      </c>
      <c r="Z131" s="20">
        <f>Z112+Z113+Z109+Z106+Z105+Z104+Z102+Z100+Z96+Z89+Z81+Z77+Z78+Z71+Z72+Z73+Z67+Z68+Z65+Z55+Z56+Z57+Z52+Z50+Z49+Z45+Z43+Z41+Z39+Z36+Z31+Z24+Z23+Z20+Z16+Z14+Z11+Z10+Z9+Z8+Z5+Z3+Z2+Z93+Z70</f>
        <v>0</v>
      </c>
      <c r="AA131" s="20">
        <f t="shared" ref="AA131:AB131" si="14">AA112+AA113+AA109+AA106+AA105+AA104+AA102+AA100+AA96+AA89+AA81+AA77+AA78+AA71+AA72+AA73+AA67+AA68+AA65+AA55+AA56+AA57+AA52+AA50+AA49+AA45+AA43+AA41+AA39+AA36+AA31+AA24+AA23+AA20+AA16+AA14+AA11+AA10+AA9+AA8+AA5+AA3+AA2+AA93+AA13+AA70</f>
        <v>0</v>
      </c>
      <c r="AB131" s="20">
        <f t="shared" si="14"/>
        <v>0</v>
      </c>
      <c r="AC131" s="8"/>
      <c r="AD131" s="40"/>
    </row>
    <row r="132" spans="1:30" s="44" customFormat="1" ht="15" x14ac:dyDescent="0.25">
      <c r="A132" s="26" t="s">
        <v>182</v>
      </c>
      <c r="B132" s="20">
        <f>B88</f>
        <v>147.39944999999997</v>
      </c>
      <c r="C132" s="20">
        <f t="shared" ref="C132:D132" si="15">C88</f>
        <v>0</v>
      </c>
      <c r="D132" s="20">
        <f t="shared" si="15"/>
        <v>0</v>
      </c>
      <c r="E132" s="8"/>
      <c r="F132" s="40"/>
      <c r="G132" s="26" t="s">
        <v>182</v>
      </c>
      <c r="H132" s="20">
        <f t="shared" ref="H132:J132" si="16">H88</f>
        <v>158.80220999999992</v>
      </c>
      <c r="I132" s="20">
        <f t="shared" si="16"/>
        <v>0</v>
      </c>
      <c r="J132" s="20">
        <f t="shared" si="16"/>
        <v>0</v>
      </c>
      <c r="K132" s="8"/>
      <c r="L132" s="40"/>
      <c r="M132" s="26" t="s">
        <v>182</v>
      </c>
      <c r="N132" s="20">
        <f t="shared" ref="N132:P132" si="17">N88</f>
        <v>131.76333</v>
      </c>
      <c r="O132" s="20">
        <f t="shared" si="17"/>
        <v>0</v>
      </c>
      <c r="P132" s="20">
        <f t="shared" si="17"/>
        <v>0</v>
      </c>
      <c r="Q132" s="8"/>
      <c r="R132" s="40"/>
      <c r="S132" s="26" t="s">
        <v>182</v>
      </c>
      <c r="T132" s="20">
        <f t="shared" ref="T132:V132" si="18">T88</f>
        <v>0</v>
      </c>
      <c r="U132" s="20">
        <f t="shared" si="18"/>
        <v>0</v>
      </c>
      <c r="V132" s="20">
        <f t="shared" si="18"/>
        <v>0</v>
      </c>
      <c r="W132" s="8"/>
      <c r="X132" s="40"/>
      <c r="Y132" s="26" t="s">
        <v>182</v>
      </c>
      <c r="Z132" s="20">
        <f t="shared" ref="Z132:AB132" si="19">Z88</f>
        <v>0</v>
      </c>
      <c r="AA132" s="20">
        <f t="shared" si="19"/>
        <v>0</v>
      </c>
      <c r="AB132" s="20">
        <f t="shared" si="19"/>
        <v>0</v>
      </c>
      <c r="AC132" s="8"/>
      <c r="AD132" s="40"/>
    </row>
    <row r="133" spans="1:30" s="44" customFormat="1" ht="15" x14ac:dyDescent="0.25">
      <c r="A133" s="26" t="s">
        <v>192</v>
      </c>
      <c r="B133" s="20">
        <f>B103</f>
        <v>36.072163999999944</v>
      </c>
      <c r="C133" s="20">
        <f t="shared" ref="C133:D133" si="20">C103</f>
        <v>0</v>
      </c>
      <c r="D133" s="20">
        <f t="shared" si="20"/>
        <v>0</v>
      </c>
      <c r="E133" s="8"/>
      <c r="F133" s="40"/>
      <c r="G133" s="26" t="s">
        <v>192</v>
      </c>
      <c r="H133" s="20">
        <f t="shared" ref="H133:J133" si="21">H103</f>
        <v>47.91247699999996</v>
      </c>
      <c r="I133" s="20">
        <f t="shared" si="21"/>
        <v>0</v>
      </c>
      <c r="J133" s="20">
        <f t="shared" si="21"/>
        <v>0</v>
      </c>
      <c r="K133" s="8"/>
      <c r="L133" s="40"/>
      <c r="M133" s="26" t="s">
        <v>192</v>
      </c>
      <c r="N133" s="20">
        <f t="shared" ref="N133:P133" si="22">N103</f>
        <v>26.039868999999989</v>
      </c>
      <c r="O133" s="20">
        <f t="shared" si="22"/>
        <v>0</v>
      </c>
      <c r="P133" s="20">
        <f t="shared" si="22"/>
        <v>0</v>
      </c>
      <c r="Q133" s="8"/>
      <c r="R133" s="40"/>
      <c r="S133" s="26" t="s">
        <v>192</v>
      </c>
      <c r="T133" s="20">
        <f t="shared" ref="T133:V133" si="23">T103</f>
        <v>0</v>
      </c>
      <c r="U133" s="20">
        <f t="shared" si="23"/>
        <v>0</v>
      </c>
      <c r="V133" s="20">
        <f t="shared" si="23"/>
        <v>0</v>
      </c>
      <c r="W133" s="8"/>
      <c r="X133" s="40"/>
      <c r="Y133" s="26" t="s">
        <v>192</v>
      </c>
      <c r="Z133" s="20">
        <f t="shared" ref="Z133:AB133" si="24">Z103</f>
        <v>0</v>
      </c>
      <c r="AA133" s="20">
        <f t="shared" si="24"/>
        <v>0</v>
      </c>
      <c r="AB133" s="20">
        <f t="shared" si="24"/>
        <v>0</v>
      </c>
      <c r="AC133" s="8"/>
      <c r="AD133" s="40"/>
    </row>
    <row r="134" spans="1:30" s="44" customFormat="1" ht="15" x14ac:dyDescent="0.25">
      <c r="A134" s="16" t="s">
        <v>26</v>
      </c>
      <c r="B134" s="92">
        <f>SUM(B127:B131)</f>
        <v>5734.0575195999299</v>
      </c>
      <c r="C134" s="92">
        <f>SUM(C127:C131)</f>
        <v>0</v>
      </c>
      <c r="D134" s="92">
        <f>SUM(D127:D131)</f>
        <v>0</v>
      </c>
      <c r="E134" s="18">
        <f>IF(C134 &gt; 0, C134/B134, 0)</f>
        <v>0</v>
      </c>
      <c r="F134" s="40"/>
      <c r="G134" s="16" t="s">
        <v>26</v>
      </c>
      <c r="H134" s="92">
        <f>SUM(H127:H131)</f>
        <v>5610.501676199925</v>
      </c>
      <c r="I134" s="92">
        <f>SUM(I127:I131)</f>
        <v>0</v>
      </c>
      <c r="J134" s="92">
        <f>SUM(J127:J131)</f>
        <v>0</v>
      </c>
      <c r="K134" s="18">
        <f>IF(I134 &gt; 0, I134/H134, 0)</f>
        <v>0</v>
      </c>
      <c r="L134" s="40"/>
      <c r="M134" s="16" t="s">
        <v>26</v>
      </c>
      <c r="N134" s="92">
        <f>SUM(N127:N131)</f>
        <v>6489.0784293999013</v>
      </c>
      <c r="O134" s="92">
        <f>SUM(O127:O131)</f>
        <v>0</v>
      </c>
      <c r="P134" s="92">
        <f>SUM(P127:P131)</f>
        <v>0</v>
      </c>
      <c r="Q134" s="18">
        <f>IF(O134 &gt; 0, O134/N134, 0)</f>
        <v>0</v>
      </c>
      <c r="R134" s="40"/>
      <c r="S134" s="16" t="s">
        <v>26</v>
      </c>
      <c r="T134" s="92">
        <f>SUM(T127:T131)</f>
        <v>0</v>
      </c>
      <c r="U134" s="92">
        <f>SUM(U127:U131)</f>
        <v>0</v>
      </c>
      <c r="V134" s="92">
        <f>SUM(V127:V131)</f>
        <v>0</v>
      </c>
      <c r="W134" s="18">
        <f>IF(U134 &gt; 0, U134/T134, 0)</f>
        <v>0</v>
      </c>
      <c r="X134" s="40"/>
      <c r="Y134" s="16" t="s">
        <v>26</v>
      </c>
      <c r="Z134" s="92">
        <f>SUM(Z127:Z131)</f>
        <v>0</v>
      </c>
      <c r="AA134" s="92">
        <f>SUM(AA127:AA131)</f>
        <v>0</v>
      </c>
      <c r="AB134" s="92">
        <f>SUM(AB127:AB131)</f>
        <v>0</v>
      </c>
      <c r="AC134" s="18">
        <f>IF(AA134 &gt; 0, AA134/Z134, 0)</f>
        <v>0</v>
      </c>
      <c r="AD134" s="40"/>
    </row>
    <row r="135" spans="1:30" s="44" customFormat="1" ht="15" x14ac:dyDescent="0.25">
      <c r="A135" s="8"/>
      <c r="B135" s="8"/>
      <c r="C135" s="8"/>
      <c r="D135" s="8"/>
      <c r="E135" s="8" t="str">
        <f>IF(C135 &gt; 0, C135/B135, "")</f>
        <v/>
      </c>
      <c r="F135" s="40"/>
      <c r="G135" s="8"/>
      <c r="H135" s="8"/>
      <c r="I135" s="8"/>
      <c r="J135" s="8"/>
      <c r="K135" s="8" t="str">
        <f>IF(I135 &gt; 0, I135/H135, "")</f>
        <v/>
      </c>
      <c r="L135" s="40"/>
      <c r="M135" s="8"/>
      <c r="N135" s="8"/>
      <c r="O135" s="8"/>
      <c r="P135" s="8"/>
      <c r="Q135" s="8" t="str">
        <f>IF(O135 &gt; 0, O135/N135, "")</f>
        <v/>
      </c>
      <c r="R135" s="40"/>
      <c r="S135" s="8"/>
      <c r="T135" s="8"/>
      <c r="U135" s="8"/>
      <c r="V135" s="8"/>
      <c r="W135" s="8" t="str">
        <f>IF(U135 &gt; 0, U135/T135, "")</f>
        <v/>
      </c>
      <c r="X135" s="40"/>
      <c r="Y135" s="8"/>
      <c r="Z135" s="8"/>
      <c r="AA135" s="8"/>
      <c r="AB135" s="8"/>
      <c r="AC135" s="8" t="str">
        <f>IF(AA135 &gt; 0, AA135/Z135, "")</f>
        <v/>
      </c>
      <c r="AD135" s="40"/>
    </row>
    <row r="136" spans="1:30" s="44" customFormat="1" ht="15" x14ac:dyDescent="0.25">
      <c r="A136" s="21" t="s">
        <v>27</v>
      </c>
      <c r="B136" s="95">
        <f>B116+B125+B134</f>
        <v>40223.010484802915</v>
      </c>
      <c r="C136" s="95">
        <f>C116+C125+C134</f>
        <v>0</v>
      </c>
      <c r="D136" s="95">
        <f>D116+D125+D134</f>
        <v>0</v>
      </c>
      <c r="E136" s="23">
        <f>IF(C136 &gt; 0, C136/B136, 0)</f>
        <v>0</v>
      </c>
      <c r="F136" s="40"/>
      <c r="G136" s="21" t="s">
        <v>28</v>
      </c>
      <c r="H136" s="95">
        <f>H116+H125+H134</f>
        <v>41140.240781602959</v>
      </c>
      <c r="I136" s="95">
        <f>I116+I125+I134</f>
        <v>0</v>
      </c>
      <c r="J136" s="95">
        <f>J116+J125+J134</f>
        <v>0</v>
      </c>
      <c r="K136" s="23">
        <f>IF(I136 &gt; 0, I136/H136, 0)</f>
        <v>0</v>
      </c>
      <c r="L136" s="40"/>
      <c r="M136" s="21" t="s">
        <v>29</v>
      </c>
      <c r="N136" s="95">
        <f>N116+N125+N134</f>
        <v>41219.572084002597</v>
      </c>
      <c r="O136" s="95">
        <f>O116+O125+O134</f>
        <v>0</v>
      </c>
      <c r="P136" s="95">
        <f>P116+P125+P134</f>
        <v>0</v>
      </c>
      <c r="Q136" s="24">
        <f>IF(O136 &gt; 0, O136/N136, 0)</f>
        <v>0</v>
      </c>
      <c r="R136" s="40"/>
      <c r="S136" s="21" t="s">
        <v>30</v>
      </c>
      <c r="T136" s="95">
        <f>T116+T125+T134</f>
        <v>0</v>
      </c>
      <c r="U136" s="95">
        <f>U116+U125+U134</f>
        <v>0</v>
      </c>
      <c r="V136" s="95">
        <f>V116+V125+V134</f>
        <v>0</v>
      </c>
      <c r="W136" s="23">
        <f>IF(U136 &gt; 0, U136/T136, 0)</f>
        <v>0</v>
      </c>
      <c r="X136" s="40"/>
      <c r="Y136" s="21" t="s">
        <v>31</v>
      </c>
      <c r="Z136" s="95">
        <f>Z116+Z125+Z134</f>
        <v>0</v>
      </c>
      <c r="AA136" s="95">
        <f>AA116+AA125+AA134</f>
        <v>0</v>
      </c>
      <c r="AB136" s="95">
        <f>AB116+AB125+AB134</f>
        <v>0</v>
      </c>
      <c r="AC136" s="23">
        <f>IF(AA136 &gt; 0, AA136/Z136, 0)</f>
        <v>0</v>
      </c>
      <c r="AD136" s="40"/>
    </row>
    <row r="138" spans="1:30" ht="15" x14ac:dyDescent="0.25">
      <c r="A138" s="87" t="s">
        <v>126</v>
      </c>
      <c r="B138">
        <f>B2</f>
        <v>0</v>
      </c>
      <c r="G138" s="87" t="s">
        <v>126</v>
      </c>
      <c r="H138">
        <f>H2</f>
        <v>0</v>
      </c>
      <c r="M138" s="87" t="s">
        <v>126</v>
      </c>
      <c r="N138">
        <f>N2</f>
        <v>0</v>
      </c>
      <c r="S138" s="87" t="s">
        <v>126</v>
      </c>
      <c r="T138">
        <f>T2</f>
        <v>0</v>
      </c>
      <c r="Y138" s="87" t="s">
        <v>126</v>
      </c>
      <c r="Z138">
        <f>Z2</f>
        <v>0</v>
      </c>
    </row>
    <row r="139" spans="1:30" ht="15" x14ac:dyDescent="0.25">
      <c r="A139" s="59" t="s">
        <v>127</v>
      </c>
      <c r="B139">
        <f t="shared" ref="B139:B202" si="25">B3</f>
        <v>0</v>
      </c>
      <c r="G139" s="59" t="s">
        <v>127</v>
      </c>
      <c r="H139">
        <f t="shared" ref="H139:H202" si="26">H3</f>
        <v>0</v>
      </c>
      <c r="M139" s="59" t="s">
        <v>127</v>
      </c>
      <c r="N139">
        <f t="shared" ref="N139:N202" si="27">N3</f>
        <v>1.22</v>
      </c>
      <c r="S139" s="59" t="s">
        <v>127</v>
      </c>
      <c r="T139">
        <f t="shared" ref="T139:T202" si="28">T3</f>
        <v>0</v>
      </c>
      <c r="Y139" s="59" t="s">
        <v>127</v>
      </c>
      <c r="Z139">
        <f t="shared" ref="Z139:Z202" si="29">Z3</f>
        <v>0</v>
      </c>
    </row>
    <row r="140" spans="1:30" ht="15" x14ac:dyDescent="0.25">
      <c r="A140" s="59" t="s">
        <v>128</v>
      </c>
      <c r="B140">
        <f t="shared" si="25"/>
        <v>29.889999999999993</v>
      </c>
      <c r="G140" s="59" t="s">
        <v>128</v>
      </c>
      <c r="H140">
        <f t="shared" si="26"/>
        <v>28.329999999999995</v>
      </c>
      <c r="M140" s="59" t="s">
        <v>128</v>
      </c>
      <c r="N140">
        <f t="shared" si="27"/>
        <v>10.369999999999997</v>
      </c>
      <c r="S140" s="59" t="s">
        <v>128</v>
      </c>
      <c r="T140">
        <f t="shared" si="28"/>
        <v>0</v>
      </c>
      <c r="Y140" s="59" t="s">
        <v>128</v>
      </c>
      <c r="Z140">
        <f t="shared" si="29"/>
        <v>0</v>
      </c>
    </row>
    <row r="141" spans="1:30" ht="15" x14ac:dyDescent="0.25">
      <c r="A141" s="59" t="s">
        <v>129</v>
      </c>
      <c r="B141">
        <f t="shared" si="25"/>
        <v>0</v>
      </c>
      <c r="G141" s="59" t="s">
        <v>129</v>
      </c>
      <c r="H141">
        <f t="shared" si="26"/>
        <v>0</v>
      </c>
      <c r="M141" s="59" t="s">
        <v>129</v>
      </c>
      <c r="N141">
        <f t="shared" si="27"/>
        <v>0</v>
      </c>
      <c r="S141" s="59" t="s">
        <v>129</v>
      </c>
      <c r="T141">
        <f t="shared" si="28"/>
        <v>0</v>
      </c>
      <c r="Y141" s="59" t="s">
        <v>129</v>
      </c>
      <c r="Z141">
        <f t="shared" si="29"/>
        <v>0</v>
      </c>
    </row>
    <row r="142" spans="1:30" ht="15" x14ac:dyDescent="0.25">
      <c r="A142" s="59" t="s">
        <v>33</v>
      </c>
      <c r="B142">
        <f t="shared" si="25"/>
        <v>3595.2826769999297</v>
      </c>
      <c r="G142" s="59" t="s">
        <v>33</v>
      </c>
      <c r="H142">
        <f t="shared" si="26"/>
        <v>3494.5859339999233</v>
      </c>
      <c r="M142" s="59" t="s">
        <v>33</v>
      </c>
      <c r="N142">
        <f t="shared" si="27"/>
        <v>4246.969859999901</v>
      </c>
      <c r="S142" s="59" t="s">
        <v>33</v>
      </c>
      <c r="T142">
        <f t="shared" si="28"/>
        <v>0</v>
      </c>
      <c r="Y142" s="59" t="s">
        <v>33</v>
      </c>
      <c r="Z142">
        <f t="shared" si="29"/>
        <v>0</v>
      </c>
    </row>
    <row r="143" spans="1:30" ht="15" x14ac:dyDescent="0.25">
      <c r="A143" s="59" t="s">
        <v>34</v>
      </c>
      <c r="B143">
        <f t="shared" si="25"/>
        <v>142.79897479999983</v>
      </c>
      <c r="G143" s="59" t="s">
        <v>34</v>
      </c>
      <c r="H143">
        <f t="shared" si="26"/>
        <v>179.68611639999975</v>
      </c>
      <c r="M143" s="59" t="s">
        <v>34</v>
      </c>
      <c r="N143">
        <f t="shared" si="27"/>
        <v>146.15481159999982</v>
      </c>
      <c r="S143" s="59" t="s">
        <v>34</v>
      </c>
      <c r="T143">
        <f t="shared" si="28"/>
        <v>0</v>
      </c>
      <c r="Y143" s="59" t="s">
        <v>34</v>
      </c>
      <c r="Z143">
        <f t="shared" si="29"/>
        <v>0</v>
      </c>
    </row>
    <row r="144" spans="1:30" ht="15" x14ac:dyDescent="0.25">
      <c r="A144" s="59" t="s">
        <v>130</v>
      </c>
      <c r="B144">
        <f t="shared" si="25"/>
        <v>0</v>
      </c>
      <c r="G144" s="59" t="s">
        <v>130</v>
      </c>
      <c r="H144">
        <f t="shared" si="26"/>
        <v>0.6</v>
      </c>
      <c r="M144" s="59" t="s">
        <v>130</v>
      </c>
      <c r="N144">
        <f t="shared" si="27"/>
        <v>7.38</v>
      </c>
      <c r="S144" s="59" t="s">
        <v>130</v>
      </c>
      <c r="T144">
        <f t="shared" si="28"/>
        <v>0</v>
      </c>
      <c r="Y144" s="59" t="s">
        <v>130</v>
      </c>
      <c r="Z144">
        <f t="shared" si="29"/>
        <v>0</v>
      </c>
    </row>
    <row r="145" spans="1:26" ht="15" x14ac:dyDescent="0.25">
      <c r="A145" s="59" t="s">
        <v>131</v>
      </c>
      <c r="B145">
        <f t="shared" si="25"/>
        <v>0</v>
      </c>
      <c r="G145" s="59" t="s">
        <v>131</v>
      </c>
      <c r="H145">
        <f t="shared" si="26"/>
        <v>0</v>
      </c>
      <c r="M145" s="59" t="s">
        <v>131</v>
      </c>
      <c r="N145">
        <f t="shared" si="27"/>
        <v>0</v>
      </c>
      <c r="S145" s="59" t="s">
        <v>131</v>
      </c>
      <c r="T145">
        <f t="shared" si="28"/>
        <v>0</v>
      </c>
      <c r="Y145" s="59" t="s">
        <v>131</v>
      </c>
      <c r="Z145">
        <f t="shared" si="29"/>
        <v>0</v>
      </c>
    </row>
    <row r="146" spans="1:26" ht="15" x14ac:dyDescent="0.25">
      <c r="A146" s="59" t="s">
        <v>132</v>
      </c>
      <c r="B146">
        <f t="shared" si="25"/>
        <v>0</v>
      </c>
      <c r="G146" s="59" t="s">
        <v>132</v>
      </c>
      <c r="H146">
        <f t="shared" si="26"/>
        <v>0</v>
      </c>
      <c r="M146" s="59" t="s">
        <v>132</v>
      </c>
      <c r="N146">
        <f t="shared" si="27"/>
        <v>0</v>
      </c>
      <c r="S146" s="59" t="s">
        <v>132</v>
      </c>
      <c r="T146">
        <f t="shared" si="28"/>
        <v>0</v>
      </c>
      <c r="Y146" s="59" t="s">
        <v>132</v>
      </c>
      <c r="Z146">
        <f t="shared" si="29"/>
        <v>0</v>
      </c>
    </row>
    <row r="147" spans="1:26" ht="15" x14ac:dyDescent="0.25">
      <c r="A147" s="59" t="s">
        <v>133</v>
      </c>
      <c r="B147">
        <f t="shared" si="25"/>
        <v>0</v>
      </c>
      <c r="G147" s="59" t="s">
        <v>133</v>
      </c>
      <c r="H147">
        <f t="shared" si="26"/>
        <v>0</v>
      </c>
      <c r="M147" s="59" t="s">
        <v>133</v>
      </c>
      <c r="N147">
        <f t="shared" si="27"/>
        <v>0.6</v>
      </c>
      <c r="S147" s="59" t="s">
        <v>133</v>
      </c>
      <c r="T147">
        <f t="shared" si="28"/>
        <v>0</v>
      </c>
      <c r="Y147" s="59" t="s">
        <v>133</v>
      </c>
      <c r="Z147">
        <f t="shared" si="29"/>
        <v>0</v>
      </c>
    </row>
    <row r="148" spans="1:26" ht="15" x14ac:dyDescent="0.25">
      <c r="A148" s="59" t="s">
        <v>35</v>
      </c>
      <c r="B148">
        <f t="shared" si="25"/>
        <v>375.73193720000029</v>
      </c>
      <c r="G148" s="59" t="s">
        <v>35</v>
      </c>
      <c r="H148">
        <f t="shared" si="26"/>
        <v>262.71601399999997</v>
      </c>
      <c r="M148" s="59" t="s">
        <v>35</v>
      </c>
      <c r="N148">
        <f t="shared" si="27"/>
        <v>292.37728120000043</v>
      </c>
      <c r="S148" s="59" t="s">
        <v>35</v>
      </c>
      <c r="T148">
        <f t="shared" si="28"/>
        <v>0</v>
      </c>
      <c r="Y148" s="59" t="s">
        <v>35</v>
      </c>
      <c r="Z148">
        <f t="shared" si="29"/>
        <v>0</v>
      </c>
    </row>
    <row r="149" spans="1:26" ht="15" x14ac:dyDescent="0.25">
      <c r="A149" s="59" t="s">
        <v>134</v>
      </c>
      <c r="B149">
        <f t="shared" si="25"/>
        <v>0</v>
      </c>
      <c r="G149" s="59" t="s">
        <v>134</v>
      </c>
      <c r="H149">
        <f t="shared" si="26"/>
        <v>0</v>
      </c>
      <c r="M149" s="59" t="s">
        <v>134</v>
      </c>
      <c r="N149">
        <f t="shared" si="27"/>
        <v>0</v>
      </c>
      <c r="S149" s="59" t="s">
        <v>134</v>
      </c>
      <c r="T149">
        <f t="shared" si="28"/>
        <v>0</v>
      </c>
      <c r="Y149" s="59" t="s">
        <v>134</v>
      </c>
      <c r="Z149">
        <f t="shared" si="29"/>
        <v>0</v>
      </c>
    </row>
    <row r="150" spans="1:26" ht="15" x14ac:dyDescent="0.25">
      <c r="A150" s="59" t="s">
        <v>135</v>
      </c>
      <c r="B150">
        <f t="shared" si="25"/>
        <v>0</v>
      </c>
      <c r="G150" s="59" t="s">
        <v>135</v>
      </c>
      <c r="H150">
        <f t="shared" si="26"/>
        <v>2.44</v>
      </c>
      <c r="M150" s="59" t="s">
        <v>135</v>
      </c>
      <c r="N150">
        <f t="shared" si="27"/>
        <v>0.61</v>
      </c>
      <c r="S150" s="59" t="s">
        <v>135</v>
      </c>
      <c r="T150">
        <f t="shared" si="28"/>
        <v>0</v>
      </c>
      <c r="Y150" s="59" t="s">
        <v>135</v>
      </c>
      <c r="Z150">
        <f t="shared" si="29"/>
        <v>0</v>
      </c>
    </row>
    <row r="151" spans="1:26" ht="15" x14ac:dyDescent="0.25">
      <c r="A151" s="59" t="s">
        <v>136</v>
      </c>
      <c r="B151">
        <f t="shared" si="25"/>
        <v>0</v>
      </c>
      <c r="G151" s="59" t="s">
        <v>136</v>
      </c>
      <c r="H151">
        <f t="shared" si="26"/>
        <v>0</v>
      </c>
      <c r="M151" s="59" t="s">
        <v>136</v>
      </c>
      <c r="N151">
        <f t="shared" si="27"/>
        <v>0</v>
      </c>
      <c r="S151" s="59" t="s">
        <v>136</v>
      </c>
      <c r="T151">
        <f t="shared" si="28"/>
        <v>0</v>
      </c>
      <c r="Y151" s="59" t="s">
        <v>136</v>
      </c>
      <c r="Z151">
        <f t="shared" si="29"/>
        <v>0</v>
      </c>
    </row>
    <row r="152" spans="1:26" ht="15" x14ac:dyDescent="0.25">
      <c r="A152" s="59" t="s">
        <v>137</v>
      </c>
      <c r="B152">
        <f t="shared" si="25"/>
        <v>0</v>
      </c>
      <c r="G152" s="59" t="s">
        <v>137</v>
      </c>
      <c r="H152">
        <f t="shared" si="26"/>
        <v>0</v>
      </c>
      <c r="M152" s="59" t="s">
        <v>137</v>
      </c>
      <c r="N152">
        <f t="shared" si="27"/>
        <v>0.61</v>
      </c>
      <c r="S152" s="59" t="s">
        <v>137</v>
      </c>
      <c r="T152">
        <f t="shared" si="28"/>
        <v>0</v>
      </c>
      <c r="Y152" s="59" t="s">
        <v>137</v>
      </c>
      <c r="Z152">
        <f t="shared" si="29"/>
        <v>0</v>
      </c>
    </row>
    <row r="153" spans="1:26" ht="15" x14ac:dyDescent="0.25">
      <c r="A153" s="59" t="s">
        <v>138</v>
      </c>
      <c r="B153">
        <f t="shared" si="25"/>
        <v>180.03000000000034</v>
      </c>
      <c r="G153" s="59" t="s">
        <v>138</v>
      </c>
      <c r="H153">
        <f t="shared" si="26"/>
        <v>131.91000000000003</v>
      </c>
      <c r="M153" s="59" t="s">
        <v>138</v>
      </c>
      <c r="N153">
        <f t="shared" si="27"/>
        <v>189.3900000000003</v>
      </c>
      <c r="S153" s="59" t="s">
        <v>138</v>
      </c>
      <c r="T153">
        <f t="shared" si="28"/>
        <v>0</v>
      </c>
      <c r="Y153" s="59" t="s">
        <v>138</v>
      </c>
      <c r="Z153">
        <f t="shared" si="29"/>
        <v>0</v>
      </c>
    </row>
    <row r="154" spans="1:26" ht="15" x14ac:dyDescent="0.25">
      <c r="A154" s="59" t="s">
        <v>139</v>
      </c>
      <c r="B154">
        <f t="shared" si="25"/>
        <v>0</v>
      </c>
      <c r="G154" s="59" t="s">
        <v>139</v>
      </c>
      <c r="H154">
        <f t="shared" si="26"/>
        <v>0</v>
      </c>
      <c r="M154" s="59" t="s">
        <v>139</v>
      </c>
      <c r="N154">
        <f t="shared" si="27"/>
        <v>0</v>
      </c>
      <c r="S154" s="59" t="s">
        <v>139</v>
      </c>
      <c r="T154">
        <f t="shared" si="28"/>
        <v>0</v>
      </c>
      <c r="Y154" s="59" t="s">
        <v>139</v>
      </c>
      <c r="Z154">
        <f t="shared" si="29"/>
        <v>0</v>
      </c>
    </row>
    <row r="155" spans="1:26" ht="15" x14ac:dyDescent="0.25">
      <c r="A155" s="59" t="s">
        <v>62</v>
      </c>
      <c r="B155">
        <f t="shared" si="25"/>
        <v>9.2285512000000001</v>
      </c>
      <c r="G155" s="59" t="s">
        <v>62</v>
      </c>
      <c r="H155">
        <f t="shared" si="26"/>
        <v>3.3964315999999997</v>
      </c>
      <c r="M155" s="59" t="s">
        <v>62</v>
      </c>
      <c r="N155">
        <f t="shared" si="27"/>
        <v>2.8822307999999999</v>
      </c>
      <c r="S155" s="59" t="s">
        <v>62</v>
      </c>
      <c r="T155">
        <f t="shared" si="28"/>
        <v>0</v>
      </c>
      <c r="Y155" s="59" t="s">
        <v>62</v>
      </c>
      <c r="Z155">
        <f t="shared" si="29"/>
        <v>0</v>
      </c>
    </row>
    <row r="156" spans="1:26" ht="15" x14ac:dyDescent="0.25">
      <c r="A156" s="59" t="s">
        <v>140</v>
      </c>
      <c r="B156">
        <f t="shared" si="25"/>
        <v>0</v>
      </c>
      <c r="G156" s="59" t="s">
        <v>140</v>
      </c>
      <c r="H156">
        <f t="shared" si="26"/>
        <v>0</v>
      </c>
      <c r="M156" s="59" t="s">
        <v>140</v>
      </c>
      <c r="N156">
        <f t="shared" si="27"/>
        <v>0</v>
      </c>
      <c r="S156" s="59" t="s">
        <v>140</v>
      </c>
      <c r="T156">
        <f t="shared" si="28"/>
        <v>0</v>
      </c>
      <c r="Y156" s="59" t="s">
        <v>140</v>
      </c>
      <c r="Z156">
        <f t="shared" si="29"/>
        <v>0</v>
      </c>
    </row>
    <row r="157" spans="1:26" ht="15" x14ac:dyDescent="0.25">
      <c r="A157" s="59" t="s">
        <v>141</v>
      </c>
      <c r="B157">
        <f t="shared" si="25"/>
        <v>0</v>
      </c>
      <c r="G157" s="59" t="s">
        <v>141</v>
      </c>
      <c r="H157">
        <f t="shared" si="26"/>
        <v>0.62</v>
      </c>
      <c r="M157" s="59" t="s">
        <v>141</v>
      </c>
      <c r="N157">
        <f t="shared" si="27"/>
        <v>0</v>
      </c>
      <c r="S157" s="59" t="s">
        <v>141</v>
      </c>
      <c r="T157">
        <f t="shared" si="28"/>
        <v>0</v>
      </c>
      <c r="Y157" s="59" t="s">
        <v>141</v>
      </c>
      <c r="Z157">
        <f t="shared" si="29"/>
        <v>0</v>
      </c>
    </row>
    <row r="158" spans="1:26" ht="15" x14ac:dyDescent="0.25">
      <c r="A158" s="59" t="s">
        <v>36</v>
      </c>
      <c r="B158">
        <f t="shared" si="25"/>
        <v>2372.7398143999931</v>
      </c>
      <c r="G158" s="59" t="s">
        <v>36</v>
      </c>
      <c r="H158">
        <f t="shared" si="26"/>
        <v>2682.6686783999762</v>
      </c>
      <c r="M158" s="59" t="s">
        <v>36</v>
      </c>
      <c r="N158">
        <f t="shared" si="27"/>
        <v>2495.8876287999901</v>
      </c>
      <c r="S158" s="59" t="s">
        <v>36</v>
      </c>
      <c r="T158">
        <f t="shared" si="28"/>
        <v>0</v>
      </c>
      <c r="Y158" s="59" t="s">
        <v>36</v>
      </c>
      <c r="Z158">
        <f t="shared" si="29"/>
        <v>0</v>
      </c>
    </row>
    <row r="159" spans="1:26" ht="15" x14ac:dyDescent="0.25">
      <c r="A159" s="59" t="s">
        <v>142</v>
      </c>
      <c r="B159">
        <f t="shared" si="25"/>
        <v>0</v>
      </c>
      <c r="G159" s="59" t="s">
        <v>142</v>
      </c>
      <c r="H159">
        <f t="shared" si="26"/>
        <v>0</v>
      </c>
      <c r="M159" s="59" t="s">
        <v>142</v>
      </c>
      <c r="N159">
        <f t="shared" si="27"/>
        <v>0</v>
      </c>
      <c r="S159" s="59" t="s">
        <v>142</v>
      </c>
      <c r="T159">
        <f t="shared" si="28"/>
        <v>0</v>
      </c>
      <c r="Y159" s="59" t="s">
        <v>142</v>
      </c>
      <c r="Z159">
        <f t="shared" si="29"/>
        <v>0</v>
      </c>
    </row>
    <row r="160" spans="1:26" ht="15" x14ac:dyDescent="0.25">
      <c r="A160" s="59" t="s">
        <v>143</v>
      </c>
      <c r="B160">
        <f t="shared" si="25"/>
        <v>0</v>
      </c>
      <c r="G160" s="59" t="s">
        <v>143</v>
      </c>
      <c r="H160">
        <f t="shared" si="26"/>
        <v>0</v>
      </c>
      <c r="M160" s="59" t="s">
        <v>143</v>
      </c>
      <c r="N160">
        <f t="shared" si="27"/>
        <v>0</v>
      </c>
      <c r="S160" s="59" t="s">
        <v>143</v>
      </c>
      <c r="T160">
        <f t="shared" si="28"/>
        <v>0</v>
      </c>
      <c r="Y160" s="59" t="s">
        <v>143</v>
      </c>
      <c r="Z160">
        <f t="shared" si="29"/>
        <v>0</v>
      </c>
    </row>
    <row r="161" spans="1:26" ht="15" x14ac:dyDescent="0.25">
      <c r="A161" s="59" t="s">
        <v>144</v>
      </c>
      <c r="B161">
        <f t="shared" si="25"/>
        <v>43.919999999999995</v>
      </c>
      <c r="G161" s="59" t="s">
        <v>144</v>
      </c>
      <c r="H161">
        <f t="shared" si="26"/>
        <v>30.159999999999989</v>
      </c>
      <c r="M161" s="59" t="s">
        <v>144</v>
      </c>
      <c r="N161">
        <f t="shared" si="27"/>
        <v>67.549999999999983</v>
      </c>
      <c r="S161" s="59" t="s">
        <v>144</v>
      </c>
      <c r="T161">
        <f t="shared" si="28"/>
        <v>0</v>
      </c>
      <c r="Y161" s="59" t="s">
        <v>144</v>
      </c>
      <c r="Z161">
        <f t="shared" si="29"/>
        <v>0</v>
      </c>
    </row>
    <row r="162" spans="1:26" ht="15" x14ac:dyDescent="0.25">
      <c r="A162" s="59" t="s">
        <v>145</v>
      </c>
      <c r="B162">
        <f t="shared" si="25"/>
        <v>10.979999999999999</v>
      </c>
      <c r="G162" s="59" t="s">
        <v>145</v>
      </c>
      <c r="H162">
        <f t="shared" si="26"/>
        <v>26.229999999999997</v>
      </c>
      <c r="M162" s="59" t="s">
        <v>145</v>
      </c>
      <c r="N162">
        <f t="shared" si="27"/>
        <v>6.21</v>
      </c>
      <c r="S162" s="59" t="s">
        <v>145</v>
      </c>
      <c r="T162">
        <f t="shared" si="28"/>
        <v>0</v>
      </c>
      <c r="Y162" s="59" t="s">
        <v>145</v>
      </c>
      <c r="Z162">
        <f t="shared" si="29"/>
        <v>0</v>
      </c>
    </row>
    <row r="163" spans="1:26" ht="15" x14ac:dyDescent="0.25">
      <c r="A163" s="59" t="s">
        <v>146</v>
      </c>
      <c r="B163">
        <f t="shared" si="25"/>
        <v>16.469999999999995</v>
      </c>
      <c r="G163" s="59" t="s">
        <v>146</v>
      </c>
      <c r="H163">
        <f t="shared" si="26"/>
        <v>9.33</v>
      </c>
      <c r="M163" s="59" t="s">
        <v>146</v>
      </c>
      <c r="N163">
        <f t="shared" si="27"/>
        <v>6.7100000000000009</v>
      </c>
      <c r="S163" s="59" t="s">
        <v>146</v>
      </c>
      <c r="T163">
        <f t="shared" si="28"/>
        <v>0</v>
      </c>
      <c r="Y163" s="59" t="s">
        <v>146</v>
      </c>
      <c r="Z163">
        <f t="shared" si="29"/>
        <v>0</v>
      </c>
    </row>
    <row r="164" spans="1:26" ht="15" x14ac:dyDescent="0.25">
      <c r="A164" s="88" t="s">
        <v>61</v>
      </c>
      <c r="B164">
        <f t="shared" si="25"/>
        <v>1.9214871999999998</v>
      </c>
      <c r="G164" s="88" t="s">
        <v>61</v>
      </c>
      <c r="H164">
        <f t="shared" si="26"/>
        <v>2.2056507999999999</v>
      </c>
      <c r="M164" s="88" t="s">
        <v>61</v>
      </c>
      <c r="N164">
        <f t="shared" si="27"/>
        <v>0</v>
      </c>
      <c r="S164" s="88" t="s">
        <v>61</v>
      </c>
      <c r="T164">
        <f t="shared" si="28"/>
        <v>0</v>
      </c>
      <c r="Y164" s="88" t="s">
        <v>61</v>
      </c>
      <c r="Z164">
        <f t="shared" si="29"/>
        <v>0</v>
      </c>
    </row>
    <row r="165" spans="1:26" ht="15" x14ac:dyDescent="0.25">
      <c r="A165" s="59" t="s">
        <v>60</v>
      </c>
      <c r="B165">
        <f t="shared" si="25"/>
        <v>8.2678075999999994</v>
      </c>
      <c r="G165" s="59" t="s">
        <v>60</v>
      </c>
      <c r="H165">
        <f t="shared" si="26"/>
        <v>21.718218000000004</v>
      </c>
      <c r="M165" s="59" t="s">
        <v>60</v>
      </c>
      <c r="N165">
        <f t="shared" si="27"/>
        <v>65.777107600000008</v>
      </c>
      <c r="S165" s="59" t="s">
        <v>60</v>
      </c>
      <c r="T165">
        <f t="shared" si="28"/>
        <v>0</v>
      </c>
      <c r="Y165" s="59" t="s">
        <v>60</v>
      </c>
      <c r="Z165">
        <f t="shared" si="29"/>
        <v>0</v>
      </c>
    </row>
    <row r="166" spans="1:26" ht="15" x14ac:dyDescent="0.25">
      <c r="A166" s="59" t="s">
        <v>37</v>
      </c>
      <c r="B166">
        <f t="shared" si="25"/>
        <v>130.39049759999995</v>
      </c>
      <c r="G166" s="59" t="s">
        <v>37</v>
      </c>
      <c r="H166">
        <f t="shared" si="26"/>
        <v>118.55034759999995</v>
      </c>
      <c r="M166" s="59" t="s">
        <v>37</v>
      </c>
      <c r="N166">
        <f t="shared" si="27"/>
        <v>115.81696439999996</v>
      </c>
      <c r="S166" s="59" t="s">
        <v>37</v>
      </c>
      <c r="T166">
        <f t="shared" si="28"/>
        <v>0</v>
      </c>
      <c r="Y166" s="59" t="s">
        <v>37</v>
      </c>
      <c r="Z166">
        <f t="shared" si="29"/>
        <v>0</v>
      </c>
    </row>
    <row r="167" spans="1:26" ht="15" x14ac:dyDescent="0.25">
      <c r="A167" s="59" t="s">
        <v>147</v>
      </c>
      <c r="B167">
        <f t="shared" si="25"/>
        <v>0</v>
      </c>
      <c r="G167" s="59" t="s">
        <v>147</v>
      </c>
      <c r="H167">
        <f t="shared" si="26"/>
        <v>0</v>
      </c>
      <c r="M167" s="59" t="s">
        <v>147</v>
      </c>
      <c r="N167">
        <f t="shared" si="27"/>
        <v>0</v>
      </c>
      <c r="S167" s="59" t="s">
        <v>147</v>
      </c>
      <c r="T167">
        <f t="shared" si="28"/>
        <v>0</v>
      </c>
      <c r="Y167" s="59" t="s">
        <v>147</v>
      </c>
      <c r="Z167">
        <f t="shared" si="29"/>
        <v>0</v>
      </c>
    </row>
    <row r="168" spans="1:26" ht="15" x14ac:dyDescent="0.25">
      <c r="A168" s="59" t="s">
        <v>148</v>
      </c>
      <c r="B168">
        <f t="shared" si="25"/>
        <v>6.1</v>
      </c>
      <c r="G168" s="59" t="s">
        <v>148</v>
      </c>
      <c r="H168">
        <f t="shared" si="26"/>
        <v>0</v>
      </c>
      <c r="M168" s="59" t="s">
        <v>148</v>
      </c>
      <c r="N168">
        <f t="shared" si="27"/>
        <v>1.22</v>
      </c>
      <c r="S168" s="59" t="s">
        <v>148</v>
      </c>
      <c r="T168">
        <f t="shared" si="28"/>
        <v>0</v>
      </c>
      <c r="Y168" s="59" t="s">
        <v>148</v>
      </c>
      <c r="Z168">
        <f t="shared" si="29"/>
        <v>0</v>
      </c>
    </row>
    <row r="169" spans="1:26" ht="15" x14ac:dyDescent="0.25">
      <c r="A169" s="88" t="s">
        <v>149</v>
      </c>
      <c r="B169">
        <f t="shared" si="25"/>
        <v>4.2699999999999996</v>
      </c>
      <c r="G169" s="88" t="s">
        <v>149</v>
      </c>
      <c r="H169">
        <f t="shared" si="26"/>
        <v>1.83</v>
      </c>
      <c r="M169" s="88" t="s">
        <v>149</v>
      </c>
      <c r="N169">
        <f t="shared" si="27"/>
        <v>2.44</v>
      </c>
      <c r="S169" s="88" t="s">
        <v>149</v>
      </c>
      <c r="T169">
        <f t="shared" si="28"/>
        <v>0</v>
      </c>
      <c r="Y169" s="88" t="s">
        <v>149</v>
      </c>
      <c r="Z169">
        <f t="shared" si="29"/>
        <v>0</v>
      </c>
    </row>
    <row r="170" spans="1:26" ht="15" x14ac:dyDescent="0.25">
      <c r="A170" s="59" t="s">
        <v>150</v>
      </c>
      <c r="B170">
        <f t="shared" si="25"/>
        <v>0</v>
      </c>
      <c r="G170" s="59" t="s">
        <v>150</v>
      </c>
      <c r="H170">
        <f t="shared" si="26"/>
        <v>2.44</v>
      </c>
      <c r="M170" s="59" t="s">
        <v>150</v>
      </c>
      <c r="N170">
        <f t="shared" si="27"/>
        <v>0.61</v>
      </c>
      <c r="S170" s="59" t="s">
        <v>150</v>
      </c>
      <c r="T170">
        <f t="shared" si="28"/>
        <v>0</v>
      </c>
      <c r="Y170" s="59" t="s">
        <v>150</v>
      </c>
      <c r="Z170">
        <f t="shared" si="29"/>
        <v>0</v>
      </c>
    </row>
    <row r="171" spans="1:26" ht="15" x14ac:dyDescent="0.25">
      <c r="A171" s="59" t="s">
        <v>59</v>
      </c>
      <c r="B171">
        <f t="shared" si="25"/>
        <v>0</v>
      </c>
      <c r="G171" s="59" t="s">
        <v>59</v>
      </c>
      <c r="H171">
        <f t="shared" si="26"/>
        <v>0.96074359999999992</v>
      </c>
      <c r="M171" s="59" t="s">
        <v>59</v>
      </c>
      <c r="N171">
        <f t="shared" si="27"/>
        <v>1.2449071999999999</v>
      </c>
      <c r="S171" s="59" t="s">
        <v>59</v>
      </c>
      <c r="T171">
        <f t="shared" si="28"/>
        <v>0</v>
      </c>
      <c r="Y171" s="59" t="s">
        <v>59</v>
      </c>
      <c r="Z171">
        <f t="shared" si="29"/>
        <v>0</v>
      </c>
    </row>
    <row r="172" spans="1:26" ht="15" x14ac:dyDescent="0.25">
      <c r="A172" s="59" t="s">
        <v>151</v>
      </c>
      <c r="B172">
        <f t="shared" si="25"/>
        <v>0</v>
      </c>
      <c r="G172" s="59" t="s">
        <v>151</v>
      </c>
      <c r="H172">
        <f t="shared" si="26"/>
        <v>0</v>
      </c>
      <c r="M172" s="59" t="s">
        <v>151</v>
      </c>
      <c r="N172">
        <f t="shared" si="27"/>
        <v>0</v>
      </c>
      <c r="S172" s="59" t="s">
        <v>151</v>
      </c>
      <c r="T172">
        <f t="shared" si="28"/>
        <v>0</v>
      </c>
      <c r="Y172" s="59" t="s">
        <v>151</v>
      </c>
      <c r="Z172">
        <f t="shared" si="29"/>
        <v>0</v>
      </c>
    </row>
    <row r="173" spans="1:26" ht="15" x14ac:dyDescent="0.25">
      <c r="A173" s="59" t="s">
        <v>38</v>
      </c>
      <c r="B173">
        <f t="shared" si="25"/>
        <v>35.588108000000005</v>
      </c>
      <c r="G173" s="59" t="s">
        <v>38</v>
      </c>
      <c r="H173">
        <f t="shared" si="26"/>
        <v>29.553014400000013</v>
      </c>
      <c r="M173" s="59" t="s">
        <v>38</v>
      </c>
      <c r="N173">
        <f t="shared" si="27"/>
        <v>86.696961200000018</v>
      </c>
      <c r="S173" s="59" t="s">
        <v>38</v>
      </c>
      <c r="T173">
        <f t="shared" si="28"/>
        <v>0</v>
      </c>
      <c r="Y173" s="59" t="s">
        <v>38</v>
      </c>
      <c r="Z173">
        <f t="shared" si="29"/>
        <v>0</v>
      </c>
    </row>
    <row r="174" spans="1:26" ht="15" x14ac:dyDescent="0.25">
      <c r="A174" s="88" t="s">
        <v>39</v>
      </c>
      <c r="B174">
        <f t="shared" si="25"/>
        <v>637.18951239999728</v>
      </c>
      <c r="G174" s="88" t="s">
        <v>39</v>
      </c>
      <c r="H174">
        <f t="shared" si="26"/>
        <v>512.45522359999813</v>
      </c>
      <c r="M174" s="88" t="s">
        <v>39</v>
      </c>
      <c r="N174">
        <f t="shared" si="27"/>
        <v>562.305637999998</v>
      </c>
      <c r="S174" s="88" t="s">
        <v>39</v>
      </c>
      <c r="T174">
        <f t="shared" si="28"/>
        <v>0</v>
      </c>
      <c r="Y174" s="88" t="s">
        <v>39</v>
      </c>
      <c r="Z174">
        <f t="shared" si="29"/>
        <v>0</v>
      </c>
    </row>
    <row r="175" spans="1:26" ht="15" x14ac:dyDescent="0.25">
      <c r="A175" s="59" t="s">
        <v>152</v>
      </c>
      <c r="B175">
        <f t="shared" si="25"/>
        <v>0</v>
      </c>
      <c r="G175" s="59" t="s">
        <v>152</v>
      </c>
      <c r="H175">
        <f t="shared" si="26"/>
        <v>0</v>
      </c>
      <c r="M175" s="59" t="s">
        <v>152</v>
      </c>
      <c r="N175">
        <f t="shared" si="27"/>
        <v>0</v>
      </c>
      <c r="S175" s="59" t="s">
        <v>152</v>
      </c>
      <c r="T175">
        <f t="shared" si="28"/>
        <v>0</v>
      </c>
      <c r="Y175" s="59" t="s">
        <v>152</v>
      </c>
      <c r="Z175">
        <f t="shared" si="29"/>
        <v>0</v>
      </c>
    </row>
    <row r="176" spans="1:26" ht="15" x14ac:dyDescent="0.25">
      <c r="A176" s="88" t="s">
        <v>40</v>
      </c>
      <c r="B176">
        <f t="shared" si="25"/>
        <v>1334.0804440000056</v>
      </c>
      <c r="G176" s="88" t="s">
        <v>40</v>
      </c>
      <c r="H176">
        <f t="shared" si="26"/>
        <v>1383.8496688000073</v>
      </c>
      <c r="M176" s="88" t="s">
        <v>40</v>
      </c>
      <c r="N176">
        <f t="shared" si="27"/>
        <v>1193.7171572000047</v>
      </c>
      <c r="S176" s="88" t="s">
        <v>40</v>
      </c>
      <c r="T176">
        <f t="shared" si="28"/>
        <v>0</v>
      </c>
      <c r="Y176" s="88" t="s">
        <v>40</v>
      </c>
      <c r="Z176">
        <f t="shared" si="29"/>
        <v>0</v>
      </c>
    </row>
    <row r="177" spans="1:26" ht="15" x14ac:dyDescent="0.25">
      <c r="A177" s="59" t="s">
        <v>153</v>
      </c>
      <c r="B177">
        <f t="shared" si="25"/>
        <v>0</v>
      </c>
      <c r="G177" s="59" t="s">
        <v>153</v>
      </c>
      <c r="H177">
        <f t="shared" si="26"/>
        <v>0</v>
      </c>
      <c r="M177" s="59" t="s">
        <v>153</v>
      </c>
      <c r="N177">
        <f t="shared" si="27"/>
        <v>0</v>
      </c>
      <c r="S177" s="59" t="s">
        <v>153</v>
      </c>
      <c r="T177">
        <f t="shared" si="28"/>
        <v>0</v>
      </c>
      <c r="Y177" s="59" t="s">
        <v>153</v>
      </c>
      <c r="Z177">
        <f t="shared" si="29"/>
        <v>0</v>
      </c>
    </row>
    <row r="178" spans="1:26" ht="15" x14ac:dyDescent="0.25">
      <c r="A178" s="59" t="s">
        <v>41</v>
      </c>
      <c r="B178">
        <f t="shared" si="25"/>
        <v>43.571752000000004</v>
      </c>
      <c r="G178" s="59" t="s">
        <v>41</v>
      </c>
      <c r="H178">
        <f t="shared" si="26"/>
        <v>8.6466923999999992</v>
      </c>
      <c r="M178" s="59" t="s">
        <v>41</v>
      </c>
      <c r="N178">
        <f t="shared" si="27"/>
        <v>29.011750400000004</v>
      </c>
      <c r="S178" s="59" t="s">
        <v>41</v>
      </c>
      <c r="T178">
        <f t="shared" si="28"/>
        <v>0</v>
      </c>
      <c r="Y178" s="59" t="s">
        <v>41</v>
      </c>
      <c r="Z178">
        <f t="shared" si="29"/>
        <v>0</v>
      </c>
    </row>
    <row r="179" spans="1:26" ht="15" x14ac:dyDescent="0.25">
      <c r="A179" s="59" t="s">
        <v>154</v>
      </c>
      <c r="B179">
        <f t="shared" si="25"/>
        <v>0</v>
      </c>
      <c r="G179" s="59" t="s">
        <v>154</v>
      </c>
      <c r="H179">
        <f t="shared" si="26"/>
        <v>0</v>
      </c>
      <c r="M179" s="59" t="s">
        <v>154</v>
      </c>
      <c r="N179">
        <f t="shared" si="27"/>
        <v>0</v>
      </c>
      <c r="S179" s="59" t="s">
        <v>154</v>
      </c>
      <c r="T179">
        <f t="shared" si="28"/>
        <v>0</v>
      </c>
      <c r="Y179" s="59" t="s">
        <v>154</v>
      </c>
      <c r="Z179">
        <f t="shared" si="29"/>
        <v>0</v>
      </c>
    </row>
    <row r="180" spans="1:26" ht="15" x14ac:dyDescent="0.25">
      <c r="A180" s="59" t="s">
        <v>155</v>
      </c>
      <c r="B180">
        <f t="shared" si="25"/>
        <v>1.83</v>
      </c>
      <c r="G180" s="59" t="s">
        <v>155</v>
      </c>
      <c r="H180">
        <f t="shared" si="26"/>
        <v>7.3200000000000012</v>
      </c>
      <c r="M180" s="59" t="s">
        <v>155</v>
      </c>
      <c r="N180">
        <f t="shared" si="27"/>
        <v>1.83</v>
      </c>
      <c r="S180" s="59" t="s">
        <v>155</v>
      </c>
      <c r="T180">
        <f t="shared" si="28"/>
        <v>0</v>
      </c>
      <c r="Y180" s="59" t="s">
        <v>155</v>
      </c>
      <c r="Z180">
        <f t="shared" si="29"/>
        <v>0</v>
      </c>
    </row>
    <row r="181" spans="1:26" ht="15" x14ac:dyDescent="0.25">
      <c r="A181" s="59" t="s">
        <v>156</v>
      </c>
      <c r="B181">
        <f t="shared" si="25"/>
        <v>0</v>
      </c>
      <c r="G181" s="59" t="s">
        <v>156</v>
      </c>
      <c r="H181">
        <f t="shared" si="26"/>
        <v>0</v>
      </c>
      <c r="M181" s="59" t="s">
        <v>156</v>
      </c>
      <c r="N181">
        <f t="shared" si="27"/>
        <v>0</v>
      </c>
      <c r="S181" s="59" t="s">
        <v>156</v>
      </c>
      <c r="T181">
        <f t="shared" si="28"/>
        <v>0</v>
      </c>
      <c r="Y181" s="59" t="s">
        <v>156</v>
      </c>
      <c r="Z181">
        <f t="shared" si="29"/>
        <v>0</v>
      </c>
    </row>
    <row r="182" spans="1:26" ht="15" x14ac:dyDescent="0.25">
      <c r="A182" s="59" t="s">
        <v>157</v>
      </c>
      <c r="B182">
        <f t="shared" si="25"/>
        <v>0</v>
      </c>
      <c r="G182" s="59" t="s">
        <v>157</v>
      </c>
      <c r="H182">
        <f t="shared" si="26"/>
        <v>6.1</v>
      </c>
      <c r="M182" s="59" t="s">
        <v>157</v>
      </c>
      <c r="N182">
        <f t="shared" si="27"/>
        <v>0.61</v>
      </c>
      <c r="S182" s="59" t="s">
        <v>157</v>
      </c>
      <c r="T182">
        <f t="shared" si="28"/>
        <v>0</v>
      </c>
      <c r="Y182" s="59" t="s">
        <v>157</v>
      </c>
      <c r="Z182">
        <f t="shared" si="29"/>
        <v>0</v>
      </c>
    </row>
    <row r="183" spans="1:26" ht="15" x14ac:dyDescent="0.25">
      <c r="A183" s="59" t="s">
        <v>158</v>
      </c>
      <c r="B183">
        <f t="shared" si="25"/>
        <v>18.695952000000002</v>
      </c>
      <c r="G183" s="59" t="s">
        <v>158</v>
      </c>
      <c r="H183">
        <f t="shared" si="26"/>
        <v>32.792596799999998</v>
      </c>
      <c r="M183" s="59" t="s">
        <v>158</v>
      </c>
      <c r="N183">
        <f t="shared" si="27"/>
        <v>33.910233600000005</v>
      </c>
      <c r="S183" s="59" t="s">
        <v>158</v>
      </c>
      <c r="T183">
        <f t="shared" si="28"/>
        <v>0</v>
      </c>
      <c r="Y183" s="59" t="s">
        <v>158</v>
      </c>
      <c r="Z183">
        <f t="shared" si="29"/>
        <v>0</v>
      </c>
    </row>
    <row r="184" spans="1:26" ht="15" x14ac:dyDescent="0.25">
      <c r="A184" s="88" t="s">
        <v>58</v>
      </c>
      <c r="B184">
        <f t="shared" si="25"/>
        <v>14.681786000000001</v>
      </c>
      <c r="G184" s="88" t="s">
        <v>58</v>
      </c>
      <c r="H184">
        <f t="shared" si="26"/>
        <v>0.96074359999999992</v>
      </c>
      <c r="M184" s="88" t="s">
        <v>58</v>
      </c>
      <c r="N184">
        <f t="shared" si="27"/>
        <v>16.914500000000004</v>
      </c>
      <c r="S184" s="88" t="s">
        <v>58</v>
      </c>
      <c r="T184">
        <f t="shared" si="28"/>
        <v>0</v>
      </c>
      <c r="Y184" s="88" t="s">
        <v>58</v>
      </c>
      <c r="Z184">
        <f t="shared" si="29"/>
        <v>0</v>
      </c>
    </row>
    <row r="185" spans="1:26" ht="15" x14ac:dyDescent="0.25">
      <c r="A185" s="59" t="s">
        <v>159</v>
      </c>
      <c r="B185">
        <f t="shared" si="25"/>
        <v>16.164833999999992</v>
      </c>
      <c r="G185" s="59" t="s">
        <v>159</v>
      </c>
      <c r="H185">
        <f t="shared" si="26"/>
        <v>15.494093999999986</v>
      </c>
      <c r="M185" s="59" t="s">
        <v>159</v>
      </c>
      <c r="N185">
        <f t="shared" si="27"/>
        <v>14.365014999999985</v>
      </c>
      <c r="S185" s="59" t="s">
        <v>159</v>
      </c>
      <c r="T185">
        <f t="shared" si="28"/>
        <v>0</v>
      </c>
      <c r="Y185" s="59" t="s">
        <v>159</v>
      </c>
      <c r="Z185">
        <f t="shared" si="29"/>
        <v>0</v>
      </c>
    </row>
    <row r="186" spans="1:26" ht="15" x14ac:dyDescent="0.25">
      <c r="A186" s="59" t="s">
        <v>160</v>
      </c>
      <c r="B186">
        <f t="shared" si="25"/>
        <v>17.1312</v>
      </c>
      <c r="G186" s="59" t="s">
        <v>160</v>
      </c>
      <c r="H186">
        <f t="shared" si="26"/>
        <v>17.670400000000001</v>
      </c>
      <c r="M186" s="59" t="s">
        <v>160</v>
      </c>
      <c r="N186">
        <f t="shared" si="27"/>
        <v>31.945600000000002</v>
      </c>
      <c r="S186" s="59" t="s">
        <v>160</v>
      </c>
      <c r="T186">
        <f t="shared" si="28"/>
        <v>0</v>
      </c>
      <c r="Y186" s="59" t="s">
        <v>160</v>
      </c>
      <c r="Z186">
        <f t="shared" si="29"/>
        <v>0</v>
      </c>
    </row>
    <row r="187" spans="1:26" ht="15" x14ac:dyDescent="0.25">
      <c r="A187" s="59" t="s">
        <v>42</v>
      </c>
      <c r="B187">
        <f t="shared" si="25"/>
        <v>204.17831239999992</v>
      </c>
      <c r="G187" s="59" t="s">
        <v>42</v>
      </c>
      <c r="H187">
        <f t="shared" si="26"/>
        <v>256.59973079999992</v>
      </c>
      <c r="M187" s="59" t="s">
        <v>42</v>
      </c>
      <c r="N187">
        <f t="shared" si="27"/>
        <v>165.87035279999955</v>
      </c>
      <c r="S187" s="59" t="s">
        <v>42</v>
      </c>
      <c r="T187">
        <f t="shared" si="28"/>
        <v>0</v>
      </c>
      <c r="Y187" s="59" t="s">
        <v>42</v>
      </c>
      <c r="Z187">
        <f t="shared" si="29"/>
        <v>0</v>
      </c>
    </row>
    <row r="188" spans="1:26" ht="15" x14ac:dyDescent="0.25">
      <c r="A188" s="88" t="s">
        <v>161</v>
      </c>
      <c r="B188">
        <f t="shared" si="25"/>
        <v>47.775052399999979</v>
      </c>
      <c r="G188" s="88" t="s">
        <v>161</v>
      </c>
      <c r="H188">
        <f t="shared" si="26"/>
        <v>38.266785199999987</v>
      </c>
      <c r="M188" s="88" t="s">
        <v>161</v>
      </c>
      <c r="N188">
        <f t="shared" si="27"/>
        <v>36.362851599999964</v>
      </c>
      <c r="S188" s="88" t="s">
        <v>161</v>
      </c>
      <c r="T188">
        <f t="shared" si="28"/>
        <v>0</v>
      </c>
      <c r="Y188" s="88" t="s">
        <v>161</v>
      </c>
      <c r="Z188">
        <f t="shared" si="29"/>
        <v>0</v>
      </c>
    </row>
    <row r="189" spans="1:26" ht="15" x14ac:dyDescent="0.25">
      <c r="A189" s="59" t="s">
        <v>11</v>
      </c>
      <c r="B189">
        <f t="shared" si="25"/>
        <v>340.92866200000043</v>
      </c>
      <c r="G189" s="59" t="s">
        <v>11</v>
      </c>
      <c r="H189">
        <f t="shared" si="26"/>
        <v>305.11051680000025</v>
      </c>
      <c r="M189" s="59" t="s">
        <v>11</v>
      </c>
      <c r="N189">
        <f t="shared" si="27"/>
        <v>272.07988119999999</v>
      </c>
      <c r="S189" s="59" t="s">
        <v>11</v>
      </c>
      <c r="T189">
        <f t="shared" si="28"/>
        <v>0</v>
      </c>
      <c r="Y189" s="59" t="s">
        <v>11</v>
      </c>
      <c r="Z189">
        <f t="shared" si="29"/>
        <v>0</v>
      </c>
    </row>
    <row r="190" spans="1:26" ht="15" x14ac:dyDescent="0.25">
      <c r="A190" s="59" t="s">
        <v>13</v>
      </c>
      <c r="B190">
        <f t="shared" si="25"/>
        <v>1147.94192</v>
      </c>
      <c r="G190" s="59" t="s">
        <v>13</v>
      </c>
      <c r="H190">
        <f t="shared" si="26"/>
        <v>1115.75344</v>
      </c>
      <c r="M190" s="59" t="s">
        <v>13</v>
      </c>
      <c r="N190">
        <f t="shared" si="27"/>
        <v>1265.91104</v>
      </c>
      <c r="S190" s="59" t="s">
        <v>13</v>
      </c>
      <c r="T190">
        <f t="shared" si="28"/>
        <v>0</v>
      </c>
      <c r="Y190" s="59" t="s">
        <v>13</v>
      </c>
      <c r="Z190">
        <f t="shared" si="29"/>
        <v>0</v>
      </c>
    </row>
    <row r="191" spans="1:26" ht="15" x14ac:dyDescent="0.25">
      <c r="A191" s="59" t="s">
        <v>162</v>
      </c>
      <c r="B191">
        <f t="shared" si="25"/>
        <v>1.2</v>
      </c>
      <c r="G191" s="59" t="s">
        <v>162</v>
      </c>
      <c r="H191">
        <f t="shared" si="26"/>
        <v>2.34</v>
      </c>
      <c r="M191" s="59" t="s">
        <v>162</v>
      </c>
      <c r="N191">
        <f t="shared" si="27"/>
        <v>0.6</v>
      </c>
      <c r="S191" s="59" t="s">
        <v>162</v>
      </c>
      <c r="T191">
        <f t="shared" si="28"/>
        <v>0</v>
      </c>
      <c r="Y191" s="59" t="s">
        <v>162</v>
      </c>
      <c r="Z191">
        <f t="shared" si="29"/>
        <v>0</v>
      </c>
    </row>
    <row r="192" spans="1:26" ht="15" x14ac:dyDescent="0.25">
      <c r="A192" s="59" t="s">
        <v>163</v>
      </c>
      <c r="B192">
        <f t="shared" si="25"/>
        <v>0</v>
      </c>
      <c r="G192" s="59" t="s">
        <v>163</v>
      </c>
      <c r="H192">
        <f t="shared" si="26"/>
        <v>0</v>
      </c>
      <c r="M192" s="59" t="s">
        <v>163</v>
      </c>
      <c r="N192">
        <f t="shared" si="27"/>
        <v>0</v>
      </c>
      <c r="S192" s="59" t="s">
        <v>163</v>
      </c>
      <c r="T192">
        <f t="shared" si="28"/>
        <v>0</v>
      </c>
      <c r="Y192" s="59" t="s">
        <v>163</v>
      </c>
      <c r="Z192">
        <f t="shared" si="29"/>
        <v>0</v>
      </c>
    </row>
    <row r="193" spans="1:26" ht="15" x14ac:dyDescent="0.25">
      <c r="A193" s="59" t="s">
        <v>164</v>
      </c>
      <c r="B193">
        <f t="shared" si="25"/>
        <v>0</v>
      </c>
      <c r="G193" s="59" t="s">
        <v>164</v>
      </c>
      <c r="H193">
        <f t="shared" si="26"/>
        <v>0</v>
      </c>
      <c r="M193" s="59" t="s">
        <v>164</v>
      </c>
      <c r="N193">
        <f t="shared" si="27"/>
        <v>0</v>
      </c>
      <c r="S193" s="59" t="s">
        <v>164</v>
      </c>
      <c r="T193">
        <f t="shared" si="28"/>
        <v>0</v>
      </c>
      <c r="Y193" s="59" t="s">
        <v>164</v>
      </c>
      <c r="Z193">
        <f t="shared" si="29"/>
        <v>0</v>
      </c>
    </row>
    <row r="194" spans="1:26" ht="15" x14ac:dyDescent="0.25">
      <c r="A194" s="88" t="s">
        <v>203</v>
      </c>
      <c r="B194">
        <f t="shared" si="25"/>
        <v>0</v>
      </c>
      <c r="G194" s="88" t="s">
        <v>203</v>
      </c>
      <c r="H194">
        <f t="shared" si="26"/>
        <v>0</v>
      </c>
      <c r="M194" s="88" t="s">
        <v>203</v>
      </c>
      <c r="N194">
        <f t="shared" si="27"/>
        <v>0</v>
      </c>
      <c r="S194" s="88" t="s">
        <v>203</v>
      </c>
      <c r="T194">
        <f t="shared" si="28"/>
        <v>0</v>
      </c>
      <c r="Y194" s="88" t="s">
        <v>203</v>
      </c>
      <c r="Z194">
        <f t="shared" si="29"/>
        <v>0</v>
      </c>
    </row>
    <row r="195" spans="1:26" ht="15" x14ac:dyDescent="0.25">
      <c r="A195" s="59" t="s">
        <v>57</v>
      </c>
      <c r="B195">
        <f t="shared" si="25"/>
        <v>9.2285512000000001</v>
      </c>
      <c r="G195" s="59" t="s">
        <v>57</v>
      </c>
      <c r="H195">
        <f t="shared" si="26"/>
        <v>29.228256000000002</v>
      </c>
      <c r="M195" s="59" t="s">
        <v>57</v>
      </c>
      <c r="N195">
        <f t="shared" si="27"/>
        <v>5.8321196000000004</v>
      </c>
      <c r="S195" s="59" t="s">
        <v>57</v>
      </c>
      <c r="T195">
        <f t="shared" si="28"/>
        <v>0</v>
      </c>
      <c r="Y195" s="59" t="s">
        <v>57</v>
      </c>
      <c r="Z195">
        <f t="shared" si="29"/>
        <v>0</v>
      </c>
    </row>
    <row r="196" spans="1:26" ht="15" x14ac:dyDescent="0.25">
      <c r="A196" s="88" t="s">
        <v>56</v>
      </c>
      <c r="B196">
        <f t="shared" si="25"/>
        <v>2.8822307999999999</v>
      </c>
      <c r="G196" s="88" t="s">
        <v>56</v>
      </c>
      <c r="H196">
        <f t="shared" si="26"/>
        <v>0</v>
      </c>
      <c r="M196" s="88" t="s">
        <v>56</v>
      </c>
      <c r="N196">
        <f t="shared" si="27"/>
        <v>0.96074359999999992</v>
      </c>
      <c r="S196" s="88" t="s">
        <v>56</v>
      </c>
      <c r="T196">
        <f t="shared" si="28"/>
        <v>0</v>
      </c>
      <c r="Y196" s="88" t="s">
        <v>56</v>
      </c>
      <c r="Z196">
        <f t="shared" si="29"/>
        <v>0</v>
      </c>
    </row>
    <row r="197" spans="1:26" ht="15" x14ac:dyDescent="0.25">
      <c r="A197" s="88" t="s">
        <v>43</v>
      </c>
      <c r="B197">
        <f t="shared" si="25"/>
        <v>20.392121200000005</v>
      </c>
      <c r="G197" s="88" t="s">
        <v>43</v>
      </c>
      <c r="H197">
        <f t="shared" si="26"/>
        <v>28.0645384</v>
      </c>
      <c r="M197" s="88" t="s">
        <v>43</v>
      </c>
      <c r="N197">
        <f t="shared" si="27"/>
        <v>52.326697200000019</v>
      </c>
      <c r="S197" s="88" t="s">
        <v>43</v>
      </c>
      <c r="T197">
        <f t="shared" si="28"/>
        <v>0</v>
      </c>
      <c r="Y197" s="88" t="s">
        <v>43</v>
      </c>
      <c r="Z197">
        <f t="shared" si="29"/>
        <v>0</v>
      </c>
    </row>
    <row r="198" spans="1:26" ht="15" x14ac:dyDescent="0.25">
      <c r="A198" s="59" t="s">
        <v>165</v>
      </c>
      <c r="B198">
        <f t="shared" si="25"/>
        <v>0</v>
      </c>
      <c r="G198" s="59" t="s">
        <v>165</v>
      </c>
      <c r="H198">
        <f t="shared" si="26"/>
        <v>9.92</v>
      </c>
      <c r="M198" s="59" t="s">
        <v>165</v>
      </c>
      <c r="N198">
        <f t="shared" si="27"/>
        <v>0</v>
      </c>
      <c r="S198" s="59" t="s">
        <v>165</v>
      </c>
      <c r="T198">
        <f t="shared" si="28"/>
        <v>0</v>
      </c>
      <c r="Y198" s="59" t="s">
        <v>165</v>
      </c>
      <c r="Z198">
        <f t="shared" si="29"/>
        <v>0</v>
      </c>
    </row>
    <row r="199" spans="1:26" ht="15" x14ac:dyDescent="0.25">
      <c r="A199" s="59" t="s">
        <v>166</v>
      </c>
      <c r="B199">
        <f t="shared" si="25"/>
        <v>21.209999999999997</v>
      </c>
      <c r="G199" s="59" t="s">
        <v>166</v>
      </c>
      <c r="H199">
        <f t="shared" si="26"/>
        <v>45.839999999999996</v>
      </c>
      <c r="M199" s="59" t="s">
        <v>166</v>
      </c>
      <c r="N199">
        <f t="shared" si="27"/>
        <v>16.809999999999995</v>
      </c>
      <c r="S199" s="59" t="s">
        <v>166</v>
      </c>
      <c r="T199">
        <f t="shared" si="28"/>
        <v>0</v>
      </c>
      <c r="Y199" s="59" t="s">
        <v>166</v>
      </c>
      <c r="Z199">
        <f t="shared" si="29"/>
        <v>0</v>
      </c>
    </row>
    <row r="200" spans="1:26" ht="15" x14ac:dyDescent="0.25">
      <c r="A200" s="59" t="s">
        <v>55</v>
      </c>
      <c r="B200">
        <f t="shared" si="25"/>
        <v>2.4086248000000001</v>
      </c>
      <c r="G200" s="59" t="s">
        <v>55</v>
      </c>
      <c r="H200">
        <f t="shared" si="26"/>
        <v>0</v>
      </c>
      <c r="M200" s="59" t="s">
        <v>55</v>
      </c>
      <c r="N200">
        <f t="shared" si="27"/>
        <v>3.8429743999999997</v>
      </c>
      <c r="S200" s="59" t="s">
        <v>55</v>
      </c>
      <c r="T200">
        <f t="shared" si="28"/>
        <v>0</v>
      </c>
      <c r="Y200" s="59" t="s">
        <v>55</v>
      </c>
      <c r="Z200">
        <f t="shared" si="29"/>
        <v>0</v>
      </c>
    </row>
    <row r="201" spans="1:26" ht="15" x14ac:dyDescent="0.25">
      <c r="A201" s="88" t="s">
        <v>167</v>
      </c>
      <c r="B201">
        <f t="shared" si="25"/>
        <v>0</v>
      </c>
      <c r="G201" s="88" t="s">
        <v>167</v>
      </c>
      <c r="H201">
        <f t="shared" si="26"/>
        <v>0</v>
      </c>
      <c r="M201" s="88" t="s">
        <v>167</v>
      </c>
      <c r="N201">
        <f t="shared" si="27"/>
        <v>0</v>
      </c>
      <c r="S201" s="88" t="s">
        <v>167</v>
      </c>
      <c r="T201">
        <f t="shared" si="28"/>
        <v>0</v>
      </c>
      <c r="Y201" s="88" t="s">
        <v>167</v>
      </c>
      <c r="Z201">
        <f t="shared" si="29"/>
        <v>0</v>
      </c>
    </row>
    <row r="202" spans="1:26" ht="15" x14ac:dyDescent="0.25">
      <c r="A202" s="88" t="s">
        <v>73</v>
      </c>
      <c r="B202">
        <f t="shared" si="25"/>
        <v>305.12141600000081</v>
      </c>
      <c r="G202" s="88" t="s">
        <v>73</v>
      </c>
      <c r="H202">
        <f t="shared" si="26"/>
        <v>366.64964899999984</v>
      </c>
      <c r="M202" s="88" t="s">
        <v>73</v>
      </c>
      <c r="N202">
        <f t="shared" si="27"/>
        <v>394.71830699999964</v>
      </c>
      <c r="S202" s="88" t="s">
        <v>73</v>
      </c>
      <c r="T202">
        <f t="shared" si="28"/>
        <v>0</v>
      </c>
      <c r="Y202" s="88" t="s">
        <v>73</v>
      </c>
      <c r="Z202">
        <f t="shared" si="29"/>
        <v>0</v>
      </c>
    </row>
    <row r="203" spans="1:26" ht="15" x14ac:dyDescent="0.25">
      <c r="A203" s="88" t="s">
        <v>168</v>
      </c>
      <c r="B203">
        <f t="shared" ref="B203:B249" si="30">B67</f>
        <v>0</v>
      </c>
      <c r="G203" s="88" t="s">
        <v>168</v>
      </c>
      <c r="H203">
        <f t="shared" ref="H203:H249" si="31">H67</f>
        <v>0</v>
      </c>
      <c r="M203" s="88" t="s">
        <v>168</v>
      </c>
      <c r="N203">
        <f t="shared" ref="N203:N249" si="32">N67</f>
        <v>0</v>
      </c>
      <c r="S203" s="88" t="s">
        <v>168</v>
      </c>
      <c r="T203">
        <f t="shared" ref="T203:T249" si="33">T67</f>
        <v>0</v>
      </c>
      <c r="Y203" s="88" t="s">
        <v>168</v>
      </c>
      <c r="Z203">
        <f t="shared" ref="Z203:Z249" si="34">Z67</f>
        <v>0</v>
      </c>
    </row>
    <row r="204" spans="1:26" ht="15" x14ac:dyDescent="0.25">
      <c r="A204" s="88" t="s">
        <v>169</v>
      </c>
      <c r="B204">
        <f t="shared" si="30"/>
        <v>0</v>
      </c>
      <c r="G204" s="88" t="s">
        <v>169</v>
      </c>
      <c r="H204">
        <f t="shared" si="31"/>
        <v>0</v>
      </c>
      <c r="M204" s="88" t="s">
        <v>169</v>
      </c>
      <c r="N204">
        <f t="shared" si="32"/>
        <v>0</v>
      </c>
      <c r="S204" s="88" t="s">
        <v>169</v>
      </c>
      <c r="T204">
        <f t="shared" si="33"/>
        <v>0</v>
      </c>
      <c r="Y204" s="88" t="s">
        <v>169</v>
      </c>
      <c r="Z204">
        <f t="shared" si="34"/>
        <v>0</v>
      </c>
    </row>
    <row r="205" spans="1:26" ht="15" x14ac:dyDescent="0.25">
      <c r="A205" s="88" t="s">
        <v>170</v>
      </c>
      <c r="B205">
        <f t="shared" si="30"/>
        <v>1.24</v>
      </c>
      <c r="G205" s="88" t="s">
        <v>170</v>
      </c>
      <c r="H205">
        <f t="shared" si="31"/>
        <v>0</v>
      </c>
      <c r="M205" s="88" t="s">
        <v>170</v>
      </c>
      <c r="N205">
        <f t="shared" si="32"/>
        <v>0</v>
      </c>
      <c r="S205" s="88" t="s">
        <v>170</v>
      </c>
      <c r="T205">
        <f t="shared" si="33"/>
        <v>0</v>
      </c>
      <c r="Y205" s="88" t="s">
        <v>170</v>
      </c>
      <c r="Z205">
        <f t="shared" si="34"/>
        <v>0</v>
      </c>
    </row>
    <row r="206" spans="1:26" ht="15" x14ac:dyDescent="0.25">
      <c r="A206" s="88" t="s">
        <v>204</v>
      </c>
      <c r="B206">
        <f t="shared" si="30"/>
        <v>0</v>
      </c>
      <c r="G206" s="88" t="s">
        <v>204</v>
      </c>
      <c r="H206">
        <f t="shared" si="31"/>
        <v>0</v>
      </c>
      <c r="M206" s="88" t="s">
        <v>204</v>
      </c>
      <c r="N206">
        <f t="shared" si="32"/>
        <v>0</v>
      </c>
      <c r="S206" s="88" t="s">
        <v>204</v>
      </c>
      <c r="T206">
        <f t="shared" si="33"/>
        <v>0</v>
      </c>
      <c r="Y206" s="88" t="s">
        <v>204</v>
      </c>
      <c r="Z206">
        <f t="shared" si="34"/>
        <v>0</v>
      </c>
    </row>
    <row r="207" spans="1:26" ht="15" x14ac:dyDescent="0.25">
      <c r="A207" s="88" t="s">
        <v>171</v>
      </c>
      <c r="B207">
        <f t="shared" si="30"/>
        <v>0</v>
      </c>
      <c r="G207" s="88" t="s">
        <v>171</v>
      </c>
      <c r="H207">
        <f t="shared" si="31"/>
        <v>0</v>
      </c>
      <c r="M207" s="88" t="s">
        <v>171</v>
      </c>
      <c r="N207">
        <f t="shared" si="32"/>
        <v>0</v>
      </c>
      <c r="S207" s="88" t="s">
        <v>171</v>
      </c>
      <c r="T207">
        <f t="shared" si="33"/>
        <v>0</v>
      </c>
      <c r="Y207" s="88" t="s">
        <v>171</v>
      </c>
      <c r="Z207">
        <f t="shared" si="34"/>
        <v>0</v>
      </c>
    </row>
    <row r="208" spans="1:26" ht="15" x14ac:dyDescent="0.25">
      <c r="A208" s="88" t="s">
        <v>172</v>
      </c>
      <c r="B208">
        <f t="shared" si="30"/>
        <v>3.6599999999999997</v>
      </c>
      <c r="G208" s="88" t="s">
        <v>172</v>
      </c>
      <c r="H208">
        <f t="shared" si="31"/>
        <v>1.22</v>
      </c>
      <c r="M208" s="88" t="s">
        <v>172</v>
      </c>
      <c r="N208">
        <f t="shared" si="32"/>
        <v>0</v>
      </c>
      <c r="S208" s="88" t="s">
        <v>172</v>
      </c>
      <c r="T208">
        <f t="shared" si="33"/>
        <v>0</v>
      </c>
      <c r="Y208" s="88" t="s">
        <v>172</v>
      </c>
      <c r="Z208">
        <f t="shared" si="34"/>
        <v>0</v>
      </c>
    </row>
    <row r="209" spans="1:26" ht="15" x14ac:dyDescent="0.25">
      <c r="A209" s="88" t="s">
        <v>173</v>
      </c>
      <c r="B209">
        <f t="shared" si="30"/>
        <v>0</v>
      </c>
      <c r="G209" s="88" t="s">
        <v>173</v>
      </c>
      <c r="H209">
        <f t="shared" si="31"/>
        <v>0</v>
      </c>
      <c r="M209" s="88" t="s">
        <v>173</v>
      </c>
      <c r="N209">
        <f t="shared" si="32"/>
        <v>0</v>
      </c>
      <c r="S209" s="88" t="s">
        <v>173</v>
      </c>
      <c r="T209">
        <f t="shared" si="33"/>
        <v>0</v>
      </c>
      <c r="Y209" s="88" t="s">
        <v>173</v>
      </c>
      <c r="Z209">
        <f t="shared" si="34"/>
        <v>0</v>
      </c>
    </row>
    <row r="210" spans="1:26" ht="15" x14ac:dyDescent="0.25">
      <c r="A210" s="88" t="s">
        <v>44</v>
      </c>
      <c r="B210">
        <f t="shared" si="30"/>
        <v>186.24894239999978</v>
      </c>
      <c r="G210" s="88" t="s">
        <v>44</v>
      </c>
      <c r="H210">
        <f t="shared" si="31"/>
        <v>241.29549120000027</v>
      </c>
      <c r="M210" s="88" t="s">
        <v>44</v>
      </c>
      <c r="N210">
        <f t="shared" si="32"/>
        <v>177.15570719999971</v>
      </c>
      <c r="S210" s="88" t="s">
        <v>44</v>
      </c>
      <c r="T210">
        <f t="shared" si="33"/>
        <v>0</v>
      </c>
      <c r="Y210" s="88" t="s">
        <v>44</v>
      </c>
      <c r="Z210">
        <f t="shared" si="34"/>
        <v>0</v>
      </c>
    </row>
    <row r="211" spans="1:26" ht="15" x14ac:dyDescent="0.25">
      <c r="A211" s="88" t="s">
        <v>45</v>
      </c>
      <c r="B211">
        <f t="shared" si="30"/>
        <v>279.14688900000044</v>
      </c>
      <c r="G211" s="88" t="s">
        <v>45</v>
      </c>
      <c r="H211">
        <f t="shared" si="31"/>
        <v>272.53535400000038</v>
      </c>
      <c r="M211" s="88" t="s">
        <v>45</v>
      </c>
      <c r="N211">
        <f t="shared" si="32"/>
        <v>236.95566300000038</v>
      </c>
      <c r="S211" s="88" t="s">
        <v>45</v>
      </c>
      <c r="T211">
        <f t="shared" si="33"/>
        <v>0</v>
      </c>
      <c r="Y211" s="88" t="s">
        <v>45</v>
      </c>
      <c r="Z211">
        <f t="shared" si="34"/>
        <v>0</v>
      </c>
    </row>
    <row r="212" spans="1:26" ht="15" x14ac:dyDescent="0.25">
      <c r="A212" s="88" t="s">
        <v>174</v>
      </c>
      <c r="B212">
        <f t="shared" si="30"/>
        <v>1.83</v>
      </c>
      <c r="G212" s="88" t="s">
        <v>174</v>
      </c>
      <c r="H212">
        <f t="shared" si="31"/>
        <v>0</v>
      </c>
      <c r="M212" s="88" t="s">
        <v>174</v>
      </c>
      <c r="N212">
        <f t="shared" si="32"/>
        <v>0</v>
      </c>
      <c r="S212" s="88" t="s">
        <v>174</v>
      </c>
      <c r="T212">
        <f t="shared" si="33"/>
        <v>0</v>
      </c>
      <c r="Y212" s="88" t="s">
        <v>174</v>
      </c>
      <c r="Z212">
        <f t="shared" si="34"/>
        <v>0</v>
      </c>
    </row>
    <row r="213" spans="1:26" ht="15" x14ac:dyDescent="0.25">
      <c r="A213" s="88" t="s">
        <v>175</v>
      </c>
      <c r="B213">
        <f t="shared" si="30"/>
        <v>0</v>
      </c>
      <c r="G213" s="88" t="s">
        <v>175</v>
      </c>
      <c r="H213">
        <f t="shared" si="31"/>
        <v>0</v>
      </c>
      <c r="M213" s="88" t="s">
        <v>175</v>
      </c>
      <c r="N213">
        <f t="shared" si="32"/>
        <v>0</v>
      </c>
      <c r="S213" s="88" t="s">
        <v>175</v>
      </c>
      <c r="T213">
        <f t="shared" si="33"/>
        <v>0</v>
      </c>
      <c r="Y213" s="88" t="s">
        <v>175</v>
      </c>
      <c r="Z213">
        <f t="shared" si="34"/>
        <v>0</v>
      </c>
    </row>
    <row r="214" spans="1:26" ht="15" x14ac:dyDescent="0.25">
      <c r="A214" s="88" t="s">
        <v>176</v>
      </c>
      <c r="B214">
        <f t="shared" si="30"/>
        <v>0.61</v>
      </c>
      <c r="G214" s="88" t="s">
        <v>176</v>
      </c>
      <c r="H214">
        <f t="shared" si="31"/>
        <v>3.6599999999999997</v>
      </c>
      <c r="M214" s="88" t="s">
        <v>176</v>
      </c>
      <c r="N214">
        <f t="shared" si="32"/>
        <v>4.2699999999999996</v>
      </c>
      <c r="S214" s="88" t="s">
        <v>176</v>
      </c>
      <c r="T214">
        <f t="shared" si="33"/>
        <v>0</v>
      </c>
      <c r="Y214" s="88" t="s">
        <v>176</v>
      </c>
      <c r="Z214">
        <f t="shared" si="34"/>
        <v>0</v>
      </c>
    </row>
    <row r="215" spans="1:26" ht="15" x14ac:dyDescent="0.25">
      <c r="A215" s="88" t="s">
        <v>46</v>
      </c>
      <c r="B215">
        <f t="shared" si="30"/>
        <v>125.43793199999979</v>
      </c>
      <c r="G215" s="88" t="s">
        <v>46</v>
      </c>
      <c r="H215">
        <f t="shared" si="31"/>
        <v>74.532052800000073</v>
      </c>
      <c r="M215" s="88" t="s">
        <v>46</v>
      </c>
      <c r="N215">
        <f t="shared" si="32"/>
        <v>136.93979199999978</v>
      </c>
      <c r="S215" s="88" t="s">
        <v>46</v>
      </c>
      <c r="T215">
        <f t="shared" si="33"/>
        <v>0</v>
      </c>
      <c r="Y215" s="88" t="s">
        <v>46</v>
      </c>
      <c r="Z215">
        <f t="shared" si="34"/>
        <v>0</v>
      </c>
    </row>
    <row r="216" spans="1:26" ht="15" x14ac:dyDescent="0.25">
      <c r="A216" s="88" t="s">
        <v>177</v>
      </c>
      <c r="B216">
        <f t="shared" si="30"/>
        <v>1.22</v>
      </c>
      <c r="G216" s="88" t="s">
        <v>177</v>
      </c>
      <c r="H216">
        <f t="shared" si="31"/>
        <v>6.71</v>
      </c>
      <c r="M216" s="88" t="s">
        <v>177</v>
      </c>
      <c r="N216">
        <f t="shared" si="32"/>
        <v>4.2699999999999996</v>
      </c>
      <c r="S216" s="88" t="s">
        <v>177</v>
      </c>
      <c r="T216">
        <f t="shared" si="33"/>
        <v>0</v>
      </c>
      <c r="Y216" s="88" t="s">
        <v>177</v>
      </c>
      <c r="Z216">
        <f t="shared" si="34"/>
        <v>0</v>
      </c>
    </row>
    <row r="217" spans="1:26" ht="15" x14ac:dyDescent="0.25">
      <c r="A217" s="88" t="s">
        <v>178</v>
      </c>
      <c r="B217">
        <f t="shared" si="30"/>
        <v>0</v>
      </c>
      <c r="G217" s="88" t="s">
        <v>178</v>
      </c>
      <c r="H217">
        <f t="shared" si="31"/>
        <v>0</v>
      </c>
      <c r="M217" s="88" t="s">
        <v>178</v>
      </c>
      <c r="N217">
        <f t="shared" si="32"/>
        <v>0</v>
      </c>
      <c r="S217" s="88" t="s">
        <v>178</v>
      </c>
      <c r="T217">
        <f t="shared" si="33"/>
        <v>0</v>
      </c>
      <c r="Y217" s="88" t="s">
        <v>178</v>
      </c>
      <c r="Z217">
        <f t="shared" si="34"/>
        <v>0</v>
      </c>
    </row>
    <row r="218" spans="1:26" ht="15" x14ac:dyDescent="0.25">
      <c r="A218" s="88" t="s">
        <v>179</v>
      </c>
      <c r="B218">
        <f t="shared" si="30"/>
        <v>2.37</v>
      </c>
      <c r="G218" s="88" t="s">
        <v>179</v>
      </c>
      <c r="H218">
        <f t="shared" si="31"/>
        <v>1.22</v>
      </c>
      <c r="M218" s="88" t="s">
        <v>179</v>
      </c>
      <c r="N218">
        <f t="shared" si="32"/>
        <v>0</v>
      </c>
      <c r="S218" s="88" t="s">
        <v>179</v>
      </c>
      <c r="T218">
        <f t="shared" si="33"/>
        <v>0</v>
      </c>
      <c r="Y218" s="88" t="s">
        <v>179</v>
      </c>
      <c r="Z218">
        <f t="shared" si="34"/>
        <v>0</v>
      </c>
    </row>
    <row r="219" spans="1:26" ht="15" x14ac:dyDescent="0.25">
      <c r="A219" s="88" t="s">
        <v>180</v>
      </c>
      <c r="B219">
        <f t="shared" si="30"/>
        <v>3.4099999999999997</v>
      </c>
      <c r="G219" s="88" t="s">
        <v>180</v>
      </c>
      <c r="H219">
        <f t="shared" si="31"/>
        <v>14.209999999999999</v>
      </c>
      <c r="M219" s="88" t="s">
        <v>180</v>
      </c>
      <c r="N219">
        <f t="shared" si="32"/>
        <v>0.61</v>
      </c>
      <c r="S219" s="88" t="s">
        <v>180</v>
      </c>
      <c r="T219">
        <f t="shared" si="33"/>
        <v>0</v>
      </c>
      <c r="Y219" s="88" t="s">
        <v>180</v>
      </c>
      <c r="Z219">
        <f t="shared" si="34"/>
        <v>0</v>
      </c>
    </row>
    <row r="220" spans="1:26" ht="15" x14ac:dyDescent="0.25">
      <c r="A220" s="88" t="s">
        <v>181</v>
      </c>
      <c r="B220">
        <f t="shared" si="30"/>
        <v>41.199999999999982</v>
      </c>
      <c r="G220" s="88" t="s">
        <v>181</v>
      </c>
      <c r="H220">
        <f t="shared" si="31"/>
        <v>51.379999999999995</v>
      </c>
      <c r="M220" s="88" t="s">
        <v>181</v>
      </c>
      <c r="N220">
        <f t="shared" si="32"/>
        <v>25.980000000000008</v>
      </c>
      <c r="S220" s="88" t="s">
        <v>181</v>
      </c>
      <c r="T220">
        <f t="shared" si="33"/>
        <v>0</v>
      </c>
      <c r="Y220" s="88" t="s">
        <v>181</v>
      </c>
      <c r="Z220">
        <f t="shared" si="34"/>
        <v>0</v>
      </c>
    </row>
    <row r="221" spans="1:26" ht="15" x14ac:dyDescent="0.25">
      <c r="A221" s="88" t="s">
        <v>54</v>
      </c>
      <c r="B221">
        <f t="shared" si="30"/>
        <v>21.136359200000008</v>
      </c>
      <c r="G221" s="88" t="s">
        <v>54</v>
      </c>
      <c r="H221">
        <f t="shared" si="31"/>
        <v>23.544984000000003</v>
      </c>
      <c r="M221" s="88" t="s">
        <v>54</v>
      </c>
      <c r="N221">
        <f t="shared" si="32"/>
        <v>63.124914000000004</v>
      </c>
      <c r="S221" s="88" t="s">
        <v>54</v>
      </c>
      <c r="T221">
        <f t="shared" si="33"/>
        <v>0</v>
      </c>
      <c r="Y221" s="88" t="s">
        <v>54</v>
      </c>
      <c r="Z221">
        <f t="shared" si="34"/>
        <v>0</v>
      </c>
    </row>
    <row r="222" spans="1:26" ht="15" x14ac:dyDescent="0.25">
      <c r="A222" s="88" t="s">
        <v>47</v>
      </c>
      <c r="B222">
        <f t="shared" si="30"/>
        <v>7.6859487999999994</v>
      </c>
      <c r="G222" s="88" t="s">
        <v>47</v>
      </c>
      <c r="H222">
        <f t="shared" si="31"/>
        <v>56.413240400000021</v>
      </c>
      <c r="M222" s="88" t="s">
        <v>47</v>
      </c>
      <c r="N222">
        <f t="shared" si="32"/>
        <v>36.860078400000013</v>
      </c>
      <c r="S222" s="88" t="s">
        <v>47</v>
      </c>
      <c r="T222">
        <f t="shared" si="33"/>
        <v>0</v>
      </c>
      <c r="Y222" s="88" t="s">
        <v>47</v>
      </c>
      <c r="Z222">
        <f t="shared" si="34"/>
        <v>0</v>
      </c>
    </row>
    <row r="223" spans="1:26" ht="15" x14ac:dyDescent="0.25">
      <c r="A223" s="88" t="s">
        <v>53</v>
      </c>
      <c r="B223">
        <f t="shared" si="30"/>
        <v>0</v>
      </c>
      <c r="G223" s="88" t="s">
        <v>53</v>
      </c>
      <c r="H223">
        <f t="shared" si="31"/>
        <v>4.1271379999999995</v>
      </c>
      <c r="M223" s="88" t="s">
        <v>53</v>
      </c>
      <c r="N223">
        <f t="shared" si="32"/>
        <v>7.902454399999999</v>
      </c>
      <c r="S223" s="88" t="s">
        <v>53</v>
      </c>
      <c r="T223">
        <f t="shared" si="33"/>
        <v>0</v>
      </c>
      <c r="Y223" s="88" t="s">
        <v>53</v>
      </c>
      <c r="Z223">
        <f t="shared" si="34"/>
        <v>0</v>
      </c>
    </row>
    <row r="224" spans="1:26" ht="15" x14ac:dyDescent="0.25">
      <c r="A224" s="88" t="s">
        <v>182</v>
      </c>
      <c r="B224">
        <f t="shared" si="30"/>
        <v>147.39944999999997</v>
      </c>
      <c r="G224" s="88" t="s">
        <v>182</v>
      </c>
      <c r="H224">
        <f t="shared" si="31"/>
        <v>158.80220999999992</v>
      </c>
      <c r="M224" s="88" t="s">
        <v>182</v>
      </c>
      <c r="N224">
        <f t="shared" si="32"/>
        <v>131.76333</v>
      </c>
      <c r="S224" s="88" t="s">
        <v>182</v>
      </c>
      <c r="T224">
        <f t="shared" si="33"/>
        <v>0</v>
      </c>
      <c r="Y224" s="88" t="s">
        <v>182</v>
      </c>
      <c r="Z224">
        <f t="shared" si="34"/>
        <v>0</v>
      </c>
    </row>
    <row r="225" spans="1:26" ht="15" x14ac:dyDescent="0.25">
      <c r="A225" s="88" t="s">
        <v>183</v>
      </c>
      <c r="B225">
        <f t="shared" si="30"/>
        <v>0</v>
      </c>
      <c r="G225" s="88" t="s">
        <v>183</v>
      </c>
      <c r="H225">
        <f t="shared" si="31"/>
        <v>0</v>
      </c>
      <c r="M225" s="88" t="s">
        <v>183</v>
      </c>
      <c r="N225">
        <f t="shared" si="32"/>
        <v>0</v>
      </c>
      <c r="S225" s="88" t="s">
        <v>183</v>
      </c>
      <c r="T225">
        <f t="shared" si="33"/>
        <v>0</v>
      </c>
      <c r="Y225" s="88" t="s">
        <v>183</v>
      </c>
      <c r="Z225">
        <f t="shared" si="34"/>
        <v>0</v>
      </c>
    </row>
    <row r="226" spans="1:26" ht="15" x14ac:dyDescent="0.25">
      <c r="A226" s="88" t="s">
        <v>184</v>
      </c>
      <c r="B226">
        <f t="shared" si="30"/>
        <v>61.479630000000036</v>
      </c>
      <c r="G226" s="88" t="s">
        <v>184</v>
      </c>
      <c r="H226">
        <f t="shared" si="31"/>
        <v>94.725621000000089</v>
      </c>
      <c r="M226" s="88" t="s">
        <v>184</v>
      </c>
      <c r="N226">
        <f t="shared" si="32"/>
        <v>60.57897300000004</v>
      </c>
      <c r="S226" s="88" t="s">
        <v>184</v>
      </c>
      <c r="T226">
        <f t="shared" si="33"/>
        <v>0</v>
      </c>
      <c r="Y226" s="88" t="s">
        <v>184</v>
      </c>
      <c r="Z226">
        <f t="shared" si="34"/>
        <v>0</v>
      </c>
    </row>
    <row r="227" spans="1:26" ht="15" x14ac:dyDescent="0.25">
      <c r="A227" s="88" t="s">
        <v>52</v>
      </c>
      <c r="B227">
        <f t="shared" si="30"/>
        <v>1.9214871999999998</v>
      </c>
      <c r="G227" s="88" t="s">
        <v>52</v>
      </c>
      <c r="H227">
        <f t="shared" si="31"/>
        <v>4.1271379999999995</v>
      </c>
      <c r="M227" s="88" t="s">
        <v>52</v>
      </c>
      <c r="N227">
        <f t="shared" si="32"/>
        <v>13.139183600000001</v>
      </c>
      <c r="S227" s="88" t="s">
        <v>52</v>
      </c>
      <c r="T227">
        <f t="shared" si="33"/>
        <v>0</v>
      </c>
      <c r="Y227" s="88" t="s">
        <v>52</v>
      </c>
      <c r="Z227">
        <f t="shared" si="34"/>
        <v>0</v>
      </c>
    </row>
    <row r="228" spans="1:26" ht="15" x14ac:dyDescent="0.25">
      <c r="A228" s="88" t="s">
        <v>90</v>
      </c>
      <c r="B228">
        <f t="shared" si="30"/>
        <v>0.96074359999999992</v>
      </c>
      <c r="G228" s="88" t="s">
        <v>90</v>
      </c>
      <c r="H228">
        <f t="shared" si="31"/>
        <v>0.96074359999999992</v>
      </c>
      <c r="M228" s="88" t="s">
        <v>90</v>
      </c>
      <c r="N228">
        <f t="shared" si="32"/>
        <v>27.320300400000001</v>
      </c>
      <c r="S228" s="88" t="s">
        <v>90</v>
      </c>
      <c r="T228">
        <f t="shared" si="33"/>
        <v>0</v>
      </c>
      <c r="Y228" s="88" t="s">
        <v>90</v>
      </c>
      <c r="Z228">
        <f t="shared" si="34"/>
        <v>0</v>
      </c>
    </row>
    <row r="229" spans="1:26" ht="15" x14ac:dyDescent="0.25">
      <c r="A229" s="88" t="s">
        <v>185</v>
      </c>
      <c r="B229">
        <f t="shared" si="30"/>
        <v>106.2306851999999</v>
      </c>
      <c r="G229" s="88" t="s">
        <v>185</v>
      </c>
      <c r="H229">
        <f t="shared" si="31"/>
        <v>108.26490119999991</v>
      </c>
      <c r="M229" s="88" t="s">
        <v>185</v>
      </c>
      <c r="N229">
        <f t="shared" si="32"/>
        <v>122.54902319999991</v>
      </c>
      <c r="S229" s="88" t="s">
        <v>185</v>
      </c>
      <c r="T229">
        <f t="shared" si="33"/>
        <v>0</v>
      </c>
      <c r="Y229" s="88" t="s">
        <v>185</v>
      </c>
      <c r="Z229">
        <f t="shared" si="34"/>
        <v>0</v>
      </c>
    </row>
    <row r="230" spans="1:26" ht="15" x14ac:dyDescent="0.25">
      <c r="A230" s="88" t="s">
        <v>48</v>
      </c>
      <c r="B230">
        <f t="shared" si="30"/>
        <v>125.31614759999991</v>
      </c>
      <c r="G230" s="88" t="s">
        <v>48</v>
      </c>
      <c r="H230">
        <f t="shared" si="31"/>
        <v>110.01190800000001</v>
      </c>
      <c r="M230" s="88" t="s">
        <v>48</v>
      </c>
      <c r="N230">
        <f t="shared" si="32"/>
        <v>141.58113079999973</v>
      </c>
      <c r="S230" s="88" t="s">
        <v>48</v>
      </c>
      <c r="T230">
        <f t="shared" si="33"/>
        <v>0</v>
      </c>
      <c r="Y230" s="88" t="s">
        <v>48</v>
      </c>
      <c r="Z230">
        <f t="shared" si="34"/>
        <v>0</v>
      </c>
    </row>
    <row r="231" spans="1:26" ht="15" x14ac:dyDescent="0.25">
      <c r="A231" s="88" t="s">
        <v>186</v>
      </c>
      <c r="B231">
        <f t="shared" si="30"/>
        <v>0</v>
      </c>
      <c r="G231" s="88" t="s">
        <v>186</v>
      </c>
      <c r="H231">
        <f t="shared" si="31"/>
        <v>0</v>
      </c>
      <c r="M231" s="88" t="s">
        <v>186</v>
      </c>
      <c r="N231">
        <f t="shared" si="32"/>
        <v>0.62</v>
      </c>
      <c r="S231" s="88" t="s">
        <v>186</v>
      </c>
      <c r="T231">
        <f t="shared" si="33"/>
        <v>0</v>
      </c>
      <c r="Y231" s="88" t="s">
        <v>186</v>
      </c>
      <c r="Z231">
        <f t="shared" si="34"/>
        <v>0</v>
      </c>
    </row>
    <row r="232" spans="1:26" ht="15" x14ac:dyDescent="0.25">
      <c r="A232" s="88" t="s">
        <v>187</v>
      </c>
      <c r="B232">
        <f t="shared" si="30"/>
        <v>0</v>
      </c>
      <c r="G232" s="88" t="s">
        <v>187</v>
      </c>
      <c r="H232">
        <f t="shared" si="31"/>
        <v>0</v>
      </c>
      <c r="M232" s="88" t="s">
        <v>187</v>
      </c>
      <c r="N232">
        <f t="shared" si="32"/>
        <v>0</v>
      </c>
      <c r="S232" s="88" t="s">
        <v>187</v>
      </c>
      <c r="T232">
        <f t="shared" si="33"/>
        <v>0</v>
      </c>
      <c r="Y232" s="88" t="s">
        <v>187</v>
      </c>
      <c r="Z232">
        <f t="shared" si="34"/>
        <v>0</v>
      </c>
    </row>
    <row r="233" spans="1:26" ht="15" x14ac:dyDescent="0.25">
      <c r="A233" s="88" t="s">
        <v>49</v>
      </c>
      <c r="B233">
        <f t="shared" si="30"/>
        <v>140.87748759999971</v>
      </c>
      <c r="G233" s="88" t="s">
        <v>49</v>
      </c>
      <c r="H233">
        <f t="shared" si="31"/>
        <v>66.50781400000001</v>
      </c>
      <c r="M233" s="88" t="s">
        <v>49</v>
      </c>
      <c r="N233">
        <f t="shared" si="32"/>
        <v>97.413988400000022</v>
      </c>
      <c r="S233" s="88" t="s">
        <v>49</v>
      </c>
      <c r="T233">
        <f t="shared" si="33"/>
        <v>0</v>
      </c>
      <c r="Y233" s="88" t="s">
        <v>49</v>
      </c>
      <c r="Z233">
        <f t="shared" si="34"/>
        <v>0</v>
      </c>
    </row>
    <row r="234" spans="1:26" ht="15" x14ac:dyDescent="0.25">
      <c r="A234" s="88" t="s">
        <v>50</v>
      </c>
      <c r="B234">
        <f t="shared" si="30"/>
        <v>476.70473639999892</v>
      </c>
      <c r="G234" s="88" t="s">
        <v>50</v>
      </c>
      <c r="H234">
        <f t="shared" si="31"/>
        <v>437.67960199999936</v>
      </c>
      <c r="M234" s="88" t="s">
        <v>50</v>
      </c>
      <c r="N234">
        <f t="shared" si="32"/>
        <v>399.9670327999998</v>
      </c>
      <c r="S234" s="88" t="s">
        <v>50</v>
      </c>
      <c r="T234">
        <f t="shared" si="33"/>
        <v>0</v>
      </c>
      <c r="Y234" s="88" t="s">
        <v>50</v>
      </c>
      <c r="Z234">
        <f t="shared" si="34"/>
        <v>0</v>
      </c>
    </row>
    <row r="235" spans="1:26" ht="15" x14ac:dyDescent="0.25">
      <c r="A235" s="88" t="s">
        <v>188</v>
      </c>
      <c r="B235">
        <f t="shared" si="30"/>
        <v>20.128680000000003</v>
      </c>
      <c r="G235" s="88" t="s">
        <v>188</v>
      </c>
      <c r="H235">
        <f t="shared" si="31"/>
        <v>9.7025500000000005</v>
      </c>
      <c r="M235" s="88" t="s">
        <v>188</v>
      </c>
      <c r="N235">
        <f t="shared" si="32"/>
        <v>44.500170000000004</v>
      </c>
      <c r="S235" s="88" t="s">
        <v>188</v>
      </c>
      <c r="T235">
        <f t="shared" si="33"/>
        <v>0</v>
      </c>
      <c r="Y235" s="88" t="s">
        <v>188</v>
      </c>
      <c r="Z235">
        <f t="shared" si="34"/>
        <v>0</v>
      </c>
    </row>
    <row r="236" spans="1:26" ht="15" x14ac:dyDescent="0.25">
      <c r="A236" s="88" t="s">
        <v>189</v>
      </c>
      <c r="B236">
        <f t="shared" si="30"/>
        <v>0</v>
      </c>
      <c r="G236" s="88" t="s">
        <v>189</v>
      </c>
      <c r="H236">
        <f t="shared" si="31"/>
        <v>0</v>
      </c>
      <c r="M236" s="88" t="s">
        <v>189</v>
      </c>
      <c r="N236">
        <f t="shared" si="32"/>
        <v>0</v>
      </c>
      <c r="S236" s="88" t="s">
        <v>189</v>
      </c>
      <c r="T236">
        <f t="shared" si="33"/>
        <v>0</v>
      </c>
      <c r="Y236" s="88" t="s">
        <v>189</v>
      </c>
      <c r="Z236">
        <f t="shared" si="34"/>
        <v>0</v>
      </c>
    </row>
    <row r="237" spans="1:26" ht="15" x14ac:dyDescent="0.25">
      <c r="A237" s="88" t="s">
        <v>190</v>
      </c>
      <c r="B237">
        <f t="shared" si="30"/>
        <v>50.05999999999996</v>
      </c>
      <c r="G237" s="88" t="s">
        <v>190</v>
      </c>
      <c r="H237">
        <f t="shared" si="31"/>
        <v>23.840000000000007</v>
      </c>
      <c r="M237" s="88" t="s">
        <v>190</v>
      </c>
      <c r="N237">
        <f t="shared" si="32"/>
        <v>37.140000000000008</v>
      </c>
      <c r="S237" s="88" t="s">
        <v>190</v>
      </c>
      <c r="T237">
        <f t="shared" si="33"/>
        <v>0</v>
      </c>
      <c r="Y237" s="88" t="s">
        <v>190</v>
      </c>
      <c r="Z237">
        <f t="shared" si="34"/>
        <v>0</v>
      </c>
    </row>
    <row r="238" spans="1:26" ht="15" x14ac:dyDescent="0.25">
      <c r="A238" s="88" t="s">
        <v>191</v>
      </c>
      <c r="B238">
        <f t="shared" si="30"/>
        <v>0</v>
      </c>
      <c r="G238" s="88" t="s">
        <v>191</v>
      </c>
      <c r="H238">
        <f t="shared" si="31"/>
        <v>0</v>
      </c>
      <c r="M238" s="88" t="s">
        <v>191</v>
      </c>
      <c r="N238">
        <f t="shared" si="32"/>
        <v>1.83</v>
      </c>
      <c r="S238" s="88" t="s">
        <v>191</v>
      </c>
      <c r="T238">
        <f t="shared" si="33"/>
        <v>0</v>
      </c>
      <c r="Y238" s="88" t="s">
        <v>191</v>
      </c>
      <c r="Z238">
        <f t="shared" si="34"/>
        <v>0</v>
      </c>
    </row>
    <row r="239" spans="1:26" ht="15" x14ac:dyDescent="0.25">
      <c r="A239" s="88" t="s">
        <v>192</v>
      </c>
      <c r="B239">
        <f t="shared" si="30"/>
        <v>36.072163999999944</v>
      </c>
      <c r="G239" s="88" t="s">
        <v>192</v>
      </c>
      <c r="H239">
        <f t="shared" si="31"/>
        <v>47.91247699999996</v>
      </c>
      <c r="M239" s="88" t="s">
        <v>192</v>
      </c>
      <c r="N239">
        <f t="shared" si="32"/>
        <v>26.039868999999989</v>
      </c>
      <c r="S239" s="88" t="s">
        <v>192</v>
      </c>
      <c r="T239">
        <f t="shared" si="33"/>
        <v>0</v>
      </c>
      <c r="Y239" s="88" t="s">
        <v>192</v>
      </c>
      <c r="Z239">
        <f t="shared" si="34"/>
        <v>0</v>
      </c>
    </row>
    <row r="240" spans="1:26" ht="15" x14ac:dyDescent="0.25">
      <c r="A240" s="88" t="s">
        <v>193</v>
      </c>
      <c r="B240">
        <f t="shared" si="30"/>
        <v>0</v>
      </c>
      <c r="G240" s="88" t="s">
        <v>193</v>
      </c>
      <c r="H240">
        <f t="shared" si="31"/>
        <v>0</v>
      </c>
      <c r="M240" s="88" t="s">
        <v>193</v>
      </c>
      <c r="N240">
        <f t="shared" si="32"/>
        <v>0</v>
      </c>
      <c r="S240" s="88" t="s">
        <v>193</v>
      </c>
      <c r="T240">
        <f t="shared" si="33"/>
        <v>0</v>
      </c>
      <c r="Y240" s="88" t="s">
        <v>193</v>
      </c>
      <c r="Z240">
        <f t="shared" si="34"/>
        <v>0</v>
      </c>
    </row>
    <row r="241" spans="1:26" ht="15" x14ac:dyDescent="0.25">
      <c r="A241" s="88" t="s">
        <v>194</v>
      </c>
      <c r="B241">
        <f t="shared" si="30"/>
        <v>0</v>
      </c>
      <c r="G241" s="88" t="s">
        <v>194</v>
      </c>
      <c r="H241">
        <f t="shared" si="31"/>
        <v>0</v>
      </c>
      <c r="M241" s="88" t="s">
        <v>194</v>
      </c>
      <c r="N241">
        <f t="shared" si="32"/>
        <v>0</v>
      </c>
      <c r="S241" s="88" t="s">
        <v>194</v>
      </c>
      <c r="T241">
        <f t="shared" si="33"/>
        <v>0</v>
      </c>
      <c r="Y241" s="88" t="s">
        <v>194</v>
      </c>
      <c r="Z241">
        <f t="shared" si="34"/>
        <v>0</v>
      </c>
    </row>
    <row r="242" spans="1:26" ht="15" x14ac:dyDescent="0.25">
      <c r="A242" s="88" t="s">
        <v>195</v>
      </c>
      <c r="B242">
        <f t="shared" si="30"/>
        <v>2.58</v>
      </c>
      <c r="G242" s="88" t="s">
        <v>195</v>
      </c>
      <c r="H242">
        <f t="shared" si="31"/>
        <v>1.2</v>
      </c>
      <c r="M242" s="88" t="s">
        <v>195</v>
      </c>
      <c r="N242">
        <f t="shared" si="32"/>
        <v>0.6</v>
      </c>
      <c r="S242" s="88" t="s">
        <v>195</v>
      </c>
      <c r="T242">
        <f t="shared" si="33"/>
        <v>0</v>
      </c>
      <c r="Y242" s="88" t="s">
        <v>195</v>
      </c>
      <c r="Z242">
        <f t="shared" si="34"/>
        <v>0</v>
      </c>
    </row>
    <row r="243" spans="1:26" ht="15" x14ac:dyDescent="0.25">
      <c r="A243" s="88" t="s">
        <v>72</v>
      </c>
      <c r="B243">
        <f t="shared" si="30"/>
        <v>3944.5425896000643</v>
      </c>
      <c r="G243" s="88" t="s">
        <v>72</v>
      </c>
      <c r="H243">
        <f t="shared" si="31"/>
        <v>3593.4787592000512</v>
      </c>
      <c r="M243" s="88" t="s">
        <v>72</v>
      </c>
      <c r="N243">
        <f t="shared" si="32"/>
        <v>3542.2210584000572</v>
      </c>
      <c r="S243" s="88" t="s">
        <v>72</v>
      </c>
      <c r="T243">
        <f t="shared" si="33"/>
        <v>0</v>
      </c>
      <c r="Y243" s="88" t="s">
        <v>72</v>
      </c>
      <c r="Z243">
        <f t="shared" si="34"/>
        <v>0</v>
      </c>
    </row>
    <row r="244" spans="1:26" ht="15" x14ac:dyDescent="0.25">
      <c r="A244" s="88" t="s">
        <v>201</v>
      </c>
      <c r="B244">
        <f t="shared" si="30"/>
        <v>23466.790000002926</v>
      </c>
      <c r="G244" s="88" t="s">
        <v>201</v>
      </c>
      <c r="H244">
        <f t="shared" si="31"/>
        <v>24724.040000003009</v>
      </c>
      <c r="M244" s="88" t="s">
        <v>201</v>
      </c>
      <c r="N244">
        <f t="shared" si="32"/>
        <v>24182.450000002646</v>
      </c>
      <c r="S244" s="88" t="s">
        <v>201</v>
      </c>
      <c r="T244">
        <f t="shared" si="33"/>
        <v>0</v>
      </c>
      <c r="Y244" s="88" t="s">
        <v>201</v>
      </c>
      <c r="Z244">
        <f t="shared" si="34"/>
        <v>0</v>
      </c>
    </row>
    <row r="245" spans="1:26" ht="15" x14ac:dyDescent="0.25">
      <c r="A245" s="88" t="s">
        <v>196</v>
      </c>
      <c r="B245">
        <f t="shared" si="30"/>
        <v>0</v>
      </c>
      <c r="G245" s="88" t="s">
        <v>196</v>
      </c>
      <c r="H245">
        <f t="shared" si="31"/>
        <v>0</v>
      </c>
      <c r="M245" s="88" t="s">
        <v>196</v>
      </c>
      <c r="N245">
        <f t="shared" si="32"/>
        <v>0</v>
      </c>
      <c r="S245" s="88" t="s">
        <v>196</v>
      </c>
      <c r="T245">
        <f t="shared" si="33"/>
        <v>0</v>
      </c>
      <c r="Y245" s="88" t="s">
        <v>196</v>
      </c>
      <c r="Z245">
        <f t="shared" si="34"/>
        <v>0</v>
      </c>
    </row>
    <row r="246" spans="1:26" ht="15" x14ac:dyDescent="0.25">
      <c r="A246" s="88" t="s">
        <v>197</v>
      </c>
      <c r="B246">
        <f t="shared" si="30"/>
        <v>0</v>
      </c>
      <c r="G246" s="88" t="s">
        <v>197</v>
      </c>
      <c r="H246">
        <f t="shared" si="31"/>
        <v>0</v>
      </c>
      <c r="M246" s="88" t="s">
        <v>197</v>
      </c>
      <c r="N246">
        <f t="shared" si="32"/>
        <v>1.22</v>
      </c>
      <c r="S246" s="88" t="s">
        <v>197</v>
      </c>
      <c r="T246">
        <f t="shared" si="33"/>
        <v>0</v>
      </c>
      <c r="Y246" s="88" t="s">
        <v>197</v>
      </c>
      <c r="Z246">
        <f t="shared" si="34"/>
        <v>0</v>
      </c>
    </row>
    <row r="247" spans="1:26" ht="15" x14ac:dyDescent="0.25">
      <c r="A247" s="88" t="s">
        <v>198</v>
      </c>
      <c r="B247">
        <f t="shared" si="30"/>
        <v>0</v>
      </c>
      <c r="G247" s="88" t="s">
        <v>198</v>
      </c>
      <c r="H247">
        <f t="shared" si="31"/>
        <v>1.8599999999999999</v>
      </c>
      <c r="M247" s="88" t="s">
        <v>198</v>
      </c>
      <c r="N247">
        <f t="shared" si="32"/>
        <v>3.72</v>
      </c>
      <c r="S247" s="88" t="s">
        <v>198</v>
      </c>
      <c r="T247">
        <f t="shared" si="33"/>
        <v>0</v>
      </c>
      <c r="Y247" s="88" t="s">
        <v>198</v>
      </c>
      <c r="Z247">
        <f t="shared" si="34"/>
        <v>0</v>
      </c>
    </row>
    <row r="248" spans="1:26" ht="15" x14ac:dyDescent="0.25">
      <c r="A248" s="88" t="s">
        <v>199</v>
      </c>
      <c r="B248">
        <f t="shared" si="30"/>
        <v>0</v>
      </c>
      <c r="G248" s="88" t="s">
        <v>199</v>
      </c>
      <c r="H248">
        <f t="shared" si="31"/>
        <v>0</v>
      </c>
      <c r="M248" s="88" t="s">
        <v>199</v>
      </c>
      <c r="N248">
        <f t="shared" si="32"/>
        <v>0</v>
      </c>
      <c r="S248" s="88" t="s">
        <v>199</v>
      </c>
      <c r="T248">
        <f t="shared" si="33"/>
        <v>0</v>
      </c>
      <c r="Y248" s="88" t="s">
        <v>199</v>
      </c>
      <c r="Z248">
        <f t="shared" si="34"/>
        <v>0</v>
      </c>
    </row>
    <row r="249" spans="1:26" ht="15" x14ac:dyDescent="0.25">
      <c r="A249" s="88" t="s">
        <v>200</v>
      </c>
      <c r="B249">
        <f t="shared" si="30"/>
        <v>0</v>
      </c>
      <c r="G249" s="88" t="s">
        <v>200</v>
      </c>
      <c r="H249">
        <f t="shared" si="31"/>
        <v>0</v>
      </c>
      <c r="M249" s="88" t="s">
        <v>200</v>
      </c>
      <c r="N249">
        <f t="shared" si="32"/>
        <v>0</v>
      </c>
      <c r="S249" s="88" t="s">
        <v>200</v>
      </c>
      <c r="T249">
        <f t="shared" si="33"/>
        <v>0</v>
      </c>
      <c r="Y249" s="88" t="s">
        <v>200</v>
      </c>
      <c r="Z249">
        <f t="shared" si="34"/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Summary</vt:lpstr>
      <vt:lpstr>Orch + IODA iTunes Details</vt:lpstr>
      <vt:lpstr>iTunes Hidden Labels Summary</vt:lpstr>
      <vt:lpstr>Orch Weekly Mgmt</vt:lpstr>
      <vt:lpstr>IODA Weekly iTunes</vt:lpstr>
      <vt:lpstr>IRIS iTunes</vt:lpstr>
      <vt:lpstr>Orch iTunes data</vt:lpstr>
      <vt:lpstr>IODA iTunes data</vt:lpstr>
      <vt:lpstr>IRIS iTunes data</vt:lpstr>
      <vt:lpstr>Deezer</vt:lpstr>
      <vt:lpstr>Youtube</vt:lpstr>
      <vt:lpstr>Spotify</vt:lpstr>
      <vt:lpstr>Amazon</vt:lpstr>
      <vt:lpstr>Cricket</vt:lpstr>
      <vt:lpstr>reference</vt:lpstr>
      <vt:lpstr>explanation of DEC projection</vt:lpstr>
      <vt:lpstr>hidden titles_data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Wu</dc:creator>
  <cp:lastModifiedBy>awilson</cp:lastModifiedBy>
  <cp:lastPrinted>2013-09-17T21:54:05Z</cp:lastPrinted>
  <dcterms:created xsi:type="dcterms:W3CDTF">2009-03-02T22:09:56Z</dcterms:created>
  <dcterms:modified xsi:type="dcterms:W3CDTF">2014-02-26T03:06:49Z</dcterms:modified>
</cp:coreProperties>
</file>