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526"/>
  <workbookPr autoCompressPictures="0"/>
  <bookViews>
    <workbookView xWindow="480" yWindow="480" windowWidth="31060" windowHeight="17760" tabRatio="725" firstSheet="1" activeTab="7"/>
  </bookViews>
  <sheets>
    <sheet name="Summary_March" sheetId="48" state="hidden" r:id="rId1"/>
    <sheet name="Weekly Summary" sheetId="50" r:id="rId2"/>
    <sheet name="Summary - OLD" sheetId="17" r:id="rId3"/>
    <sheet name="Orch + IODA iTunes Details" sheetId="11" state="hidden" r:id="rId4"/>
    <sheet name="Sheet4" sheetId="40" state="hidden" r:id="rId5"/>
    <sheet name="iTunes Hidden Labels Summary" sheetId="44" r:id="rId6"/>
    <sheet name="Market Share_Jan 2014" sheetId="37" r:id="rId7"/>
    <sheet name="Market Share_Ex_RED" sheetId="38" r:id="rId8"/>
    <sheet name="Orch Weekly Mgmt" sheetId="1" state="hidden" r:id="rId9"/>
    <sheet name="IODA Weekly iTunes" sheetId="10" state="hidden" r:id="rId10"/>
    <sheet name="IRIS iTunes" sheetId="13" state="hidden" r:id="rId11"/>
    <sheet name="Orch iTunes data" sheetId="2" state="hidden" r:id="rId12"/>
    <sheet name="IODA iTunes data" sheetId="12" state="hidden" r:id="rId13"/>
    <sheet name="IRIS iTunes data" sheetId="14" state="hidden" r:id="rId14"/>
    <sheet name="Deezer" sheetId="7" state="hidden" r:id="rId15"/>
    <sheet name="Youtube" sheetId="9" state="hidden" r:id="rId16"/>
    <sheet name="Spotify" sheetId="15" state="hidden" r:id="rId17"/>
    <sheet name="Amazon" sheetId="16" state="hidden" r:id="rId18"/>
    <sheet name="Cricket" sheetId="18" state="hidden" r:id="rId19"/>
    <sheet name="explanation of DEC projection" sheetId="36" state="hidden" r:id="rId20"/>
    <sheet name="2012 by Top store" sheetId="39" state="hidden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_FilterDatabase" localSheetId="5" hidden="1">'iTunes Hidden Labels Summary'!$A$1:$I$479</definedName>
    <definedName name="_xlnm._FilterDatabase" localSheetId="8" hidden="1">'Orch Weekly Mgmt'!#REF!</definedName>
    <definedName name="eur_fx" localSheetId="1">#REF!</definedName>
    <definedName name="eur_fx">#REF!</definedName>
    <definedName name="eur_fx2" localSheetId="1">#REF!</definedName>
    <definedName name="eur_fx2">#REF!</definedName>
    <definedName name="mymonth" localSheetId="1">'[1]iTunes OVERVIEW'!$E$1</definedName>
    <definedName name="mymonth">'[2]iTunes OVERVIEW'!$E$1</definedName>
    <definedName name="mythirdmonth" localSheetId="1">'[1]Verizon OVERVIEW '!#REF!</definedName>
    <definedName name="mythirdmonth">'[2]Verizon OVERVIEW '!#REF!</definedName>
    <definedName name="mythirdmonth2" localSheetId="1">'[1]Verizon OVERVIEW '!#REF!</definedName>
    <definedName name="mythirdmonth2">'[2]Verizon OVERVIEW '!#REF!</definedName>
    <definedName name="_xlnm.Print_Area" localSheetId="1">'Weekly Summary'!$A$131:$I$172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481" i="44" l="1"/>
  <c r="H481" i="44"/>
  <c r="G481" i="44"/>
  <c r="F481" i="44"/>
  <c r="H108" i="2"/>
  <c r="P26" i="17"/>
  <c r="P27" i="17"/>
  <c r="O26" i="17"/>
  <c r="O27" i="17"/>
  <c r="M26" i="17"/>
  <c r="M27" i="17"/>
  <c r="L26" i="17"/>
  <c r="L27" i="17"/>
  <c r="K3" i="48"/>
  <c r="K4" i="48"/>
  <c r="K5" i="48"/>
  <c r="K5" i="17"/>
  <c r="K4" i="17"/>
  <c r="K6" i="17"/>
  <c r="K3" i="17"/>
  <c r="E28" i="48"/>
  <c r="F28" i="48"/>
  <c r="G28" i="48"/>
  <c r="E25" i="48"/>
  <c r="E26" i="48"/>
  <c r="E27" i="48"/>
  <c r="F26" i="48"/>
  <c r="F27" i="48"/>
  <c r="G26" i="48"/>
  <c r="G27" i="48"/>
  <c r="G23" i="48"/>
  <c r="G24" i="48"/>
  <c r="F23" i="48"/>
  <c r="F24" i="48"/>
  <c r="E23" i="48"/>
  <c r="E24" i="48"/>
  <c r="E29" i="48"/>
  <c r="G3" i="48"/>
  <c r="G4" i="48"/>
  <c r="G5" i="48"/>
  <c r="F3" i="48"/>
  <c r="F4" i="48"/>
  <c r="F5" i="48"/>
  <c r="E3" i="48"/>
  <c r="E4" i="48"/>
  <c r="E6" i="48"/>
  <c r="E11" i="48"/>
  <c r="E5" i="48"/>
  <c r="N29" i="17"/>
  <c r="K29" i="17"/>
  <c r="Q142" i="48"/>
  <c r="P142" i="48"/>
  <c r="O142" i="48"/>
  <c r="N142" i="48"/>
  <c r="R141" i="48"/>
  <c r="Q141" i="48"/>
  <c r="P141" i="48"/>
  <c r="O141" i="48"/>
  <c r="N141" i="48"/>
  <c r="R140" i="48"/>
  <c r="Q140" i="48"/>
  <c r="P140" i="48"/>
  <c r="O140" i="48"/>
  <c r="N140" i="48"/>
  <c r="S139" i="48"/>
  <c r="R139" i="48"/>
  <c r="Q139" i="48"/>
  <c r="P139" i="48"/>
  <c r="O139" i="48"/>
  <c r="N139" i="48"/>
  <c r="S138" i="48"/>
  <c r="R138" i="48"/>
  <c r="Q138" i="48"/>
  <c r="P138" i="48"/>
  <c r="O138" i="48"/>
  <c r="N138" i="48"/>
  <c r="S137" i="48"/>
  <c r="R137" i="48"/>
  <c r="Q137" i="48"/>
  <c r="P137" i="48"/>
  <c r="O137" i="48"/>
  <c r="N137" i="48"/>
  <c r="S136" i="48"/>
  <c r="R136" i="48"/>
  <c r="Q136" i="48"/>
  <c r="P136" i="48"/>
  <c r="O136" i="48"/>
  <c r="N136" i="48"/>
  <c r="S135" i="48"/>
  <c r="R135" i="48"/>
  <c r="Q135" i="48"/>
  <c r="P135" i="48"/>
  <c r="O135" i="48"/>
  <c r="N135" i="48"/>
  <c r="S134" i="48"/>
  <c r="R134" i="48"/>
  <c r="Q134" i="48"/>
  <c r="P134" i="48"/>
  <c r="O134" i="48"/>
  <c r="N134" i="48"/>
  <c r="E130" i="48"/>
  <c r="D130" i="48"/>
  <c r="C128" i="48"/>
  <c r="C130" i="48"/>
  <c r="C129" i="48"/>
  <c r="B128" i="48"/>
  <c r="B129" i="48"/>
  <c r="R129" i="48"/>
  <c r="L129" i="48"/>
  <c r="R128" i="48"/>
  <c r="L128" i="48"/>
  <c r="D23" i="48"/>
  <c r="H23" i="48"/>
  <c r="D24" i="48"/>
  <c r="H24" i="48"/>
  <c r="D25" i="48"/>
  <c r="I25" i="48"/>
  <c r="F25" i="48"/>
  <c r="G25" i="48"/>
  <c r="H25" i="48"/>
  <c r="D26" i="48"/>
  <c r="H26" i="48"/>
  <c r="D27" i="48"/>
  <c r="H27" i="48"/>
  <c r="D28" i="48"/>
  <c r="H28" i="48"/>
  <c r="N29" i="48"/>
  <c r="K29" i="48"/>
  <c r="C29" i="48"/>
  <c r="B29" i="48"/>
  <c r="D3" i="48"/>
  <c r="H3" i="48"/>
  <c r="D4" i="48"/>
  <c r="H4" i="48"/>
  <c r="D5" i="48"/>
  <c r="H5" i="48"/>
  <c r="J7" i="48"/>
  <c r="J8" i="48"/>
  <c r="J9" i="48"/>
  <c r="J10" i="48"/>
  <c r="N10" i="48"/>
  <c r="N6" i="48"/>
  <c r="N11" i="48"/>
  <c r="K7" i="48"/>
  <c r="K8" i="48"/>
  <c r="L8" i="48"/>
  <c r="M8" i="48"/>
  <c r="K9" i="48"/>
  <c r="I7" i="48"/>
  <c r="I8" i="48"/>
  <c r="I9" i="48"/>
  <c r="I10" i="48"/>
  <c r="H10" i="48"/>
  <c r="G10" i="48"/>
  <c r="F10" i="48"/>
  <c r="E10" i="48"/>
  <c r="D10" i="48"/>
  <c r="C6" i="48"/>
  <c r="C10" i="48"/>
  <c r="C11" i="48"/>
  <c r="B6" i="48"/>
  <c r="B10" i="48"/>
  <c r="B11" i="48"/>
  <c r="X3" i="48"/>
  <c r="X6" i="48"/>
  <c r="X9" i="48"/>
  <c r="X4" i="48"/>
  <c r="X5" i="48"/>
  <c r="X7" i="48"/>
  <c r="W6" i="48"/>
  <c r="W9" i="48"/>
  <c r="V6" i="48"/>
  <c r="V9" i="48"/>
  <c r="U6" i="48"/>
  <c r="U9" i="48"/>
  <c r="T6" i="48"/>
  <c r="T9" i="48"/>
  <c r="S6" i="48"/>
  <c r="S9" i="48"/>
  <c r="O9" i="48"/>
  <c r="P9" i="48"/>
  <c r="L9" i="48"/>
  <c r="M9" i="48"/>
  <c r="O8" i="48"/>
  <c r="P8" i="48"/>
  <c r="O7" i="48"/>
  <c r="P7" i="48"/>
  <c r="L7" i="48"/>
  <c r="M7" i="48"/>
  <c r="J9" i="17"/>
  <c r="J10" i="17"/>
  <c r="O10" i="17"/>
  <c r="P10" i="17"/>
  <c r="J8" i="17"/>
  <c r="J7" i="17"/>
  <c r="O7" i="17"/>
  <c r="P7" i="17"/>
  <c r="B108" i="2"/>
  <c r="B116" i="2"/>
  <c r="B178" i="2"/>
  <c r="I95" i="13"/>
  <c r="I97" i="13"/>
  <c r="I98" i="13"/>
  <c r="I99" i="13"/>
  <c r="I100" i="13"/>
  <c r="I101" i="13"/>
  <c r="I102" i="13"/>
  <c r="I103" i="13"/>
  <c r="I104" i="13"/>
  <c r="I105" i="13"/>
  <c r="I106" i="13"/>
  <c r="I107" i="13"/>
  <c r="I108" i="13"/>
  <c r="I109" i="13"/>
  <c r="I110" i="13"/>
  <c r="I111" i="13"/>
  <c r="I112" i="13"/>
  <c r="I113" i="13"/>
  <c r="I114" i="13"/>
  <c r="I115" i="13"/>
  <c r="I116" i="13"/>
  <c r="I117" i="13"/>
  <c r="I118" i="13"/>
  <c r="I119" i="13"/>
  <c r="I120" i="13"/>
  <c r="I121" i="13"/>
  <c r="I122" i="13"/>
  <c r="I123" i="13"/>
  <c r="I124" i="13"/>
  <c r="I125" i="13"/>
  <c r="I94" i="13"/>
  <c r="I93" i="13"/>
  <c r="I92" i="13"/>
  <c r="I91" i="13"/>
  <c r="I90" i="13"/>
  <c r="I89" i="13"/>
  <c r="I88" i="13"/>
  <c r="I87" i="13"/>
  <c r="I86" i="13"/>
  <c r="I85" i="13"/>
  <c r="I84" i="13"/>
  <c r="I83" i="13"/>
  <c r="I82" i="13"/>
  <c r="I78" i="13"/>
  <c r="I79" i="13"/>
  <c r="I80" i="13"/>
  <c r="I77" i="13"/>
  <c r="I76" i="13"/>
  <c r="I75" i="13"/>
  <c r="I74" i="13"/>
  <c r="I73" i="13"/>
  <c r="I72" i="13"/>
  <c r="I71" i="13"/>
  <c r="I70" i="13"/>
  <c r="I69" i="13"/>
  <c r="I68" i="13"/>
  <c r="I62" i="13"/>
  <c r="I63" i="13"/>
  <c r="I64" i="13"/>
  <c r="I65" i="13"/>
  <c r="I66" i="13"/>
  <c r="I61" i="13"/>
  <c r="I60" i="13"/>
  <c r="I59" i="13"/>
  <c r="I58" i="13"/>
  <c r="I57" i="13"/>
  <c r="I56" i="13"/>
  <c r="I55" i="13"/>
  <c r="I54" i="13"/>
  <c r="I53" i="13"/>
  <c r="I52" i="13"/>
  <c r="I51" i="13"/>
  <c r="I49" i="13"/>
  <c r="I50" i="13"/>
  <c r="I39" i="13"/>
  <c r="I40" i="13"/>
  <c r="I41" i="13"/>
  <c r="I42" i="13"/>
  <c r="I43" i="13"/>
  <c r="I44" i="13"/>
  <c r="I45" i="13"/>
  <c r="I46" i="13"/>
  <c r="I47" i="13"/>
  <c r="I48" i="13"/>
  <c r="I38" i="13"/>
  <c r="I37" i="13"/>
  <c r="I35" i="13"/>
  <c r="I34" i="13"/>
  <c r="I33" i="13"/>
  <c r="I32" i="13"/>
  <c r="I30" i="13"/>
  <c r="I29" i="13"/>
  <c r="I28" i="13"/>
  <c r="I26" i="13"/>
  <c r="I25" i="13"/>
  <c r="I24" i="13"/>
  <c r="I23" i="13"/>
  <c r="I21" i="13"/>
  <c r="I20" i="13"/>
  <c r="I19" i="13"/>
  <c r="I17" i="13"/>
  <c r="I16" i="13"/>
  <c r="I15" i="13"/>
  <c r="I13" i="13"/>
  <c r="I12" i="13"/>
  <c r="I11" i="13"/>
  <c r="I10" i="13"/>
  <c r="I6" i="13"/>
  <c r="I7" i="13"/>
  <c r="I8" i="13"/>
  <c r="I5" i="13"/>
  <c r="I100" i="10"/>
  <c r="I101" i="10"/>
  <c r="I104" i="10"/>
  <c r="I88" i="10"/>
  <c r="I97" i="10"/>
  <c r="I89" i="10"/>
  <c r="I84" i="10"/>
  <c r="I125" i="10"/>
  <c r="I124" i="10"/>
  <c r="I95" i="10"/>
  <c r="I105" i="10"/>
  <c r="I112" i="10"/>
  <c r="I92" i="10"/>
  <c r="I117" i="10"/>
  <c r="I69" i="10"/>
  <c r="I70" i="10"/>
  <c r="I71" i="10"/>
  <c r="I72" i="10"/>
  <c r="I67" i="10"/>
  <c r="I73" i="10"/>
  <c r="I74" i="10"/>
  <c r="I75" i="10"/>
  <c r="I76" i="10"/>
  <c r="I77" i="10"/>
  <c r="I78" i="10"/>
  <c r="I79" i="10"/>
  <c r="I80" i="10"/>
  <c r="I83" i="10"/>
  <c r="I85" i="10"/>
  <c r="I86" i="10"/>
  <c r="I87" i="10"/>
  <c r="I90" i="10"/>
  <c r="I91" i="10"/>
  <c r="I93" i="10"/>
  <c r="I94" i="10"/>
  <c r="I98" i="10"/>
  <c r="I99" i="10"/>
  <c r="I99" i="11"/>
  <c r="I102" i="10"/>
  <c r="I103" i="10"/>
  <c r="I106" i="10"/>
  <c r="I107" i="10"/>
  <c r="I107" i="11"/>
  <c r="I108" i="10"/>
  <c r="I109" i="10"/>
  <c r="I110" i="10"/>
  <c r="I111" i="10"/>
  <c r="I113" i="10"/>
  <c r="I113" i="11"/>
  <c r="I114" i="10"/>
  <c r="I115" i="10"/>
  <c r="I116" i="10"/>
  <c r="I118" i="10"/>
  <c r="I119" i="10"/>
  <c r="I120" i="10"/>
  <c r="I121" i="10"/>
  <c r="I121" i="11"/>
  <c r="I122" i="10"/>
  <c r="I123" i="10"/>
  <c r="I82" i="10"/>
  <c r="I68" i="10"/>
  <c r="I62" i="10"/>
  <c r="I63" i="10"/>
  <c r="I64" i="10"/>
  <c r="I65" i="10"/>
  <c r="I66" i="10"/>
  <c r="I61" i="10"/>
  <c r="I60" i="10"/>
  <c r="I59" i="10"/>
  <c r="I58" i="10"/>
  <c r="I57" i="10"/>
  <c r="I56" i="10"/>
  <c r="I55" i="10"/>
  <c r="I54" i="10"/>
  <c r="I53" i="10"/>
  <c r="I52" i="10"/>
  <c r="I51" i="10"/>
  <c r="I50" i="10"/>
  <c r="I40" i="10"/>
  <c r="I41" i="10"/>
  <c r="I42" i="10"/>
  <c r="I43" i="10"/>
  <c r="I43" i="11"/>
  <c r="I44" i="10"/>
  <c r="I44" i="11"/>
  <c r="I45" i="10"/>
  <c r="I46" i="10"/>
  <c r="I47" i="10"/>
  <c r="I47" i="11"/>
  <c r="I48" i="10"/>
  <c r="I39" i="10"/>
  <c r="I38" i="10"/>
  <c r="I37" i="10"/>
  <c r="I34" i="10"/>
  <c r="I35" i="10"/>
  <c r="I33" i="10"/>
  <c r="I32" i="10"/>
  <c r="I30" i="10"/>
  <c r="I30" i="11"/>
  <c r="I29" i="10"/>
  <c r="I28" i="10"/>
  <c r="I26" i="10"/>
  <c r="I25" i="10"/>
  <c r="I24" i="10"/>
  <c r="I23" i="10"/>
  <c r="I21" i="10"/>
  <c r="I20" i="10"/>
  <c r="I20" i="11"/>
  <c r="I19" i="10"/>
  <c r="I17" i="10"/>
  <c r="I16" i="10"/>
  <c r="I15" i="10"/>
  <c r="I15" i="11"/>
  <c r="I13" i="10"/>
  <c r="I12" i="10"/>
  <c r="I11" i="10"/>
  <c r="I10" i="10"/>
  <c r="I6" i="10"/>
  <c r="I7" i="10"/>
  <c r="I8" i="10"/>
  <c r="I5" i="10"/>
  <c r="I5" i="11"/>
  <c r="I95" i="1"/>
  <c r="I96" i="1"/>
  <c r="I96" i="11"/>
  <c r="I97" i="1"/>
  <c r="I98" i="1"/>
  <c r="I100" i="1"/>
  <c r="I101" i="1"/>
  <c r="I102" i="1"/>
  <c r="I103" i="1"/>
  <c r="I104" i="1"/>
  <c r="I105" i="1"/>
  <c r="I106" i="1"/>
  <c r="I108" i="1"/>
  <c r="I109" i="1"/>
  <c r="I110" i="1"/>
  <c r="I111" i="1"/>
  <c r="I112" i="1"/>
  <c r="I113" i="1"/>
  <c r="I114" i="1"/>
  <c r="I115" i="1"/>
  <c r="I115" i="11"/>
  <c r="I116" i="1"/>
  <c r="I117" i="1"/>
  <c r="I118" i="1"/>
  <c r="I119" i="1"/>
  <c r="I120" i="1"/>
  <c r="I121" i="1"/>
  <c r="I122" i="1"/>
  <c r="I123" i="1"/>
  <c r="I124" i="1"/>
  <c r="I125" i="1"/>
  <c r="I94" i="1"/>
  <c r="I93" i="1"/>
  <c r="I92" i="1"/>
  <c r="I91" i="1"/>
  <c r="I90" i="1"/>
  <c r="I90" i="11"/>
  <c r="I89" i="1"/>
  <c r="I88" i="1"/>
  <c r="I87" i="1"/>
  <c r="I86" i="1"/>
  <c r="I85" i="1"/>
  <c r="I84" i="1"/>
  <c r="I83" i="1"/>
  <c r="I82" i="1"/>
  <c r="I82" i="11"/>
  <c r="I77" i="1"/>
  <c r="I77" i="11"/>
  <c r="I78" i="1"/>
  <c r="I79" i="1"/>
  <c r="I80" i="1"/>
  <c r="I76" i="1"/>
  <c r="I75" i="1"/>
  <c r="I74" i="1"/>
  <c r="I73" i="1"/>
  <c r="I73" i="11"/>
  <c r="I72" i="1"/>
  <c r="I71" i="1"/>
  <c r="I70" i="1"/>
  <c r="I69" i="1"/>
  <c r="I69" i="11"/>
  <c r="I68" i="1"/>
  <c r="I62" i="1"/>
  <c r="I62" i="11"/>
  <c r="I63" i="1"/>
  <c r="I64" i="1"/>
  <c r="I64" i="11"/>
  <c r="I65" i="1"/>
  <c r="I66" i="1"/>
  <c r="I66" i="11"/>
  <c r="I61" i="1"/>
  <c r="I60" i="1"/>
  <c r="I59" i="1"/>
  <c r="I58" i="1"/>
  <c r="I57" i="1"/>
  <c r="I56" i="1"/>
  <c r="I55" i="1"/>
  <c r="I54" i="1"/>
  <c r="I53" i="1"/>
  <c r="I52" i="1"/>
  <c r="I52" i="11"/>
  <c r="I51" i="1"/>
  <c r="I50" i="1"/>
  <c r="I39" i="1"/>
  <c r="I40" i="1"/>
  <c r="I41" i="1"/>
  <c r="I42" i="1"/>
  <c r="I43" i="1"/>
  <c r="I44" i="1"/>
  <c r="I45" i="1"/>
  <c r="I46" i="1"/>
  <c r="I47" i="1"/>
  <c r="I48" i="1"/>
  <c r="I38" i="1"/>
  <c r="I37" i="1"/>
  <c r="I35" i="1"/>
  <c r="J35" i="1"/>
  <c r="K35" i="1"/>
  <c r="I34" i="1"/>
  <c r="I33" i="1"/>
  <c r="I32" i="1"/>
  <c r="I30" i="1"/>
  <c r="I29" i="1"/>
  <c r="I28" i="1"/>
  <c r="I27" i="1"/>
  <c r="I26" i="1"/>
  <c r="I25" i="1"/>
  <c r="I24" i="1"/>
  <c r="I23" i="1"/>
  <c r="I21" i="1"/>
  <c r="I20" i="1"/>
  <c r="I19" i="1"/>
  <c r="I17" i="1"/>
  <c r="I16" i="1"/>
  <c r="I15" i="1"/>
  <c r="I13" i="1"/>
  <c r="I13" i="11"/>
  <c r="I12" i="1"/>
  <c r="I11" i="1"/>
  <c r="I10" i="1"/>
  <c r="I6" i="1"/>
  <c r="I7" i="1"/>
  <c r="I8" i="1"/>
  <c r="I8" i="11"/>
  <c r="I5" i="1"/>
  <c r="I102" i="11"/>
  <c r="D25" i="17"/>
  <c r="E25" i="17"/>
  <c r="J25" i="17"/>
  <c r="F25" i="17"/>
  <c r="G25" i="17"/>
  <c r="H25" i="17"/>
  <c r="D26" i="17"/>
  <c r="E26" i="17"/>
  <c r="I26" i="17"/>
  <c r="F26" i="17"/>
  <c r="D27" i="17"/>
  <c r="E27" i="17"/>
  <c r="F27" i="17"/>
  <c r="S136" i="17"/>
  <c r="S139" i="17"/>
  <c r="S138" i="17"/>
  <c r="S137" i="17"/>
  <c r="S135" i="17"/>
  <c r="R141" i="17"/>
  <c r="Q142" i="17"/>
  <c r="P142" i="17"/>
  <c r="O142" i="17"/>
  <c r="N142" i="17"/>
  <c r="Q141" i="17"/>
  <c r="P141" i="17"/>
  <c r="O141" i="17"/>
  <c r="N141" i="17"/>
  <c r="R140" i="17"/>
  <c r="Q140" i="17"/>
  <c r="P140" i="17"/>
  <c r="O140" i="17"/>
  <c r="N140" i="17"/>
  <c r="R139" i="17"/>
  <c r="Q139" i="17"/>
  <c r="P139" i="17"/>
  <c r="O139" i="17"/>
  <c r="N139" i="17"/>
  <c r="R138" i="17"/>
  <c r="Q138" i="17"/>
  <c r="P138" i="17"/>
  <c r="O138" i="17"/>
  <c r="N138" i="17"/>
  <c r="R137" i="17"/>
  <c r="Q137" i="17"/>
  <c r="P137" i="17"/>
  <c r="O137" i="17"/>
  <c r="N137" i="17"/>
  <c r="R136" i="17"/>
  <c r="Q136" i="17"/>
  <c r="P136" i="17"/>
  <c r="O136" i="17"/>
  <c r="N136" i="17"/>
  <c r="R135" i="17"/>
  <c r="Q135" i="17"/>
  <c r="P135" i="17"/>
  <c r="O135" i="17"/>
  <c r="N135" i="17"/>
  <c r="R134" i="17"/>
  <c r="Q134" i="17"/>
  <c r="P134" i="17"/>
  <c r="O134" i="17"/>
  <c r="N134" i="17"/>
  <c r="O11" i="39"/>
  <c r="N11" i="39"/>
  <c r="M11" i="39"/>
  <c r="L11" i="39"/>
  <c r="O10" i="39"/>
  <c r="N10" i="39"/>
  <c r="M10" i="39"/>
  <c r="L10" i="39"/>
  <c r="O9" i="39"/>
  <c r="N9" i="39"/>
  <c r="M9" i="39"/>
  <c r="L9" i="39"/>
  <c r="O8" i="39"/>
  <c r="N8" i="39"/>
  <c r="M8" i="39"/>
  <c r="L8" i="39"/>
  <c r="O7" i="39"/>
  <c r="N7" i="39"/>
  <c r="M7" i="39"/>
  <c r="L7" i="39"/>
  <c r="O6" i="39"/>
  <c r="N6" i="39"/>
  <c r="M6" i="39"/>
  <c r="L6" i="39"/>
  <c r="O5" i="39"/>
  <c r="N5" i="39"/>
  <c r="M5" i="39"/>
  <c r="L5" i="39"/>
  <c r="O4" i="39"/>
  <c r="N4" i="39"/>
  <c r="M4" i="39"/>
  <c r="L4" i="39"/>
  <c r="O3" i="39"/>
  <c r="N3" i="39"/>
  <c r="M3" i="39"/>
  <c r="L3" i="39"/>
  <c r="O2" i="39"/>
  <c r="N2" i="39"/>
  <c r="M2" i="39"/>
  <c r="L2" i="39"/>
  <c r="K11" i="39"/>
  <c r="K10" i="39"/>
  <c r="K9" i="39"/>
  <c r="K8" i="39"/>
  <c r="K7" i="39"/>
  <c r="K6" i="39"/>
  <c r="K5" i="39"/>
  <c r="K4" i="39"/>
  <c r="K3" i="39"/>
  <c r="K2" i="39"/>
  <c r="S134" i="17"/>
  <c r="B45" i="38"/>
  <c r="B43" i="38"/>
  <c r="B42" i="38"/>
  <c r="B41" i="38"/>
  <c r="B40" i="38"/>
  <c r="B39" i="38"/>
  <c r="B38" i="38"/>
  <c r="B37" i="38"/>
  <c r="B36" i="38"/>
  <c r="B35" i="38"/>
  <c r="B34" i="38"/>
  <c r="B33" i="38"/>
  <c r="B32" i="38"/>
  <c r="B31" i="38"/>
  <c r="B30" i="38"/>
  <c r="B29" i="38"/>
  <c r="B28" i="38"/>
  <c r="B27" i="38"/>
  <c r="B26" i="38"/>
  <c r="B47" i="37"/>
  <c r="B46" i="37"/>
  <c r="B45" i="37"/>
  <c r="B44" i="37"/>
  <c r="B43" i="37"/>
  <c r="B42" i="37"/>
  <c r="B41" i="37"/>
  <c r="B40" i="37"/>
  <c r="M46" i="37"/>
  <c r="M45" i="37"/>
  <c r="M44" i="37"/>
  <c r="M43" i="37"/>
  <c r="M42" i="37"/>
  <c r="M41" i="37"/>
  <c r="J17" i="37"/>
  <c r="B36" i="37"/>
  <c r="I17" i="37"/>
  <c r="H17" i="37"/>
  <c r="G17" i="37"/>
  <c r="F17" i="37"/>
  <c r="E17" i="37"/>
  <c r="D17" i="37"/>
  <c r="C17" i="37"/>
  <c r="B17" i="37"/>
  <c r="M40" i="37"/>
  <c r="J16" i="37"/>
  <c r="B35" i="37"/>
  <c r="I16" i="37"/>
  <c r="H16" i="37"/>
  <c r="G16" i="37"/>
  <c r="F16" i="37"/>
  <c r="E16" i="37"/>
  <c r="D16" i="37"/>
  <c r="C16" i="37"/>
  <c r="B16" i="37"/>
  <c r="M39" i="37"/>
  <c r="J15" i="37"/>
  <c r="B34" i="37"/>
  <c r="I15" i="37"/>
  <c r="H15" i="37"/>
  <c r="G15" i="37"/>
  <c r="F15" i="37"/>
  <c r="E15" i="37"/>
  <c r="D15" i="37"/>
  <c r="C15" i="37"/>
  <c r="B15" i="37"/>
  <c r="M38" i="37"/>
  <c r="J14" i="37"/>
  <c r="B33" i="37"/>
  <c r="I14" i="37"/>
  <c r="H14" i="37"/>
  <c r="G14" i="37"/>
  <c r="F14" i="37"/>
  <c r="E14" i="37"/>
  <c r="D14" i="37"/>
  <c r="C14" i="37"/>
  <c r="B14" i="37"/>
  <c r="M37" i="37"/>
  <c r="J13" i="37"/>
  <c r="B32" i="37"/>
  <c r="I13" i="37"/>
  <c r="H13" i="37"/>
  <c r="G13" i="37"/>
  <c r="F13" i="37"/>
  <c r="E13" i="37"/>
  <c r="D13" i="37"/>
  <c r="C13" i="37"/>
  <c r="B13" i="37"/>
  <c r="M36" i="37"/>
  <c r="J12" i="37"/>
  <c r="B31" i="37"/>
  <c r="I12" i="37"/>
  <c r="H12" i="37"/>
  <c r="G12" i="37"/>
  <c r="F12" i="37"/>
  <c r="E12" i="37"/>
  <c r="D12" i="37"/>
  <c r="C12" i="37"/>
  <c r="B12" i="37"/>
  <c r="M35" i="37"/>
  <c r="J11" i="37"/>
  <c r="B30" i="37"/>
  <c r="I11" i="37"/>
  <c r="H11" i="37"/>
  <c r="G11" i="37"/>
  <c r="F11" i="37"/>
  <c r="E11" i="37"/>
  <c r="D11" i="37"/>
  <c r="C11" i="37"/>
  <c r="B11" i="37"/>
  <c r="M34" i="37"/>
  <c r="J10" i="37"/>
  <c r="B29" i="37"/>
  <c r="I10" i="37"/>
  <c r="H10" i="37"/>
  <c r="G10" i="37"/>
  <c r="F10" i="37"/>
  <c r="E10" i="37"/>
  <c r="D10" i="37"/>
  <c r="C10" i="37"/>
  <c r="B10" i="37"/>
  <c r="M33" i="37"/>
  <c r="J9" i="37"/>
  <c r="B28" i="37"/>
  <c r="I9" i="37"/>
  <c r="H9" i="37"/>
  <c r="G9" i="37"/>
  <c r="F9" i="37"/>
  <c r="E9" i="37"/>
  <c r="D9" i="37"/>
  <c r="C9" i="37"/>
  <c r="B9" i="37"/>
  <c r="M32" i="37"/>
  <c r="J8" i="37"/>
  <c r="B27" i="37"/>
  <c r="I8" i="37"/>
  <c r="H8" i="37"/>
  <c r="G8" i="37"/>
  <c r="F8" i="37"/>
  <c r="E8" i="37"/>
  <c r="D8" i="37"/>
  <c r="C8" i="37"/>
  <c r="B8" i="37"/>
  <c r="M31" i="37"/>
  <c r="J7" i="37"/>
  <c r="B26" i="37"/>
  <c r="I7" i="37"/>
  <c r="H7" i="37"/>
  <c r="G7" i="37"/>
  <c r="F7" i="37"/>
  <c r="E7" i="37"/>
  <c r="D7" i="37"/>
  <c r="C7" i="37"/>
  <c r="B7" i="37"/>
  <c r="M30" i="37"/>
  <c r="J6" i="37"/>
  <c r="B25" i="37"/>
  <c r="I6" i="37"/>
  <c r="H6" i="37"/>
  <c r="G6" i="37"/>
  <c r="F6" i="37"/>
  <c r="E6" i="37"/>
  <c r="D6" i="37"/>
  <c r="C6" i="37"/>
  <c r="B6" i="37"/>
  <c r="M29" i="37"/>
  <c r="J5" i="37"/>
  <c r="B24" i="37"/>
  <c r="I5" i="37"/>
  <c r="H5" i="37"/>
  <c r="G5" i="37"/>
  <c r="F5" i="37"/>
  <c r="E5" i="37"/>
  <c r="D5" i="37"/>
  <c r="C5" i="37"/>
  <c r="B5" i="37"/>
  <c r="M27" i="37"/>
  <c r="J4" i="37"/>
  <c r="B23" i="37"/>
  <c r="I4" i="37"/>
  <c r="H4" i="37"/>
  <c r="G4" i="37"/>
  <c r="F4" i="37"/>
  <c r="E4" i="37"/>
  <c r="D4" i="37"/>
  <c r="C4" i="37"/>
  <c r="B4" i="37"/>
  <c r="M28" i="37"/>
  <c r="J3" i="37"/>
  <c r="B22" i="37"/>
  <c r="I3" i="37"/>
  <c r="H3" i="37"/>
  <c r="G3" i="37"/>
  <c r="F3" i="37"/>
  <c r="E3" i="37"/>
  <c r="D3" i="37"/>
  <c r="C3" i="37"/>
  <c r="B3" i="37"/>
  <c r="B29" i="17"/>
  <c r="N116" i="2"/>
  <c r="N116" i="14"/>
  <c r="D4" i="13"/>
  <c r="N116" i="12"/>
  <c r="D4" i="10"/>
  <c r="N118" i="14"/>
  <c r="D8" i="13"/>
  <c r="N119" i="14"/>
  <c r="D9" i="13"/>
  <c r="N120" i="14"/>
  <c r="D14" i="13"/>
  <c r="N121" i="14"/>
  <c r="D18" i="13"/>
  <c r="D130" i="13"/>
  <c r="N122" i="14"/>
  <c r="D22" i="13"/>
  <c r="N123" i="14"/>
  <c r="D27" i="13"/>
  <c r="N124" i="14"/>
  <c r="D36" i="13"/>
  <c r="N118" i="2"/>
  <c r="N118" i="12"/>
  <c r="D8" i="10"/>
  <c r="N119" i="2"/>
  <c r="N119" i="12"/>
  <c r="D9" i="10"/>
  <c r="N120" i="2"/>
  <c r="N120" i="12"/>
  <c r="D14" i="10"/>
  <c r="N121" i="2"/>
  <c r="N183" i="2"/>
  <c r="D18" i="1"/>
  <c r="N121" i="12"/>
  <c r="D18" i="10"/>
  <c r="N122" i="2"/>
  <c r="N122" i="12"/>
  <c r="D22" i="10"/>
  <c r="D130" i="10"/>
  <c r="N123" i="2"/>
  <c r="N123" i="12"/>
  <c r="D27" i="10"/>
  <c r="N124" i="2"/>
  <c r="N124" i="12"/>
  <c r="D36" i="10"/>
  <c r="N131" i="14"/>
  <c r="D81" i="13"/>
  <c r="N128" i="14"/>
  <c r="D30" i="13"/>
  <c r="N127" i="14"/>
  <c r="N132" i="14"/>
  <c r="D34" i="13"/>
  <c r="N133" i="14"/>
  <c r="D35" i="13"/>
  <c r="N129" i="14"/>
  <c r="D49" i="13"/>
  <c r="N130" i="14"/>
  <c r="D67" i="13"/>
  <c r="N131" i="2"/>
  <c r="N131" i="12"/>
  <c r="D81" i="10"/>
  <c r="N128" i="2"/>
  <c r="N128" i="12"/>
  <c r="D30" i="10"/>
  <c r="N127" i="2"/>
  <c r="N127" i="12"/>
  <c r="D31" i="10"/>
  <c r="N132" i="2"/>
  <c r="D34" i="1"/>
  <c r="N132" i="12"/>
  <c r="D34" i="10"/>
  <c r="N133" i="2"/>
  <c r="D35" i="1"/>
  <c r="N133" i="12"/>
  <c r="D35" i="10"/>
  <c r="N129" i="2"/>
  <c r="N129" i="12"/>
  <c r="D49" i="10"/>
  <c r="N130" i="2"/>
  <c r="N130" i="12"/>
  <c r="D67" i="10"/>
  <c r="N10" i="17"/>
  <c r="O8" i="17"/>
  <c r="P8" i="17"/>
  <c r="N6" i="17"/>
  <c r="B3" i="18"/>
  <c r="B8" i="18"/>
  <c r="F3" i="18"/>
  <c r="E28" i="17"/>
  <c r="J3" i="18"/>
  <c r="F28" i="17"/>
  <c r="N3" i="18"/>
  <c r="G28" i="17"/>
  <c r="R3" i="18"/>
  <c r="H28" i="17"/>
  <c r="N70" i="15"/>
  <c r="G27" i="17"/>
  <c r="R41" i="15"/>
  <c r="R43" i="15"/>
  <c r="R44" i="15"/>
  <c r="R45" i="15"/>
  <c r="R46" i="15"/>
  <c r="R47" i="15"/>
  <c r="R48" i="15"/>
  <c r="R49" i="15"/>
  <c r="R51" i="15"/>
  <c r="R52" i="15"/>
  <c r="R53" i="15"/>
  <c r="R54" i="15"/>
  <c r="R55" i="15"/>
  <c r="R56" i="15"/>
  <c r="R57" i="15"/>
  <c r="R60" i="15"/>
  <c r="R61" i="15"/>
  <c r="R63" i="15"/>
  <c r="R64" i="15"/>
  <c r="R65" i="15"/>
  <c r="R67" i="15"/>
  <c r="R68" i="15"/>
  <c r="R69" i="15"/>
  <c r="R70" i="15"/>
  <c r="N71" i="15"/>
  <c r="G26" i="17"/>
  <c r="R71" i="15"/>
  <c r="R75" i="15"/>
  <c r="H26" i="17"/>
  <c r="B11" i="16"/>
  <c r="B16" i="16"/>
  <c r="D24" i="17"/>
  <c r="F11" i="16"/>
  <c r="F16" i="16"/>
  <c r="E24" i="17"/>
  <c r="J11" i="16"/>
  <c r="J16" i="16"/>
  <c r="F24" i="17"/>
  <c r="N11" i="16"/>
  <c r="N16" i="16"/>
  <c r="G24" i="17"/>
  <c r="R16" i="16"/>
  <c r="H24" i="17"/>
  <c r="B15" i="16"/>
  <c r="D23" i="17"/>
  <c r="F15" i="16"/>
  <c r="E23" i="17"/>
  <c r="J15" i="16"/>
  <c r="F23" i="17"/>
  <c r="N15" i="16"/>
  <c r="G23" i="17"/>
  <c r="R15" i="16"/>
  <c r="H23" i="17"/>
  <c r="B118" i="12"/>
  <c r="B8" i="10"/>
  <c r="B118" i="2"/>
  <c r="D118" i="2"/>
  <c r="B119" i="12"/>
  <c r="B9" i="10"/>
  <c r="B119" i="2"/>
  <c r="D119" i="2"/>
  <c r="B120" i="12"/>
  <c r="B14" i="10"/>
  <c r="B120" i="2"/>
  <c r="D120" i="2"/>
  <c r="B121" i="12"/>
  <c r="B18" i="10"/>
  <c r="B121" i="2"/>
  <c r="D121" i="2"/>
  <c r="B183" i="2"/>
  <c r="B18" i="1"/>
  <c r="B122" i="12"/>
  <c r="B22" i="10"/>
  <c r="B122" i="2"/>
  <c r="B184" i="2"/>
  <c r="B22" i="1"/>
  <c r="D122" i="2"/>
  <c r="B123" i="12"/>
  <c r="B27" i="10"/>
  <c r="B123" i="2"/>
  <c r="D123" i="2"/>
  <c r="B118" i="14"/>
  <c r="B8" i="13"/>
  <c r="B119" i="14"/>
  <c r="B9" i="13"/>
  <c r="B120" i="14"/>
  <c r="B14" i="13"/>
  <c r="B121" i="14"/>
  <c r="B18" i="13"/>
  <c r="B122" i="14"/>
  <c r="B22" i="13"/>
  <c r="B123" i="14"/>
  <c r="B27" i="13"/>
  <c r="B124" i="12"/>
  <c r="B36" i="10"/>
  <c r="B124" i="2"/>
  <c r="D124" i="2"/>
  <c r="B186" i="2"/>
  <c r="B36" i="1"/>
  <c r="B124" i="14"/>
  <c r="B36" i="13"/>
  <c r="H118" i="12"/>
  <c r="C8" i="10"/>
  <c r="G8" i="10"/>
  <c r="H118" i="2"/>
  <c r="J118" i="2"/>
  <c r="H119" i="12"/>
  <c r="C9" i="10"/>
  <c r="H119" i="2"/>
  <c r="H181" i="2"/>
  <c r="C9" i="1"/>
  <c r="C9" i="11"/>
  <c r="J119" i="2"/>
  <c r="H120" i="12"/>
  <c r="C14" i="10"/>
  <c r="G14" i="10"/>
  <c r="H120" i="2"/>
  <c r="J120" i="2"/>
  <c r="H121" i="12"/>
  <c r="C18" i="10"/>
  <c r="H18" i="10"/>
  <c r="M18" i="10"/>
  <c r="O18" i="10"/>
  <c r="P18" i="10"/>
  <c r="H121" i="2"/>
  <c r="J121" i="2"/>
  <c r="H122" i="12"/>
  <c r="C22" i="10"/>
  <c r="H22" i="10"/>
  <c r="M22" i="10"/>
  <c r="O22" i="10"/>
  <c r="P22" i="10"/>
  <c r="H122" i="2"/>
  <c r="J122" i="2"/>
  <c r="H123" i="12"/>
  <c r="C27" i="10"/>
  <c r="H123" i="2"/>
  <c r="H185" i="2"/>
  <c r="C27" i="1"/>
  <c r="C27" i="11"/>
  <c r="J123" i="2"/>
  <c r="H118" i="14"/>
  <c r="C8" i="13"/>
  <c r="H119" i="14"/>
  <c r="H120" i="14"/>
  <c r="C14" i="13"/>
  <c r="G14" i="13"/>
  <c r="H121" i="14"/>
  <c r="C18" i="13"/>
  <c r="H122" i="14"/>
  <c r="C22" i="13"/>
  <c r="H22" i="13"/>
  <c r="M22" i="13"/>
  <c r="O22" i="13"/>
  <c r="P22" i="13"/>
  <c r="H123" i="14"/>
  <c r="C27" i="13"/>
  <c r="H124" i="12"/>
  <c r="C36" i="10"/>
  <c r="H36" i="10"/>
  <c r="H124" i="2"/>
  <c r="H186" i="2"/>
  <c r="C36" i="1"/>
  <c r="J124" i="2"/>
  <c r="H124" i="14"/>
  <c r="C36" i="13"/>
  <c r="H36" i="13"/>
  <c r="M36" i="13"/>
  <c r="O36" i="13"/>
  <c r="P36" i="13"/>
  <c r="P118" i="2"/>
  <c r="P119" i="2"/>
  <c r="N181" i="2"/>
  <c r="D9" i="1"/>
  <c r="P120" i="2"/>
  <c r="P121" i="2"/>
  <c r="P122" i="2"/>
  <c r="P123" i="2"/>
  <c r="P124" i="2"/>
  <c r="T118" i="12"/>
  <c r="T118" i="2"/>
  <c r="V118" i="2"/>
  <c r="T119" i="12"/>
  <c r="E9" i="10"/>
  <c r="T119" i="2"/>
  <c r="V119" i="2"/>
  <c r="T120" i="12"/>
  <c r="T120" i="2"/>
  <c r="V120" i="2"/>
  <c r="T121" i="12"/>
  <c r="E18" i="10"/>
  <c r="T121" i="2"/>
  <c r="V121" i="2"/>
  <c r="T122" i="12"/>
  <c r="E22" i="10"/>
  <c r="T122" i="2"/>
  <c r="T184" i="2"/>
  <c r="E22" i="1"/>
  <c r="V122" i="2"/>
  <c r="T123" i="12"/>
  <c r="E27" i="10"/>
  <c r="T123" i="2"/>
  <c r="V123" i="2"/>
  <c r="T185" i="2"/>
  <c r="E27" i="1"/>
  <c r="T118" i="14"/>
  <c r="E8" i="13"/>
  <c r="T119" i="14"/>
  <c r="E9" i="13"/>
  <c r="T120" i="14"/>
  <c r="E14" i="13"/>
  <c r="T121" i="14"/>
  <c r="E18" i="13"/>
  <c r="T122" i="14"/>
  <c r="E22" i="13"/>
  <c r="T123" i="14"/>
  <c r="E27" i="13"/>
  <c r="T124" i="12"/>
  <c r="E36" i="10"/>
  <c r="T124" i="2"/>
  <c r="V124" i="2"/>
  <c r="T124" i="14"/>
  <c r="E36" i="13"/>
  <c r="Z118" i="12"/>
  <c r="F8" i="10"/>
  <c r="Z118" i="2"/>
  <c r="Z180" i="2"/>
  <c r="F8" i="1"/>
  <c r="F8" i="11"/>
  <c r="AB118" i="2"/>
  <c r="Z119" i="12"/>
  <c r="F9" i="10"/>
  <c r="Z119" i="2"/>
  <c r="Z181" i="2"/>
  <c r="F9" i="1"/>
  <c r="AB119" i="2"/>
  <c r="Z120" i="12"/>
  <c r="F14" i="10"/>
  <c r="Z120" i="2"/>
  <c r="AB120" i="2"/>
  <c r="Z121" i="12"/>
  <c r="F18" i="10"/>
  <c r="Z121" i="2"/>
  <c r="AB121" i="2"/>
  <c r="Z183" i="2"/>
  <c r="F18" i="1"/>
  <c r="Z122" i="12"/>
  <c r="F22" i="10"/>
  <c r="Z122" i="2"/>
  <c r="AB122" i="2"/>
  <c r="Z184" i="2"/>
  <c r="F22" i="1"/>
  <c r="Z123" i="12"/>
  <c r="F27" i="10"/>
  <c r="Z123" i="2"/>
  <c r="Z185" i="2"/>
  <c r="F27" i="1"/>
  <c r="AB123" i="2"/>
  <c r="Z118" i="14"/>
  <c r="F8" i="13"/>
  <c r="Z119" i="14"/>
  <c r="F9" i="13"/>
  <c r="Z120" i="14"/>
  <c r="F14" i="13"/>
  <c r="Z121" i="14"/>
  <c r="F18" i="13"/>
  <c r="Z122" i="14"/>
  <c r="F22" i="13"/>
  <c r="Z123" i="14"/>
  <c r="F27" i="13"/>
  <c r="Z124" i="12"/>
  <c r="F36" i="10"/>
  <c r="F36" i="11"/>
  <c r="Z124" i="2"/>
  <c r="AB124" i="2"/>
  <c r="Z186" i="2"/>
  <c r="F36" i="1"/>
  <c r="Z124" i="14"/>
  <c r="F36" i="13"/>
  <c r="B128" i="12"/>
  <c r="B30" i="10"/>
  <c r="B128" i="2"/>
  <c r="B190" i="2"/>
  <c r="B30" i="1"/>
  <c r="D128" i="2"/>
  <c r="B127" i="12"/>
  <c r="B31" i="10"/>
  <c r="B127" i="2"/>
  <c r="D127" i="2"/>
  <c r="B132" i="12"/>
  <c r="B34" i="10"/>
  <c r="B132" i="2"/>
  <c r="B34" i="1"/>
  <c r="B133" i="12"/>
  <c r="B35" i="10"/>
  <c r="B133" i="2"/>
  <c r="B35" i="1"/>
  <c r="B129" i="12"/>
  <c r="B49" i="10"/>
  <c r="B129" i="2"/>
  <c r="D129" i="2"/>
  <c r="B130" i="12"/>
  <c r="B67" i="10"/>
  <c r="B130" i="2"/>
  <c r="B192" i="2"/>
  <c r="B67" i="1"/>
  <c r="D130" i="2"/>
  <c r="B131" i="12"/>
  <c r="B81" i="10"/>
  <c r="B131" i="2"/>
  <c r="D131" i="2"/>
  <c r="B128" i="14"/>
  <c r="B30" i="13"/>
  <c r="B127" i="14"/>
  <c r="B31" i="13"/>
  <c r="B132" i="14"/>
  <c r="B34" i="13"/>
  <c r="B133" i="14"/>
  <c r="B35" i="13"/>
  <c r="B129" i="14"/>
  <c r="B49" i="13"/>
  <c r="B130" i="14"/>
  <c r="B67" i="13"/>
  <c r="B131" i="14"/>
  <c r="B81" i="13"/>
  <c r="H128" i="12"/>
  <c r="C30" i="10"/>
  <c r="H128" i="2"/>
  <c r="H190" i="2"/>
  <c r="C30" i="1"/>
  <c r="J128" i="2"/>
  <c r="H127" i="12"/>
  <c r="C31" i="10"/>
  <c r="H127" i="2"/>
  <c r="H189" i="2"/>
  <c r="C31" i="1"/>
  <c r="J127" i="2"/>
  <c r="H132" i="12"/>
  <c r="C34" i="10"/>
  <c r="G34" i="10"/>
  <c r="H132" i="2"/>
  <c r="C34" i="1"/>
  <c r="H34" i="1"/>
  <c r="H133" i="12"/>
  <c r="C35" i="10"/>
  <c r="H133" i="2"/>
  <c r="C35" i="1"/>
  <c r="H35" i="1"/>
  <c r="M35" i="1"/>
  <c r="H129" i="12"/>
  <c r="C49" i="10"/>
  <c r="H49" i="10"/>
  <c r="M49" i="10"/>
  <c r="H129" i="2"/>
  <c r="J129" i="2"/>
  <c r="H130" i="12"/>
  <c r="C67" i="10"/>
  <c r="G67" i="10"/>
  <c r="H130" i="2"/>
  <c r="H192" i="2"/>
  <c r="C67" i="1"/>
  <c r="J130" i="2"/>
  <c r="H131" i="12"/>
  <c r="C81" i="10"/>
  <c r="H81" i="10"/>
  <c r="M81" i="10"/>
  <c r="O81" i="10"/>
  <c r="P81" i="10"/>
  <c r="H131" i="2"/>
  <c r="H193" i="2"/>
  <c r="C81" i="1"/>
  <c r="C81" i="11"/>
  <c r="J131" i="2"/>
  <c r="H128" i="14"/>
  <c r="C30" i="13"/>
  <c r="G30" i="13"/>
  <c r="H127" i="14"/>
  <c r="C31" i="13"/>
  <c r="G31" i="13"/>
  <c r="H132" i="14"/>
  <c r="C34" i="13"/>
  <c r="H133" i="14"/>
  <c r="C35" i="13"/>
  <c r="H35" i="13"/>
  <c r="M35" i="13"/>
  <c r="O35" i="13"/>
  <c r="P35" i="13"/>
  <c r="H129" i="14"/>
  <c r="C49" i="13"/>
  <c r="G49" i="13"/>
  <c r="H130" i="14"/>
  <c r="C67" i="13"/>
  <c r="H67" i="13"/>
  <c r="M67" i="13"/>
  <c r="O67" i="13"/>
  <c r="P67" i="13"/>
  <c r="H131" i="14"/>
  <c r="C81" i="13"/>
  <c r="G81" i="13"/>
  <c r="P128" i="2"/>
  <c r="P127" i="2"/>
  <c r="P129" i="2"/>
  <c r="P130" i="2"/>
  <c r="P131" i="2"/>
  <c r="T128" i="12"/>
  <c r="E30" i="10"/>
  <c r="T128" i="2"/>
  <c r="V128" i="2"/>
  <c r="T127" i="12"/>
  <c r="T127" i="2"/>
  <c r="V127" i="2"/>
  <c r="T132" i="12"/>
  <c r="E34" i="10"/>
  <c r="T132" i="2"/>
  <c r="E34" i="1"/>
  <c r="T133" i="12"/>
  <c r="E35" i="10"/>
  <c r="T133" i="2"/>
  <c r="E35" i="1"/>
  <c r="T129" i="12"/>
  <c r="E49" i="10"/>
  <c r="T129" i="2"/>
  <c r="T191" i="2"/>
  <c r="E49" i="1"/>
  <c r="V129" i="2"/>
  <c r="T130" i="12"/>
  <c r="E67" i="10"/>
  <c r="T130" i="2"/>
  <c r="V130" i="2"/>
  <c r="T131" i="12"/>
  <c r="E81" i="10"/>
  <c r="T131" i="2"/>
  <c r="V131" i="2"/>
  <c r="T128" i="14"/>
  <c r="E30" i="13"/>
  <c r="T127" i="14"/>
  <c r="E31" i="13"/>
  <c r="T132" i="14"/>
  <c r="E34" i="13"/>
  <c r="T133" i="14"/>
  <c r="E35" i="13"/>
  <c r="T129" i="14"/>
  <c r="E49" i="13"/>
  <c r="T130" i="14"/>
  <c r="E67" i="13"/>
  <c r="T131" i="14"/>
  <c r="E81" i="13"/>
  <c r="Z128" i="12"/>
  <c r="F30" i="10"/>
  <c r="Z128" i="2"/>
  <c r="Z190" i="2"/>
  <c r="F30" i="1"/>
  <c r="AB128" i="2"/>
  <c r="Z127" i="12"/>
  <c r="F31" i="10"/>
  <c r="Z127" i="2"/>
  <c r="AB127" i="2"/>
  <c r="Z189" i="2"/>
  <c r="F31" i="1"/>
  <c r="Z132" i="12"/>
  <c r="F34" i="10"/>
  <c r="Z132" i="2"/>
  <c r="F34" i="1"/>
  <c r="F34" i="11"/>
  <c r="Z133" i="12"/>
  <c r="F35" i="10"/>
  <c r="Z133" i="2"/>
  <c r="F35" i="1"/>
  <c r="F35" i="11"/>
  <c r="Z129" i="12"/>
  <c r="F49" i="10"/>
  <c r="Z129" i="2"/>
  <c r="Z191" i="2"/>
  <c r="F49" i="1"/>
  <c r="AB129" i="2"/>
  <c r="Z130" i="12"/>
  <c r="F67" i="10"/>
  <c r="Z130" i="2"/>
  <c r="AB130" i="2"/>
  <c r="Z192" i="2"/>
  <c r="F67" i="1"/>
  <c r="Z131" i="12"/>
  <c r="F81" i="10"/>
  <c r="Z131" i="2"/>
  <c r="AB131" i="2"/>
  <c r="Z128" i="14"/>
  <c r="F30" i="13"/>
  <c r="Z127" i="14"/>
  <c r="F31" i="13"/>
  <c r="Z132" i="14"/>
  <c r="F34" i="13"/>
  <c r="Z133" i="14"/>
  <c r="F35" i="13"/>
  <c r="Z129" i="14"/>
  <c r="F49" i="13"/>
  <c r="Z130" i="14"/>
  <c r="F67" i="13"/>
  <c r="Z131" i="14"/>
  <c r="F81" i="13"/>
  <c r="B116" i="12"/>
  <c r="B4" i="10"/>
  <c r="B129" i="10"/>
  <c r="B4" i="1"/>
  <c r="B131" i="1"/>
  <c r="D116" i="2"/>
  <c r="B116" i="14"/>
  <c r="B4" i="13"/>
  <c r="B129" i="13"/>
  <c r="H116" i="12"/>
  <c r="C4" i="10"/>
  <c r="H116" i="2"/>
  <c r="H178" i="2"/>
  <c r="C4" i="1"/>
  <c r="G4" i="1"/>
  <c r="G131" i="1"/>
  <c r="J116" i="2"/>
  <c r="H116" i="14"/>
  <c r="C4" i="13"/>
  <c r="P116" i="2"/>
  <c r="T116" i="12"/>
  <c r="E4" i="10"/>
  <c r="T116" i="2"/>
  <c r="V116" i="2"/>
  <c r="T116" i="14"/>
  <c r="Z116" i="12"/>
  <c r="F4" i="10"/>
  <c r="Z116" i="2"/>
  <c r="AB116" i="2"/>
  <c r="Z178" i="2"/>
  <c r="F4" i="1"/>
  <c r="Z116" i="14"/>
  <c r="F4" i="13"/>
  <c r="H163" i="14"/>
  <c r="C56" i="13"/>
  <c r="H56" i="13"/>
  <c r="B163" i="14"/>
  <c r="B56" i="13"/>
  <c r="N163" i="14"/>
  <c r="D56" i="13"/>
  <c r="T163" i="14"/>
  <c r="E56" i="13"/>
  <c r="Z163" i="14"/>
  <c r="F56" i="13"/>
  <c r="H246" i="14"/>
  <c r="C66" i="13"/>
  <c r="B246" i="14"/>
  <c r="B66" i="13"/>
  <c r="N246" i="14"/>
  <c r="D66" i="13"/>
  <c r="T246" i="14"/>
  <c r="E66" i="13"/>
  <c r="Z246" i="14"/>
  <c r="F66" i="13"/>
  <c r="H161" i="14"/>
  <c r="C54" i="13"/>
  <c r="G54" i="13"/>
  <c r="B161" i="14"/>
  <c r="B54" i="13"/>
  <c r="N161" i="14"/>
  <c r="D54" i="13"/>
  <c r="T161" i="14"/>
  <c r="E54" i="13"/>
  <c r="Z161" i="14"/>
  <c r="F54" i="13"/>
  <c r="H210" i="14"/>
  <c r="C13" i="13"/>
  <c r="B210" i="14"/>
  <c r="B13" i="13"/>
  <c r="N210" i="14"/>
  <c r="D13" i="13"/>
  <c r="T210" i="14"/>
  <c r="E13" i="13"/>
  <c r="Z210" i="14"/>
  <c r="F13" i="13"/>
  <c r="H148" i="14"/>
  <c r="C11" i="13"/>
  <c r="G11" i="13"/>
  <c r="B148" i="14"/>
  <c r="B11" i="13"/>
  <c r="N148" i="14"/>
  <c r="D11" i="13"/>
  <c r="T148" i="14"/>
  <c r="E11" i="13"/>
  <c r="Z148" i="14"/>
  <c r="F11" i="13"/>
  <c r="B223" i="2"/>
  <c r="B55" i="1"/>
  <c r="H223" i="2"/>
  <c r="C55" i="1"/>
  <c r="N223" i="2"/>
  <c r="D55" i="1"/>
  <c r="T223" i="2"/>
  <c r="E55" i="1"/>
  <c r="Z223" i="2"/>
  <c r="F55" i="1"/>
  <c r="B214" i="2"/>
  <c r="B53" i="1"/>
  <c r="H214" i="2"/>
  <c r="C53" i="1"/>
  <c r="N214" i="2"/>
  <c r="D53" i="1"/>
  <c r="T214" i="2"/>
  <c r="E53" i="1"/>
  <c r="Z214" i="2"/>
  <c r="F53" i="1"/>
  <c r="B280" i="2"/>
  <c r="B65" i="1"/>
  <c r="H280" i="2"/>
  <c r="C65" i="1"/>
  <c r="N280" i="2"/>
  <c r="D65" i="1"/>
  <c r="T280" i="2"/>
  <c r="E65" i="1"/>
  <c r="Z280" i="2"/>
  <c r="F65" i="1"/>
  <c r="H151" i="14"/>
  <c r="C52" i="13"/>
  <c r="H52" i="13"/>
  <c r="B151" i="14"/>
  <c r="B52" i="13"/>
  <c r="N151" i="14"/>
  <c r="D52" i="13"/>
  <c r="T151" i="14"/>
  <c r="E52" i="13"/>
  <c r="Z151" i="14"/>
  <c r="F52" i="13"/>
  <c r="B224" i="2"/>
  <c r="B56" i="1"/>
  <c r="H224" i="2"/>
  <c r="C56" i="1"/>
  <c r="N224" i="2"/>
  <c r="D56" i="1"/>
  <c r="T224" i="2"/>
  <c r="E56" i="1"/>
  <c r="Z224" i="2"/>
  <c r="F56" i="1"/>
  <c r="B230" i="2"/>
  <c r="B58" i="1"/>
  <c r="H230" i="2"/>
  <c r="C58" i="1"/>
  <c r="N230" i="2"/>
  <c r="D58" i="1"/>
  <c r="T230" i="2"/>
  <c r="E58" i="1"/>
  <c r="E58" i="11"/>
  <c r="Z230" i="2"/>
  <c r="F58" i="1"/>
  <c r="B293" i="2"/>
  <c r="B117" i="1"/>
  <c r="H293" i="2"/>
  <c r="C117" i="1"/>
  <c r="N293" i="2"/>
  <c r="D117" i="1"/>
  <c r="T293" i="2"/>
  <c r="E117" i="1"/>
  <c r="Z293" i="2"/>
  <c r="F117" i="1"/>
  <c r="F117" i="11"/>
  <c r="B278" i="2"/>
  <c r="B114" i="1"/>
  <c r="H278" i="2"/>
  <c r="C114" i="1"/>
  <c r="N278" i="2"/>
  <c r="D114" i="1"/>
  <c r="T278" i="2"/>
  <c r="E114" i="1"/>
  <c r="Z278" i="2"/>
  <c r="F114" i="1"/>
  <c r="B207" i="2"/>
  <c r="B87" i="1"/>
  <c r="B87" i="11"/>
  <c r="H207" i="2"/>
  <c r="C87" i="1"/>
  <c r="N207" i="2"/>
  <c r="D87" i="1"/>
  <c r="T207" i="2"/>
  <c r="E87" i="1"/>
  <c r="Z207" i="2"/>
  <c r="F87" i="1"/>
  <c r="B303" i="2"/>
  <c r="B122" i="1"/>
  <c r="H303" i="2"/>
  <c r="C122" i="1"/>
  <c r="N303" i="2"/>
  <c r="D122" i="1"/>
  <c r="D122" i="11"/>
  <c r="T303" i="2"/>
  <c r="E122" i="1"/>
  <c r="Z303" i="2"/>
  <c r="F122" i="1"/>
  <c r="B254" i="2"/>
  <c r="B105" i="1"/>
  <c r="H254" i="2"/>
  <c r="C105" i="1"/>
  <c r="N254" i="2"/>
  <c r="D105" i="1"/>
  <c r="T254" i="2"/>
  <c r="E105" i="1"/>
  <c r="Z254" i="2"/>
  <c r="F105" i="1"/>
  <c r="B221" i="2"/>
  <c r="B93" i="1"/>
  <c r="H221" i="2"/>
  <c r="C93" i="1"/>
  <c r="N221" i="2"/>
  <c r="D93" i="1"/>
  <c r="T221" i="2"/>
  <c r="E93" i="1"/>
  <c r="Z221" i="2"/>
  <c r="F93" i="1"/>
  <c r="B238" i="2"/>
  <c r="B97" i="1"/>
  <c r="H238" i="2"/>
  <c r="C97" i="1"/>
  <c r="N238" i="2"/>
  <c r="D97" i="1"/>
  <c r="D97" i="11"/>
  <c r="T238" i="2"/>
  <c r="E97" i="1"/>
  <c r="Z238" i="2"/>
  <c r="F97" i="1"/>
  <c r="B253" i="2"/>
  <c r="B104" i="1"/>
  <c r="H253" i="2"/>
  <c r="C104" i="1"/>
  <c r="N253" i="2"/>
  <c r="D104" i="1"/>
  <c r="T253" i="2"/>
  <c r="E104" i="1"/>
  <c r="Z253" i="2"/>
  <c r="F104" i="1"/>
  <c r="B225" i="2"/>
  <c r="B38" i="1"/>
  <c r="H225" i="2"/>
  <c r="C38" i="1"/>
  <c r="C38" i="11"/>
  <c r="N225" i="2"/>
  <c r="D38" i="1"/>
  <c r="T225" i="2"/>
  <c r="E38" i="1"/>
  <c r="Z225" i="2"/>
  <c r="F38" i="1"/>
  <c r="B284" i="2"/>
  <c r="B46" i="1"/>
  <c r="H284" i="2"/>
  <c r="C46" i="1"/>
  <c r="N284" i="2"/>
  <c r="D46" i="1"/>
  <c r="T284" i="2"/>
  <c r="E46" i="1"/>
  <c r="Z284" i="2"/>
  <c r="F46" i="1"/>
  <c r="H244" i="14"/>
  <c r="C5" i="13"/>
  <c r="H5" i="13"/>
  <c r="J5" i="13"/>
  <c r="K5" i="13"/>
  <c r="B244" i="14"/>
  <c r="B5" i="13"/>
  <c r="N244" i="14"/>
  <c r="D5" i="13"/>
  <c r="T244" i="14"/>
  <c r="E5" i="13"/>
  <c r="Z244" i="14"/>
  <c r="F5" i="13"/>
  <c r="H158" i="14"/>
  <c r="C6" i="13"/>
  <c r="G6" i="13"/>
  <c r="B158" i="14"/>
  <c r="B6" i="13"/>
  <c r="N158" i="14"/>
  <c r="D6" i="13"/>
  <c r="T158" i="14"/>
  <c r="E6" i="13"/>
  <c r="Z158" i="14"/>
  <c r="F6" i="13"/>
  <c r="H202" i="14"/>
  <c r="C7" i="13"/>
  <c r="B202" i="14"/>
  <c r="B7" i="13"/>
  <c r="N202" i="14"/>
  <c r="D7" i="13"/>
  <c r="T202" i="14"/>
  <c r="E7" i="13"/>
  <c r="Z202" i="14"/>
  <c r="F7" i="13"/>
  <c r="H174" i="14"/>
  <c r="C10" i="13"/>
  <c r="B174" i="14"/>
  <c r="B10" i="13"/>
  <c r="N174" i="14"/>
  <c r="D10" i="13"/>
  <c r="T174" i="14"/>
  <c r="E10" i="13"/>
  <c r="Z174" i="14"/>
  <c r="F10" i="13"/>
  <c r="H197" i="14"/>
  <c r="C12" i="13"/>
  <c r="G12" i="13"/>
  <c r="B197" i="14"/>
  <c r="B12" i="13"/>
  <c r="N197" i="14"/>
  <c r="D12" i="13"/>
  <c r="T197" i="14"/>
  <c r="E12" i="13"/>
  <c r="Z197" i="14"/>
  <c r="F12" i="13"/>
  <c r="H176" i="14"/>
  <c r="C15" i="13"/>
  <c r="G15" i="13"/>
  <c r="B176" i="14"/>
  <c r="B15" i="13"/>
  <c r="H15" i="13"/>
  <c r="M15" i="13"/>
  <c r="O15" i="13"/>
  <c r="P15" i="13"/>
  <c r="N176" i="14"/>
  <c r="D15" i="13"/>
  <c r="T176" i="14"/>
  <c r="E15" i="13"/>
  <c r="Z176" i="14"/>
  <c r="F15" i="13"/>
  <c r="H143" i="14"/>
  <c r="C16" i="13"/>
  <c r="B143" i="14"/>
  <c r="B16" i="13"/>
  <c r="N143" i="14"/>
  <c r="D16" i="13"/>
  <c r="T143" i="14"/>
  <c r="E16" i="13"/>
  <c r="Z143" i="14"/>
  <c r="F16" i="13"/>
  <c r="H234" i="14"/>
  <c r="C17" i="13"/>
  <c r="G17" i="13"/>
  <c r="B234" i="14"/>
  <c r="B17" i="13"/>
  <c r="N234" i="14"/>
  <c r="D17" i="13"/>
  <c r="T234" i="14"/>
  <c r="E17" i="13"/>
  <c r="Z234" i="14"/>
  <c r="F17" i="13"/>
  <c r="H189" i="14"/>
  <c r="C19" i="13"/>
  <c r="H19" i="13"/>
  <c r="M19" i="13"/>
  <c r="O19" i="13"/>
  <c r="P19" i="13"/>
  <c r="B189" i="14"/>
  <c r="B19" i="13"/>
  <c r="N189" i="14"/>
  <c r="D19" i="13"/>
  <c r="T189" i="14"/>
  <c r="E19" i="13"/>
  <c r="Z189" i="14"/>
  <c r="F19" i="13"/>
  <c r="H222" i="14"/>
  <c r="C20" i="13"/>
  <c r="H20" i="13"/>
  <c r="B222" i="14"/>
  <c r="B20" i="13"/>
  <c r="N222" i="14"/>
  <c r="D20" i="13"/>
  <c r="T222" i="14"/>
  <c r="E20" i="13"/>
  <c r="Z222" i="14"/>
  <c r="F20" i="13"/>
  <c r="H230" i="14"/>
  <c r="C21" i="13"/>
  <c r="B230" i="14"/>
  <c r="B21" i="13"/>
  <c r="N230" i="14"/>
  <c r="D21" i="13"/>
  <c r="T230" i="14"/>
  <c r="E21" i="13"/>
  <c r="Z230" i="14"/>
  <c r="F21" i="13"/>
  <c r="H166" i="14"/>
  <c r="C23" i="13"/>
  <c r="H23" i="13"/>
  <c r="M23" i="13"/>
  <c r="O23" i="13"/>
  <c r="P23" i="13"/>
  <c r="B166" i="14"/>
  <c r="B23" i="13"/>
  <c r="N166" i="14"/>
  <c r="D23" i="13"/>
  <c r="T166" i="14"/>
  <c r="E23" i="13"/>
  <c r="Z166" i="14"/>
  <c r="F23" i="13"/>
  <c r="H173" i="14"/>
  <c r="C24" i="13"/>
  <c r="B173" i="14"/>
  <c r="B24" i="13"/>
  <c r="N173" i="14"/>
  <c r="D24" i="13"/>
  <c r="T173" i="14"/>
  <c r="E24" i="13"/>
  <c r="Z173" i="14"/>
  <c r="F24" i="13"/>
  <c r="H215" i="14"/>
  <c r="C25" i="13"/>
  <c r="G25" i="13"/>
  <c r="B215" i="14"/>
  <c r="B25" i="13"/>
  <c r="N215" i="14"/>
  <c r="D25" i="13"/>
  <c r="T215" i="14"/>
  <c r="E25" i="13"/>
  <c r="Z215" i="14"/>
  <c r="F25" i="13"/>
  <c r="H233" i="14"/>
  <c r="C26" i="13"/>
  <c r="H26" i="13"/>
  <c r="J26" i="13"/>
  <c r="K26" i="13"/>
  <c r="B233" i="14"/>
  <c r="B26" i="13"/>
  <c r="N233" i="14"/>
  <c r="D26" i="13"/>
  <c r="T233" i="14"/>
  <c r="E26" i="13"/>
  <c r="Z233" i="14"/>
  <c r="F26" i="13"/>
  <c r="H187" i="14"/>
  <c r="C28" i="13"/>
  <c r="G28" i="13"/>
  <c r="B187" i="14"/>
  <c r="B28" i="13"/>
  <c r="N187" i="14"/>
  <c r="D28" i="13"/>
  <c r="T187" i="14"/>
  <c r="E28" i="13"/>
  <c r="Z187" i="14"/>
  <c r="F28" i="13"/>
  <c r="H178" i="14"/>
  <c r="C29" i="13"/>
  <c r="G29" i="13"/>
  <c r="B178" i="14"/>
  <c r="B29" i="13"/>
  <c r="N178" i="14"/>
  <c r="D29" i="13"/>
  <c r="T178" i="14"/>
  <c r="E29" i="13"/>
  <c r="Z178" i="14"/>
  <c r="F29" i="13"/>
  <c r="H142" i="14"/>
  <c r="C32" i="13"/>
  <c r="B142" i="14"/>
  <c r="B32" i="13"/>
  <c r="N142" i="14"/>
  <c r="D32" i="13"/>
  <c r="T142" i="14"/>
  <c r="E32" i="13"/>
  <c r="Z142" i="14"/>
  <c r="F32" i="13"/>
  <c r="H211" i="14"/>
  <c r="C33" i="13"/>
  <c r="B211" i="14"/>
  <c r="B33" i="13"/>
  <c r="N211" i="14"/>
  <c r="D33" i="13"/>
  <c r="T211" i="14"/>
  <c r="E33" i="13"/>
  <c r="Z211" i="14"/>
  <c r="F33" i="13"/>
  <c r="H155" i="14"/>
  <c r="C37" i="13"/>
  <c r="H37" i="13"/>
  <c r="M37" i="13"/>
  <c r="O37" i="13"/>
  <c r="P37" i="13"/>
  <c r="B155" i="14"/>
  <c r="B37" i="13"/>
  <c r="N155" i="14"/>
  <c r="D37" i="13"/>
  <c r="T155" i="14"/>
  <c r="E37" i="13"/>
  <c r="Z155" i="14"/>
  <c r="F37" i="13"/>
  <c r="H164" i="14"/>
  <c r="C38" i="13"/>
  <c r="B164" i="14"/>
  <c r="B38" i="13"/>
  <c r="N164" i="14"/>
  <c r="D38" i="13"/>
  <c r="T164" i="14"/>
  <c r="E38" i="13"/>
  <c r="Z164" i="14"/>
  <c r="F38" i="13"/>
  <c r="H165" i="14"/>
  <c r="C39" i="13"/>
  <c r="G39" i="13"/>
  <c r="B165" i="14"/>
  <c r="B39" i="13"/>
  <c r="N165" i="14"/>
  <c r="D39" i="13"/>
  <c r="T165" i="14"/>
  <c r="E39" i="13"/>
  <c r="Z165" i="14"/>
  <c r="F39" i="13"/>
  <c r="H171" i="14"/>
  <c r="C40" i="13"/>
  <c r="B171" i="14"/>
  <c r="B40" i="13"/>
  <c r="N171" i="14"/>
  <c r="D40" i="13"/>
  <c r="T171" i="14"/>
  <c r="E40" i="13"/>
  <c r="Z171" i="14"/>
  <c r="F40" i="13"/>
  <c r="H184" i="14"/>
  <c r="C41" i="13"/>
  <c r="H41" i="13"/>
  <c r="M41" i="13"/>
  <c r="O41" i="13"/>
  <c r="P41" i="13"/>
  <c r="B184" i="14"/>
  <c r="B41" i="13"/>
  <c r="N184" i="14"/>
  <c r="D41" i="13"/>
  <c r="T184" i="14"/>
  <c r="E41" i="13"/>
  <c r="Z184" i="14"/>
  <c r="F41" i="13"/>
  <c r="H195" i="14"/>
  <c r="C42" i="13"/>
  <c r="B195" i="14"/>
  <c r="B42" i="13"/>
  <c r="N195" i="14"/>
  <c r="D42" i="13"/>
  <c r="T195" i="14"/>
  <c r="E42" i="13"/>
  <c r="Z195" i="14"/>
  <c r="F42" i="13"/>
  <c r="H196" i="14"/>
  <c r="C43" i="13"/>
  <c r="G43" i="13"/>
  <c r="B196" i="14"/>
  <c r="B43" i="13"/>
  <c r="N196" i="14"/>
  <c r="D43" i="13"/>
  <c r="T196" i="14"/>
  <c r="E43" i="13"/>
  <c r="Z196" i="14"/>
  <c r="F43" i="13"/>
  <c r="H200" i="14"/>
  <c r="C44" i="13"/>
  <c r="B200" i="14"/>
  <c r="B44" i="13"/>
  <c r="N200" i="14"/>
  <c r="D44" i="13"/>
  <c r="T200" i="14"/>
  <c r="E44" i="13"/>
  <c r="Z200" i="14"/>
  <c r="F44" i="13"/>
  <c r="H221" i="14"/>
  <c r="C45" i="13"/>
  <c r="G45" i="13"/>
  <c r="B221" i="14"/>
  <c r="B45" i="13"/>
  <c r="N221" i="14"/>
  <c r="D45" i="13"/>
  <c r="T221" i="14"/>
  <c r="E45" i="13"/>
  <c r="Z221" i="14"/>
  <c r="F45" i="13"/>
  <c r="H223" i="14"/>
  <c r="C46" i="13"/>
  <c r="B223" i="14"/>
  <c r="B46" i="13"/>
  <c r="N223" i="14"/>
  <c r="D46" i="13"/>
  <c r="T223" i="14"/>
  <c r="E46" i="13"/>
  <c r="Z223" i="14"/>
  <c r="F46" i="13"/>
  <c r="H227" i="14"/>
  <c r="C47" i="13"/>
  <c r="G47" i="13"/>
  <c r="B227" i="14"/>
  <c r="B47" i="13"/>
  <c r="N227" i="14"/>
  <c r="D47" i="13"/>
  <c r="T227" i="14"/>
  <c r="E47" i="13"/>
  <c r="Z227" i="14"/>
  <c r="F47" i="13"/>
  <c r="H228" i="14"/>
  <c r="C48" i="13"/>
  <c r="H48" i="13"/>
  <c r="M48" i="13"/>
  <c r="O48" i="13"/>
  <c r="P48" i="13"/>
  <c r="B228" i="14"/>
  <c r="B48" i="13"/>
  <c r="N228" i="14"/>
  <c r="D48" i="13"/>
  <c r="T228" i="14"/>
  <c r="E48" i="13"/>
  <c r="Z228" i="14"/>
  <c r="F48" i="13"/>
  <c r="H140" i="14"/>
  <c r="C50" i="13"/>
  <c r="G50" i="13"/>
  <c r="B140" i="14"/>
  <c r="B50" i="13"/>
  <c r="N140" i="14"/>
  <c r="D50" i="13"/>
  <c r="T140" i="14"/>
  <c r="E50" i="13"/>
  <c r="Z140" i="14"/>
  <c r="F50" i="13"/>
  <c r="H149" i="14"/>
  <c r="C51" i="13"/>
  <c r="B149" i="14"/>
  <c r="B51" i="13"/>
  <c r="N149" i="14"/>
  <c r="D51" i="13"/>
  <c r="T149" i="14"/>
  <c r="E51" i="13"/>
  <c r="Z149" i="14"/>
  <c r="F51" i="13"/>
  <c r="H153" i="14"/>
  <c r="C53" i="13"/>
  <c r="B153" i="14"/>
  <c r="B53" i="13"/>
  <c r="N153" i="14"/>
  <c r="D53" i="13"/>
  <c r="T153" i="14"/>
  <c r="E53" i="13"/>
  <c r="Z153" i="14"/>
  <c r="F53" i="13"/>
  <c r="H162" i="14"/>
  <c r="C55" i="13"/>
  <c r="H55" i="13"/>
  <c r="M55" i="13"/>
  <c r="O55" i="13"/>
  <c r="P55" i="13"/>
  <c r="B162" i="14"/>
  <c r="B55" i="13"/>
  <c r="N162" i="14"/>
  <c r="D55" i="13"/>
  <c r="T162" i="14"/>
  <c r="E55" i="13"/>
  <c r="Z162" i="14"/>
  <c r="F55" i="13"/>
  <c r="H168" i="14"/>
  <c r="C57" i="13"/>
  <c r="H57" i="13"/>
  <c r="M57" i="13"/>
  <c r="O57" i="13"/>
  <c r="P57" i="13"/>
  <c r="B168" i="14"/>
  <c r="B57" i="13"/>
  <c r="N168" i="14"/>
  <c r="D57" i="13"/>
  <c r="T168" i="14"/>
  <c r="E57" i="13"/>
  <c r="Z168" i="14"/>
  <c r="F57" i="13"/>
  <c r="H169" i="14"/>
  <c r="C58" i="13"/>
  <c r="G58" i="13"/>
  <c r="B169" i="14"/>
  <c r="B58" i="13"/>
  <c r="N169" i="14"/>
  <c r="D58" i="13"/>
  <c r="T169" i="14"/>
  <c r="E58" i="13"/>
  <c r="Z169" i="14"/>
  <c r="F58" i="13"/>
  <c r="H170" i="14"/>
  <c r="C59" i="13"/>
  <c r="H59" i="13"/>
  <c r="B170" i="14"/>
  <c r="B59" i="13"/>
  <c r="N170" i="14"/>
  <c r="D59" i="13"/>
  <c r="T170" i="14"/>
  <c r="E59" i="13"/>
  <c r="Z170" i="14"/>
  <c r="F59" i="13"/>
  <c r="H180" i="14"/>
  <c r="C60" i="13"/>
  <c r="G60" i="13"/>
  <c r="B180" i="14"/>
  <c r="B60" i="13"/>
  <c r="N180" i="14"/>
  <c r="D60" i="13"/>
  <c r="T180" i="14"/>
  <c r="E60" i="13"/>
  <c r="Z180" i="14"/>
  <c r="F60" i="13"/>
  <c r="H182" i="14"/>
  <c r="C61" i="13"/>
  <c r="G61" i="13"/>
  <c r="B182" i="14"/>
  <c r="B61" i="13"/>
  <c r="N182" i="14"/>
  <c r="D61" i="13"/>
  <c r="T182" i="14"/>
  <c r="E61" i="13"/>
  <c r="Z182" i="14"/>
  <c r="F61" i="13"/>
  <c r="H212" i="14"/>
  <c r="C62" i="13"/>
  <c r="G62" i="13"/>
  <c r="B212" i="14"/>
  <c r="B62" i="13"/>
  <c r="N212" i="14"/>
  <c r="D62" i="13"/>
  <c r="T212" i="14"/>
  <c r="E62" i="13"/>
  <c r="Z212" i="14"/>
  <c r="F62" i="13"/>
  <c r="H216" i="14"/>
  <c r="C63" i="13"/>
  <c r="G63" i="13"/>
  <c r="B216" i="14"/>
  <c r="B63" i="13"/>
  <c r="N216" i="14"/>
  <c r="D63" i="13"/>
  <c r="T216" i="14"/>
  <c r="E63" i="13"/>
  <c r="Z216" i="14"/>
  <c r="F63" i="13"/>
  <c r="H218" i="14"/>
  <c r="C64" i="13"/>
  <c r="B218" i="14"/>
  <c r="B64" i="13"/>
  <c r="N218" i="14"/>
  <c r="D64" i="13"/>
  <c r="T218" i="14"/>
  <c r="E64" i="13"/>
  <c r="Z218" i="14"/>
  <c r="F64" i="13"/>
  <c r="H219" i="14"/>
  <c r="C65" i="13"/>
  <c r="H65" i="13"/>
  <c r="M65" i="13"/>
  <c r="O65" i="13"/>
  <c r="P65" i="13"/>
  <c r="B219" i="14"/>
  <c r="B65" i="13"/>
  <c r="N219" i="14"/>
  <c r="D65" i="13"/>
  <c r="T219" i="14"/>
  <c r="E65" i="13"/>
  <c r="Z219" i="14"/>
  <c r="F65" i="13"/>
  <c r="H154" i="14"/>
  <c r="C68" i="13"/>
  <c r="H68" i="13"/>
  <c r="M68" i="13"/>
  <c r="O68" i="13"/>
  <c r="P68" i="13"/>
  <c r="B154" i="14"/>
  <c r="B68" i="13"/>
  <c r="N154" i="14"/>
  <c r="D68" i="13"/>
  <c r="T154" i="14"/>
  <c r="E68" i="13"/>
  <c r="Z154" i="14"/>
  <c r="F68" i="13"/>
  <c r="H157" i="14"/>
  <c r="C69" i="13"/>
  <c r="H69" i="13"/>
  <c r="M69" i="13"/>
  <c r="O69" i="13"/>
  <c r="P69" i="13"/>
  <c r="B157" i="14"/>
  <c r="B69" i="13"/>
  <c r="N157" i="14"/>
  <c r="D69" i="13"/>
  <c r="T157" i="14"/>
  <c r="E69" i="13"/>
  <c r="Z157" i="14"/>
  <c r="F69" i="13"/>
  <c r="H183" i="14"/>
  <c r="C70" i="13"/>
  <c r="G70" i="13"/>
  <c r="B183" i="14"/>
  <c r="B70" i="13"/>
  <c r="N183" i="14"/>
  <c r="D70" i="13"/>
  <c r="T183" i="14"/>
  <c r="E70" i="13"/>
  <c r="Z183" i="14"/>
  <c r="F70" i="13"/>
  <c r="H194" i="14"/>
  <c r="C71" i="13"/>
  <c r="H71" i="13"/>
  <c r="M71" i="13"/>
  <c r="O71" i="13"/>
  <c r="P71" i="13"/>
  <c r="B194" i="14"/>
  <c r="B71" i="13"/>
  <c r="N194" i="14"/>
  <c r="D71" i="13"/>
  <c r="T194" i="14"/>
  <c r="E71" i="13"/>
  <c r="Z194" i="14"/>
  <c r="F71" i="13"/>
  <c r="H198" i="14"/>
  <c r="C72" i="13"/>
  <c r="B198" i="14"/>
  <c r="B72" i="13"/>
  <c r="N198" i="14"/>
  <c r="D72" i="13"/>
  <c r="T198" i="14"/>
  <c r="E72" i="13"/>
  <c r="Z198" i="14"/>
  <c r="F72" i="13"/>
  <c r="H199" i="14"/>
  <c r="C73" i="13"/>
  <c r="G73" i="13"/>
  <c r="B199" i="14"/>
  <c r="B73" i="13"/>
  <c r="N199" i="14"/>
  <c r="D73" i="13"/>
  <c r="T199" i="14"/>
  <c r="E73" i="13"/>
  <c r="Z199" i="14"/>
  <c r="F73" i="13"/>
  <c r="H205" i="14"/>
  <c r="C74" i="13"/>
  <c r="H74" i="13"/>
  <c r="B205" i="14"/>
  <c r="B74" i="13"/>
  <c r="N205" i="14"/>
  <c r="D74" i="13"/>
  <c r="T205" i="14"/>
  <c r="E74" i="13"/>
  <c r="Z205" i="14"/>
  <c r="F74" i="13"/>
  <c r="H220" i="14"/>
  <c r="C75" i="13"/>
  <c r="G75" i="13"/>
  <c r="B220" i="14"/>
  <c r="B75" i="13"/>
  <c r="N220" i="14"/>
  <c r="D75" i="13"/>
  <c r="T220" i="14"/>
  <c r="E75" i="13"/>
  <c r="Z220" i="14"/>
  <c r="F75" i="13"/>
  <c r="H226" i="14"/>
  <c r="C76" i="13"/>
  <c r="H76" i="13"/>
  <c r="B226" i="14"/>
  <c r="B76" i="13"/>
  <c r="N226" i="14"/>
  <c r="D76" i="13"/>
  <c r="T226" i="14"/>
  <c r="E76" i="13"/>
  <c r="Z226" i="14"/>
  <c r="F76" i="13"/>
  <c r="H231" i="14"/>
  <c r="C77" i="13"/>
  <c r="G77" i="13"/>
  <c r="B231" i="14"/>
  <c r="B77" i="13"/>
  <c r="N231" i="14"/>
  <c r="D77" i="13"/>
  <c r="T231" i="14"/>
  <c r="E77" i="13"/>
  <c r="Z231" i="14"/>
  <c r="F77" i="13"/>
  <c r="H235" i="14"/>
  <c r="C78" i="13"/>
  <c r="H78" i="13"/>
  <c r="M78" i="13"/>
  <c r="O78" i="13"/>
  <c r="P78" i="13"/>
  <c r="B235" i="14"/>
  <c r="B78" i="13"/>
  <c r="N235" i="14"/>
  <c r="D78" i="13"/>
  <c r="T235" i="14"/>
  <c r="E78" i="13"/>
  <c r="Z235" i="14"/>
  <c r="F78" i="13"/>
  <c r="H237" i="14"/>
  <c r="C79" i="13"/>
  <c r="H79" i="13"/>
  <c r="M79" i="13"/>
  <c r="O79" i="13"/>
  <c r="P79" i="13"/>
  <c r="B237" i="14"/>
  <c r="B79" i="13"/>
  <c r="N237" i="14"/>
  <c r="D79" i="13"/>
  <c r="T237" i="14"/>
  <c r="E79" i="13"/>
  <c r="Z237" i="14"/>
  <c r="F79" i="13"/>
  <c r="H247" i="14"/>
  <c r="C80" i="13"/>
  <c r="G80" i="13"/>
  <c r="B247" i="14"/>
  <c r="B80" i="13"/>
  <c r="N247" i="14"/>
  <c r="D80" i="13"/>
  <c r="T247" i="14"/>
  <c r="E80" i="13"/>
  <c r="Z247" i="14"/>
  <c r="F80" i="13"/>
  <c r="H138" i="14"/>
  <c r="C82" i="13"/>
  <c r="B138" i="14"/>
  <c r="B82" i="13"/>
  <c r="N138" i="14"/>
  <c r="D82" i="13"/>
  <c r="T138" i="14"/>
  <c r="E82" i="13"/>
  <c r="Z138" i="14"/>
  <c r="F82" i="13"/>
  <c r="H139" i="14"/>
  <c r="C83" i="13"/>
  <c r="G83" i="13"/>
  <c r="B139" i="14"/>
  <c r="B83" i="13"/>
  <c r="N139" i="14"/>
  <c r="D83" i="13"/>
  <c r="T139" i="14"/>
  <c r="E83" i="13"/>
  <c r="Z139" i="14"/>
  <c r="F83" i="13"/>
  <c r="H141" i="14"/>
  <c r="C84" i="13"/>
  <c r="H84" i="13"/>
  <c r="B141" i="14"/>
  <c r="B84" i="13"/>
  <c r="N141" i="14"/>
  <c r="D84" i="13"/>
  <c r="T141" i="14"/>
  <c r="E84" i="13"/>
  <c r="Z141" i="14"/>
  <c r="F84" i="13"/>
  <c r="H144" i="14"/>
  <c r="C85" i="13"/>
  <c r="H85" i="13"/>
  <c r="M85" i="13"/>
  <c r="O85" i="13"/>
  <c r="P85" i="13"/>
  <c r="B144" i="14"/>
  <c r="B85" i="13"/>
  <c r="N144" i="14"/>
  <c r="D85" i="13"/>
  <c r="T144" i="14"/>
  <c r="E85" i="13"/>
  <c r="Z144" i="14"/>
  <c r="F85" i="13"/>
  <c r="H145" i="14"/>
  <c r="C86" i="13"/>
  <c r="H86" i="13"/>
  <c r="B145" i="14"/>
  <c r="B86" i="13"/>
  <c r="N145" i="14"/>
  <c r="D86" i="13"/>
  <c r="T145" i="14"/>
  <c r="E86" i="13"/>
  <c r="Z145" i="14"/>
  <c r="F86" i="13"/>
  <c r="H146" i="14"/>
  <c r="C87" i="13"/>
  <c r="H87" i="13"/>
  <c r="M87" i="13"/>
  <c r="O87" i="13"/>
  <c r="P87" i="13"/>
  <c r="B146" i="14"/>
  <c r="B87" i="13"/>
  <c r="N146" i="14"/>
  <c r="D87" i="13"/>
  <c r="T146" i="14"/>
  <c r="E87" i="13"/>
  <c r="Z146" i="14"/>
  <c r="F87" i="13"/>
  <c r="H147" i="14"/>
  <c r="C88" i="13"/>
  <c r="G88" i="13"/>
  <c r="B147" i="14"/>
  <c r="B88" i="13"/>
  <c r="N147" i="14"/>
  <c r="D88" i="13"/>
  <c r="T147" i="14"/>
  <c r="E88" i="13"/>
  <c r="Z147" i="14"/>
  <c r="F88" i="13"/>
  <c r="H150" i="14"/>
  <c r="C89" i="13"/>
  <c r="G89" i="13"/>
  <c r="B150" i="14"/>
  <c r="B89" i="13"/>
  <c r="N150" i="14"/>
  <c r="D89" i="13"/>
  <c r="T150" i="14"/>
  <c r="E89" i="13"/>
  <c r="Z150" i="14"/>
  <c r="F89" i="13"/>
  <c r="H152" i="14"/>
  <c r="C90" i="13"/>
  <c r="H90" i="13"/>
  <c r="M90" i="13"/>
  <c r="O90" i="13"/>
  <c r="P90" i="13"/>
  <c r="B152" i="14"/>
  <c r="B90" i="13"/>
  <c r="N152" i="14"/>
  <c r="D90" i="13"/>
  <c r="T152" i="14"/>
  <c r="E90" i="13"/>
  <c r="Z152" i="14"/>
  <c r="F90" i="13"/>
  <c r="H156" i="14"/>
  <c r="C91" i="13"/>
  <c r="B156" i="14"/>
  <c r="B91" i="13"/>
  <c r="N156" i="14"/>
  <c r="D91" i="13"/>
  <c r="T156" i="14"/>
  <c r="E91" i="13"/>
  <c r="Z156" i="14"/>
  <c r="F91" i="13"/>
  <c r="H159" i="14"/>
  <c r="C92" i="13"/>
  <c r="H92" i="13"/>
  <c r="B159" i="14"/>
  <c r="B92" i="13"/>
  <c r="N159" i="14"/>
  <c r="D92" i="13"/>
  <c r="T159" i="14"/>
  <c r="E92" i="13"/>
  <c r="Z159" i="14"/>
  <c r="F92" i="13"/>
  <c r="H160" i="14"/>
  <c r="C93" i="13"/>
  <c r="B160" i="14"/>
  <c r="B93" i="13"/>
  <c r="N160" i="14"/>
  <c r="D93" i="13"/>
  <c r="T160" i="14"/>
  <c r="E93" i="13"/>
  <c r="Z160" i="14"/>
  <c r="F93" i="13"/>
  <c r="H167" i="14"/>
  <c r="C94" i="13"/>
  <c r="G94" i="13"/>
  <c r="B167" i="14"/>
  <c r="B94" i="13"/>
  <c r="N167" i="14"/>
  <c r="D94" i="13"/>
  <c r="T167" i="14"/>
  <c r="E94" i="13"/>
  <c r="Z167" i="14"/>
  <c r="F94" i="13"/>
  <c r="H172" i="14"/>
  <c r="C95" i="13"/>
  <c r="G95" i="13"/>
  <c r="B172" i="14"/>
  <c r="B95" i="13"/>
  <c r="N172" i="14"/>
  <c r="D95" i="13"/>
  <c r="T172" i="14"/>
  <c r="E95" i="13"/>
  <c r="Z172" i="14"/>
  <c r="F95" i="13"/>
  <c r="H175" i="14"/>
  <c r="C96" i="13"/>
  <c r="H96" i="13"/>
  <c r="B175" i="14"/>
  <c r="B96" i="13"/>
  <c r="N175" i="14"/>
  <c r="D96" i="13"/>
  <c r="T175" i="14"/>
  <c r="E96" i="13"/>
  <c r="Z175" i="14"/>
  <c r="F96" i="13"/>
  <c r="H177" i="14"/>
  <c r="C97" i="13"/>
  <c r="H97" i="13"/>
  <c r="M97" i="13"/>
  <c r="O97" i="13"/>
  <c r="P97" i="13"/>
  <c r="B177" i="14"/>
  <c r="B97" i="13"/>
  <c r="N177" i="14"/>
  <c r="D97" i="13"/>
  <c r="T177" i="14"/>
  <c r="E97" i="13"/>
  <c r="Z177" i="14"/>
  <c r="F97" i="13"/>
  <c r="H179" i="14"/>
  <c r="C98" i="13"/>
  <c r="B179" i="14"/>
  <c r="B98" i="13"/>
  <c r="N179" i="14"/>
  <c r="D98" i="13"/>
  <c r="T179" i="14"/>
  <c r="E98" i="13"/>
  <c r="Z179" i="14"/>
  <c r="F98" i="13"/>
  <c r="H181" i="14"/>
  <c r="C99" i="13"/>
  <c r="G99" i="13"/>
  <c r="B181" i="14"/>
  <c r="B99" i="13"/>
  <c r="N181" i="14"/>
  <c r="D99" i="13"/>
  <c r="T181" i="14"/>
  <c r="E99" i="13"/>
  <c r="Z181" i="14"/>
  <c r="F99" i="13"/>
  <c r="H185" i="14"/>
  <c r="C100" i="13"/>
  <c r="B185" i="14"/>
  <c r="B100" i="13"/>
  <c r="N185" i="14"/>
  <c r="D100" i="13"/>
  <c r="T185" i="14"/>
  <c r="E100" i="13"/>
  <c r="Z185" i="14"/>
  <c r="F100" i="13"/>
  <c r="H186" i="14"/>
  <c r="C101" i="13"/>
  <c r="G101" i="13"/>
  <c r="B186" i="14"/>
  <c r="B101" i="13"/>
  <c r="N186" i="14"/>
  <c r="D101" i="13"/>
  <c r="T186" i="14"/>
  <c r="E101" i="13"/>
  <c r="Z186" i="14"/>
  <c r="F101" i="13"/>
  <c r="H188" i="14"/>
  <c r="C102" i="13"/>
  <c r="B188" i="14"/>
  <c r="B102" i="13"/>
  <c r="N188" i="14"/>
  <c r="D102" i="13"/>
  <c r="T188" i="14"/>
  <c r="E102" i="13"/>
  <c r="Z188" i="14"/>
  <c r="F102" i="13"/>
  <c r="H191" i="14"/>
  <c r="C103" i="13"/>
  <c r="H103" i="13"/>
  <c r="M103" i="13"/>
  <c r="O103" i="13"/>
  <c r="P103" i="13"/>
  <c r="B191" i="14"/>
  <c r="B103" i="13"/>
  <c r="N191" i="14"/>
  <c r="D103" i="13"/>
  <c r="T191" i="14"/>
  <c r="E103" i="13"/>
  <c r="Z191" i="14"/>
  <c r="F103" i="13"/>
  <c r="H192" i="14"/>
  <c r="C104" i="13"/>
  <c r="G104" i="13"/>
  <c r="B192" i="14"/>
  <c r="B104" i="13"/>
  <c r="N192" i="14"/>
  <c r="D104" i="13"/>
  <c r="T192" i="14"/>
  <c r="E104" i="13"/>
  <c r="Z192" i="14"/>
  <c r="F104" i="13"/>
  <c r="H193" i="14"/>
  <c r="C105" i="13"/>
  <c r="H105" i="13"/>
  <c r="M105" i="13"/>
  <c r="O105" i="13"/>
  <c r="P105" i="13"/>
  <c r="B193" i="14"/>
  <c r="B105" i="13"/>
  <c r="N193" i="14"/>
  <c r="D105" i="13"/>
  <c r="T193" i="14"/>
  <c r="E105" i="13"/>
  <c r="Z193" i="14"/>
  <c r="F105" i="13"/>
  <c r="H201" i="14"/>
  <c r="C106" i="13"/>
  <c r="G106" i="13"/>
  <c r="B201" i="14"/>
  <c r="B106" i="13"/>
  <c r="N201" i="14"/>
  <c r="D106" i="13"/>
  <c r="T201" i="14"/>
  <c r="E106" i="13"/>
  <c r="Z201" i="14"/>
  <c r="F106" i="13"/>
  <c r="H203" i="14"/>
  <c r="C107" i="13"/>
  <c r="G107" i="13"/>
  <c r="B203" i="14"/>
  <c r="B107" i="13"/>
  <c r="N203" i="14"/>
  <c r="D107" i="13"/>
  <c r="T203" i="14"/>
  <c r="E107" i="13"/>
  <c r="Z203" i="14"/>
  <c r="F107" i="13"/>
  <c r="H204" i="14"/>
  <c r="C108" i="13"/>
  <c r="G108" i="13"/>
  <c r="B204" i="14"/>
  <c r="B108" i="13"/>
  <c r="N204" i="14"/>
  <c r="D108" i="13"/>
  <c r="T204" i="14"/>
  <c r="E108" i="13"/>
  <c r="Z204" i="14"/>
  <c r="F108" i="13"/>
  <c r="H207" i="14"/>
  <c r="C109" i="13"/>
  <c r="H109" i="13"/>
  <c r="M109" i="13"/>
  <c r="O109" i="13"/>
  <c r="P109" i="13"/>
  <c r="B207" i="14"/>
  <c r="B109" i="13"/>
  <c r="N207" i="14"/>
  <c r="D109" i="13"/>
  <c r="T207" i="14"/>
  <c r="E109" i="13"/>
  <c r="Z207" i="14"/>
  <c r="F109" i="13"/>
  <c r="H208" i="14"/>
  <c r="C110" i="13"/>
  <c r="B208" i="14"/>
  <c r="B110" i="13"/>
  <c r="N208" i="14"/>
  <c r="D110" i="13"/>
  <c r="T208" i="14"/>
  <c r="E110" i="13"/>
  <c r="Z208" i="14"/>
  <c r="F110" i="13"/>
  <c r="H209" i="14"/>
  <c r="C111" i="13"/>
  <c r="H111" i="13"/>
  <c r="M111" i="13"/>
  <c r="O111" i="13"/>
  <c r="P111" i="13"/>
  <c r="B209" i="14"/>
  <c r="B111" i="13"/>
  <c r="N209" i="14"/>
  <c r="D111" i="13"/>
  <c r="T209" i="14"/>
  <c r="E111" i="13"/>
  <c r="Z209" i="14"/>
  <c r="F111" i="13"/>
  <c r="H213" i="14"/>
  <c r="C112" i="13"/>
  <c r="G112" i="13"/>
  <c r="B213" i="14"/>
  <c r="B112" i="13"/>
  <c r="N213" i="14"/>
  <c r="D112" i="13"/>
  <c r="T213" i="14"/>
  <c r="E112" i="13"/>
  <c r="Z213" i="14"/>
  <c r="F112" i="13"/>
  <c r="H214" i="14"/>
  <c r="C113" i="13"/>
  <c r="G113" i="13"/>
  <c r="B214" i="14"/>
  <c r="B113" i="13"/>
  <c r="N214" i="14"/>
  <c r="D113" i="13"/>
  <c r="T214" i="14"/>
  <c r="E113" i="13"/>
  <c r="Z214" i="14"/>
  <c r="F113" i="13"/>
  <c r="H217" i="14"/>
  <c r="C114" i="13"/>
  <c r="G114" i="13"/>
  <c r="B217" i="14"/>
  <c r="B114" i="13"/>
  <c r="N217" i="14"/>
  <c r="D114" i="13"/>
  <c r="T217" i="14"/>
  <c r="E114" i="13"/>
  <c r="Z217" i="14"/>
  <c r="F114" i="13"/>
  <c r="H225" i="14"/>
  <c r="C115" i="13"/>
  <c r="H115" i="13"/>
  <c r="B225" i="14"/>
  <c r="B115" i="13"/>
  <c r="N225" i="14"/>
  <c r="D115" i="13"/>
  <c r="T225" i="14"/>
  <c r="E115" i="13"/>
  <c r="Z225" i="14"/>
  <c r="F115" i="13"/>
  <c r="H229" i="14"/>
  <c r="C116" i="13"/>
  <c r="G116" i="13"/>
  <c r="B229" i="14"/>
  <c r="B116" i="13"/>
  <c r="N229" i="14"/>
  <c r="D116" i="13"/>
  <c r="T229" i="14"/>
  <c r="E116" i="13"/>
  <c r="Z229" i="14"/>
  <c r="F116" i="13"/>
  <c r="H232" i="14"/>
  <c r="C117" i="13"/>
  <c r="H117" i="13"/>
  <c r="B232" i="14"/>
  <c r="B117" i="13"/>
  <c r="N232" i="14"/>
  <c r="D117" i="13"/>
  <c r="T232" i="14"/>
  <c r="E117" i="13"/>
  <c r="Z232" i="14"/>
  <c r="F117" i="13"/>
  <c r="H236" i="14"/>
  <c r="C118" i="13"/>
  <c r="B236" i="14"/>
  <c r="B118" i="13"/>
  <c r="N236" i="14"/>
  <c r="D118" i="13"/>
  <c r="T236" i="14"/>
  <c r="E118" i="13"/>
  <c r="Z236" i="14"/>
  <c r="F118" i="13"/>
  <c r="H238" i="14"/>
  <c r="C119" i="13"/>
  <c r="H119" i="13"/>
  <c r="M119" i="13"/>
  <c r="O119" i="13"/>
  <c r="P119" i="13"/>
  <c r="B238" i="14"/>
  <c r="B119" i="13"/>
  <c r="N238" i="14"/>
  <c r="D119" i="13"/>
  <c r="T238" i="14"/>
  <c r="E119" i="13"/>
  <c r="Z238" i="14"/>
  <c r="F119" i="13"/>
  <c r="H240" i="14"/>
  <c r="C120" i="13"/>
  <c r="B240" i="14"/>
  <c r="B120" i="13"/>
  <c r="N240" i="14"/>
  <c r="D120" i="13"/>
  <c r="T240" i="14"/>
  <c r="E120" i="13"/>
  <c r="Z240" i="14"/>
  <c r="F120" i="13"/>
  <c r="H241" i="14"/>
  <c r="C121" i="13"/>
  <c r="H121" i="13"/>
  <c r="J121" i="13"/>
  <c r="K121" i="13"/>
  <c r="B241" i="14"/>
  <c r="B121" i="13"/>
  <c r="N241" i="14"/>
  <c r="D121" i="13"/>
  <c r="T241" i="14"/>
  <c r="E121" i="13"/>
  <c r="Z241" i="14"/>
  <c r="F121" i="13"/>
  <c r="H242" i="14"/>
  <c r="C122" i="13"/>
  <c r="H122" i="13"/>
  <c r="B242" i="14"/>
  <c r="B122" i="13"/>
  <c r="N242" i="14"/>
  <c r="D122" i="13"/>
  <c r="T242" i="14"/>
  <c r="E122" i="13"/>
  <c r="Z242" i="14"/>
  <c r="F122" i="13"/>
  <c r="H245" i="14"/>
  <c r="C123" i="13"/>
  <c r="G123" i="13"/>
  <c r="B245" i="14"/>
  <c r="B123" i="13"/>
  <c r="N245" i="14"/>
  <c r="D123" i="13"/>
  <c r="T245" i="14"/>
  <c r="E123" i="13"/>
  <c r="Z245" i="14"/>
  <c r="F123" i="13"/>
  <c r="H248" i="14"/>
  <c r="C124" i="13"/>
  <c r="H124" i="13"/>
  <c r="M124" i="13"/>
  <c r="O124" i="13"/>
  <c r="P124" i="13"/>
  <c r="B248" i="14"/>
  <c r="B124" i="13"/>
  <c r="N248" i="14"/>
  <c r="D124" i="13"/>
  <c r="T248" i="14"/>
  <c r="E124" i="13"/>
  <c r="Z248" i="14"/>
  <c r="F124" i="13"/>
  <c r="H249" i="14"/>
  <c r="C125" i="13"/>
  <c r="B249" i="14"/>
  <c r="B125" i="13"/>
  <c r="N249" i="14"/>
  <c r="D125" i="13"/>
  <c r="T249" i="14"/>
  <c r="E125" i="13"/>
  <c r="Z249" i="14"/>
  <c r="F125" i="13"/>
  <c r="B244" i="12"/>
  <c r="B5" i="10"/>
  <c r="H244" i="12"/>
  <c r="C5" i="10"/>
  <c r="N244" i="12"/>
  <c r="D5" i="10"/>
  <c r="T244" i="12"/>
  <c r="E5" i="10"/>
  <c r="Z244" i="12"/>
  <c r="F5" i="10"/>
  <c r="B158" i="12"/>
  <c r="B6" i="10"/>
  <c r="H158" i="12"/>
  <c r="C6" i="10"/>
  <c r="N158" i="12"/>
  <c r="D6" i="10"/>
  <c r="T158" i="12"/>
  <c r="E6" i="10"/>
  <c r="Z158" i="12"/>
  <c r="F6" i="10"/>
  <c r="B202" i="12"/>
  <c r="B7" i="10"/>
  <c r="H202" i="12"/>
  <c r="C7" i="10"/>
  <c r="N202" i="12"/>
  <c r="D7" i="10"/>
  <c r="T202" i="12"/>
  <c r="E7" i="10"/>
  <c r="Z202" i="12"/>
  <c r="F7" i="10"/>
  <c r="B174" i="12"/>
  <c r="B10" i="10"/>
  <c r="H174" i="12"/>
  <c r="C10" i="10"/>
  <c r="N174" i="12"/>
  <c r="D10" i="10"/>
  <c r="T174" i="12"/>
  <c r="E10" i="10"/>
  <c r="Z174" i="12"/>
  <c r="F10" i="10"/>
  <c r="B148" i="12"/>
  <c r="B11" i="10"/>
  <c r="H148" i="12"/>
  <c r="C11" i="10"/>
  <c r="N148" i="12"/>
  <c r="D11" i="10"/>
  <c r="T148" i="12"/>
  <c r="E11" i="10"/>
  <c r="Z148" i="12"/>
  <c r="F11" i="10"/>
  <c r="B209" i="2"/>
  <c r="B11" i="1"/>
  <c r="H209" i="2"/>
  <c r="C11" i="1"/>
  <c r="N209" i="2"/>
  <c r="D11" i="1"/>
  <c r="T209" i="2"/>
  <c r="E11" i="1"/>
  <c r="Z209" i="2"/>
  <c r="F11" i="1"/>
  <c r="F11" i="11"/>
  <c r="B197" i="12"/>
  <c r="B12" i="10"/>
  <c r="H197" i="12"/>
  <c r="C12" i="10"/>
  <c r="N197" i="12"/>
  <c r="D12" i="10"/>
  <c r="T197" i="12"/>
  <c r="E12" i="10"/>
  <c r="Z197" i="12"/>
  <c r="F12" i="10"/>
  <c r="B210" i="12"/>
  <c r="B13" i="10"/>
  <c r="H210" i="12"/>
  <c r="C13" i="10"/>
  <c r="N210" i="12"/>
  <c r="D13" i="10"/>
  <c r="T210" i="12"/>
  <c r="E13" i="10"/>
  <c r="Z210" i="12"/>
  <c r="F13" i="10"/>
  <c r="B176" i="12"/>
  <c r="B15" i="10"/>
  <c r="H176" i="12"/>
  <c r="C15" i="10"/>
  <c r="N176" i="12"/>
  <c r="D15" i="10"/>
  <c r="H15" i="10"/>
  <c r="M15" i="10"/>
  <c r="O15" i="10"/>
  <c r="P15" i="10"/>
  <c r="T176" i="12"/>
  <c r="E15" i="10"/>
  <c r="Z176" i="12"/>
  <c r="F15" i="10"/>
  <c r="B143" i="12"/>
  <c r="B16" i="10"/>
  <c r="H143" i="12"/>
  <c r="C16" i="10"/>
  <c r="N143" i="12"/>
  <c r="D16" i="10"/>
  <c r="T143" i="12"/>
  <c r="E16" i="10"/>
  <c r="Z143" i="12"/>
  <c r="F16" i="10"/>
  <c r="B234" i="12"/>
  <c r="B17" i="10"/>
  <c r="H234" i="12"/>
  <c r="C17" i="10"/>
  <c r="N234" i="12"/>
  <c r="D17" i="10"/>
  <c r="T234" i="12"/>
  <c r="E17" i="10"/>
  <c r="Z234" i="12"/>
  <c r="F17" i="10"/>
  <c r="B189" i="12"/>
  <c r="B19" i="10"/>
  <c r="H19" i="10"/>
  <c r="M19" i="10"/>
  <c r="O19" i="10"/>
  <c r="P19" i="10"/>
  <c r="H189" i="12"/>
  <c r="C19" i="10"/>
  <c r="N189" i="12"/>
  <c r="D19" i="10"/>
  <c r="T189" i="12"/>
  <c r="E19" i="10"/>
  <c r="Z189" i="12"/>
  <c r="F19" i="10"/>
  <c r="B222" i="12"/>
  <c r="B20" i="10"/>
  <c r="H222" i="12"/>
  <c r="C20" i="10"/>
  <c r="N222" i="12"/>
  <c r="D20" i="10"/>
  <c r="T222" i="12"/>
  <c r="E20" i="10"/>
  <c r="Z222" i="12"/>
  <c r="F20" i="10"/>
  <c r="B230" i="12"/>
  <c r="B21" i="10"/>
  <c r="H230" i="12"/>
  <c r="C21" i="10"/>
  <c r="N230" i="12"/>
  <c r="D21" i="10"/>
  <c r="T230" i="12"/>
  <c r="E21" i="10"/>
  <c r="Z230" i="12"/>
  <c r="F21" i="10"/>
  <c r="B166" i="12"/>
  <c r="B23" i="10"/>
  <c r="H166" i="12"/>
  <c r="C23" i="10"/>
  <c r="N166" i="12"/>
  <c r="D23" i="10"/>
  <c r="T166" i="12"/>
  <c r="E23" i="10"/>
  <c r="Z166" i="12"/>
  <c r="F23" i="10"/>
  <c r="B173" i="12"/>
  <c r="B24" i="10"/>
  <c r="H173" i="12"/>
  <c r="C24" i="10"/>
  <c r="N173" i="12"/>
  <c r="D24" i="10"/>
  <c r="T173" i="12"/>
  <c r="E24" i="10"/>
  <c r="Z173" i="12"/>
  <c r="F24" i="10"/>
  <c r="B215" i="12"/>
  <c r="B25" i="10"/>
  <c r="H215" i="12"/>
  <c r="C25" i="10"/>
  <c r="N215" i="12"/>
  <c r="D25" i="10"/>
  <c r="T215" i="12"/>
  <c r="E25" i="10"/>
  <c r="Z215" i="12"/>
  <c r="F25" i="10"/>
  <c r="B233" i="12"/>
  <c r="B26" i="10"/>
  <c r="H233" i="12"/>
  <c r="C26" i="10"/>
  <c r="N233" i="12"/>
  <c r="D26" i="10"/>
  <c r="T233" i="12"/>
  <c r="E26" i="10"/>
  <c r="Z233" i="12"/>
  <c r="F26" i="10"/>
  <c r="B187" i="12"/>
  <c r="B28" i="10"/>
  <c r="H187" i="12"/>
  <c r="C28" i="10"/>
  <c r="N187" i="12"/>
  <c r="D28" i="10"/>
  <c r="T187" i="12"/>
  <c r="E28" i="10"/>
  <c r="Z187" i="12"/>
  <c r="F28" i="10"/>
  <c r="B178" i="12"/>
  <c r="B29" i="10"/>
  <c r="H178" i="12"/>
  <c r="C29" i="10"/>
  <c r="N178" i="12"/>
  <c r="D29" i="10"/>
  <c r="T178" i="12"/>
  <c r="E29" i="10"/>
  <c r="Z178" i="12"/>
  <c r="F29" i="10"/>
  <c r="B142" i="12"/>
  <c r="B32" i="10"/>
  <c r="H142" i="12"/>
  <c r="C32" i="10"/>
  <c r="N142" i="12"/>
  <c r="D32" i="10"/>
  <c r="T142" i="12"/>
  <c r="E32" i="10"/>
  <c r="Z142" i="12"/>
  <c r="F32" i="10"/>
  <c r="B211" i="12"/>
  <c r="B33" i="10"/>
  <c r="H211" i="12"/>
  <c r="C33" i="10"/>
  <c r="N211" i="12"/>
  <c r="D33" i="10"/>
  <c r="T211" i="12"/>
  <c r="E33" i="10"/>
  <c r="Z211" i="12"/>
  <c r="F33" i="10"/>
  <c r="B155" i="12"/>
  <c r="B37" i="10"/>
  <c r="H155" i="12"/>
  <c r="C37" i="10"/>
  <c r="N155" i="12"/>
  <c r="D37" i="10"/>
  <c r="D37" i="11"/>
  <c r="T155" i="12"/>
  <c r="E37" i="10"/>
  <c r="Z155" i="12"/>
  <c r="F37" i="10"/>
  <c r="B164" i="12"/>
  <c r="B38" i="10"/>
  <c r="H164" i="12"/>
  <c r="C38" i="10"/>
  <c r="N164" i="12"/>
  <c r="D38" i="10"/>
  <c r="T164" i="12"/>
  <c r="E38" i="10"/>
  <c r="Z164" i="12"/>
  <c r="F38" i="10"/>
  <c r="B165" i="12"/>
  <c r="B39" i="10"/>
  <c r="H165" i="12"/>
  <c r="C39" i="10"/>
  <c r="N165" i="12"/>
  <c r="D39" i="10"/>
  <c r="T165" i="12"/>
  <c r="E39" i="10"/>
  <c r="Z165" i="12"/>
  <c r="F39" i="10"/>
  <c r="B171" i="12"/>
  <c r="B40" i="10"/>
  <c r="H171" i="12"/>
  <c r="C40" i="10"/>
  <c r="N171" i="12"/>
  <c r="D40" i="10"/>
  <c r="T171" i="12"/>
  <c r="E40" i="10"/>
  <c r="Z171" i="12"/>
  <c r="F40" i="10"/>
  <c r="B184" i="12"/>
  <c r="B41" i="10"/>
  <c r="H184" i="12"/>
  <c r="C41" i="10"/>
  <c r="N184" i="12"/>
  <c r="D41" i="10"/>
  <c r="T184" i="12"/>
  <c r="E41" i="10"/>
  <c r="Z184" i="12"/>
  <c r="F41" i="10"/>
  <c r="B195" i="12"/>
  <c r="B42" i="10"/>
  <c r="H195" i="12"/>
  <c r="C42" i="10"/>
  <c r="N195" i="12"/>
  <c r="D42" i="10"/>
  <c r="T195" i="12"/>
  <c r="E42" i="10"/>
  <c r="Z195" i="12"/>
  <c r="F42" i="10"/>
  <c r="B196" i="12"/>
  <c r="B43" i="10"/>
  <c r="H196" i="12"/>
  <c r="C43" i="10"/>
  <c r="N196" i="12"/>
  <c r="D43" i="10"/>
  <c r="T196" i="12"/>
  <c r="E43" i="10"/>
  <c r="Z196" i="12"/>
  <c r="F43" i="10"/>
  <c r="B200" i="12"/>
  <c r="B44" i="10"/>
  <c r="H200" i="12"/>
  <c r="C44" i="10"/>
  <c r="N200" i="12"/>
  <c r="D44" i="10"/>
  <c r="T200" i="12"/>
  <c r="E44" i="10"/>
  <c r="Z200" i="12"/>
  <c r="F44" i="10"/>
  <c r="B221" i="12"/>
  <c r="B45" i="10"/>
  <c r="H221" i="12"/>
  <c r="C45" i="10"/>
  <c r="N221" i="12"/>
  <c r="D45" i="10"/>
  <c r="T221" i="12"/>
  <c r="E45" i="10"/>
  <c r="Z221" i="12"/>
  <c r="F45" i="10"/>
  <c r="B223" i="12"/>
  <c r="B46" i="10"/>
  <c r="H223" i="12"/>
  <c r="C46" i="10"/>
  <c r="N223" i="12"/>
  <c r="D46" i="10"/>
  <c r="T223" i="12"/>
  <c r="E46" i="10"/>
  <c r="Z223" i="12"/>
  <c r="F46" i="10"/>
  <c r="B227" i="12"/>
  <c r="B47" i="10"/>
  <c r="H227" i="12"/>
  <c r="C47" i="10"/>
  <c r="N227" i="12"/>
  <c r="D47" i="10"/>
  <c r="T227" i="12"/>
  <c r="E47" i="10"/>
  <c r="Z227" i="12"/>
  <c r="F47" i="10"/>
  <c r="B228" i="12"/>
  <c r="B48" i="10"/>
  <c r="H228" i="12"/>
  <c r="C48" i="10"/>
  <c r="N228" i="12"/>
  <c r="D48" i="10"/>
  <c r="T228" i="12"/>
  <c r="E48" i="10"/>
  <c r="Z228" i="12"/>
  <c r="F48" i="10"/>
  <c r="B140" i="12"/>
  <c r="B50" i="10"/>
  <c r="H140" i="12"/>
  <c r="C50" i="10"/>
  <c r="N140" i="12"/>
  <c r="D50" i="10"/>
  <c r="T140" i="12"/>
  <c r="E50" i="10"/>
  <c r="Z140" i="12"/>
  <c r="F50" i="10"/>
  <c r="B149" i="12"/>
  <c r="B51" i="10"/>
  <c r="H149" i="12"/>
  <c r="C51" i="10"/>
  <c r="N149" i="12"/>
  <c r="D51" i="10"/>
  <c r="T149" i="12"/>
  <c r="E51" i="10"/>
  <c r="Z149" i="12"/>
  <c r="F51" i="10"/>
  <c r="B151" i="12"/>
  <c r="B52" i="10"/>
  <c r="H151" i="12"/>
  <c r="C52" i="10"/>
  <c r="N151" i="12"/>
  <c r="D52" i="10"/>
  <c r="T151" i="12"/>
  <c r="E52" i="10"/>
  <c r="Z151" i="12"/>
  <c r="F52" i="10"/>
  <c r="B153" i="12"/>
  <c r="B53" i="10"/>
  <c r="H153" i="12"/>
  <c r="C53" i="10"/>
  <c r="N153" i="12"/>
  <c r="D53" i="10"/>
  <c r="T153" i="12"/>
  <c r="E53" i="10"/>
  <c r="Z153" i="12"/>
  <c r="F53" i="10"/>
  <c r="B161" i="12"/>
  <c r="B54" i="10"/>
  <c r="H161" i="12"/>
  <c r="C54" i="10"/>
  <c r="N161" i="12"/>
  <c r="D54" i="10"/>
  <c r="T161" i="12"/>
  <c r="E54" i="10"/>
  <c r="Z161" i="12"/>
  <c r="F54" i="10"/>
  <c r="B162" i="12"/>
  <c r="B55" i="10"/>
  <c r="B55" i="11"/>
  <c r="H162" i="12"/>
  <c r="C55" i="10"/>
  <c r="N162" i="12"/>
  <c r="D55" i="10"/>
  <c r="T162" i="12"/>
  <c r="E55" i="10"/>
  <c r="Z162" i="12"/>
  <c r="F55" i="10"/>
  <c r="B163" i="12"/>
  <c r="B56" i="10"/>
  <c r="H163" i="12"/>
  <c r="C56" i="10"/>
  <c r="N163" i="12"/>
  <c r="D56" i="10"/>
  <c r="T163" i="12"/>
  <c r="E56" i="10"/>
  <c r="Z163" i="12"/>
  <c r="F56" i="10"/>
  <c r="B168" i="12"/>
  <c r="B57" i="10"/>
  <c r="H168" i="12"/>
  <c r="C57" i="10"/>
  <c r="N168" i="12"/>
  <c r="D57" i="10"/>
  <c r="T168" i="12"/>
  <c r="E57" i="10"/>
  <c r="Z168" i="12"/>
  <c r="F57" i="10"/>
  <c r="B169" i="12"/>
  <c r="B58" i="10"/>
  <c r="H169" i="12"/>
  <c r="C58" i="10"/>
  <c r="N169" i="12"/>
  <c r="D58" i="10"/>
  <c r="T169" i="12"/>
  <c r="E58" i="10"/>
  <c r="Z169" i="12"/>
  <c r="F58" i="10"/>
  <c r="B170" i="12"/>
  <c r="B59" i="10"/>
  <c r="H170" i="12"/>
  <c r="C59" i="10"/>
  <c r="N170" i="12"/>
  <c r="D59" i="10"/>
  <c r="T170" i="12"/>
  <c r="E59" i="10"/>
  <c r="Z170" i="12"/>
  <c r="F59" i="10"/>
  <c r="B180" i="12"/>
  <c r="B60" i="10"/>
  <c r="H180" i="12"/>
  <c r="C60" i="10"/>
  <c r="N180" i="12"/>
  <c r="D60" i="10"/>
  <c r="T180" i="12"/>
  <c r="E60" i="10"/>
  <c r="Z180" i="12"/>
  <c r="F60" i="10"/>
  <c r="B182" i="12"/>
  <c r="B61" i="10"/>
  <c r="H182" i="12"/>
  <c r="C61" i="10"/>
  <c r="N182" i="12"/>
  <c r="D61" i="10"/>
  <c r="T182" i="12"/>
  <c r="E61" i="10"/>
  <c r="Z182" i="12"/>
  <c r="F61" i="10"/>
  <c r="B212" i="12"/>
  <c r="B62" i="10"/>
  <c r="H212" i="12"/>
  <c r="C62" i="10"/>
  <c r="N212" i="12"/>
  <c r="D62" i="10"/>
  <c r="T212" i="12"/>
  <c r="E62" i="10"/>
  <c r="Z212" i="12"/>
  <c r="F62" i="10"/>
  <c r="B216" i="12"/>
  <c r="B63" i="10"/>
  <c r="H216" i="12"/>
  <c r="C63" i="10"/>
  <c r="N216" i="12"/>
  <c r="D63" i="10"/>
  <c r="T216" i="12"/>
  <c r="E63" i="10"/>
  <c r="Z216" i="12"/>
  <c r="F63" i="10"/>
  <c r="B218" i="12"/>
  <c r="B64" i="10"/>
  <c r="H218" i="12"/>
  <c r="C64" i="10"/>
  <c r="N218" i="12"/>
  <c r="D64" i="10"/>
  <c r="T218" i="12"/>
  <c r="E64" i="10"/>
  <c r="Z218" i="12"/>
  <c r="F64" i="10"/>
  <c r="B219" i="12"/>
  <c r="B65" i="10"/>
  <c r="B65" i="11"/>
  <c r="H219" i="12"/>
  <c r="C65" i="10"/>
  <c r="N219" i="12"/>
  <c r="D65" i="10"/>
  <c r="T219" i="12"/>
  <c r="E65" i="10"/>
  <c r="Z219" i="12"/>
  <c r="F65" i="10"/>
  <c r="B246" i="12"/>
  <c r="B66" i="10"/>
  <c r="H246" i="12"/>
  <c r="C66" i="10"/>
  <c r="N246" i="12"/>
  <c r="D66" i="10"/>
  <c r="D66" i="11"/>
  <c r="T246" i="12"/>
  <c r="E66" i="10"/>
  <c r="Z246" i="12"/>
  <c r="F66" i="10"/>
  <c r="B154" i="12"/>
  <c r="B68" i="10"/>
  <c r="H154" i="12"/>
  <c r="C68" i="10"/>
  <c r="N154" i="12"/>
  <c r="D68" i="10"/>
  <c r="T154" i="12"/>
  <c r="E68" i="10"/>
  <c r="Z154" i="12"/>
  <c r="F68" i="10"/>
  <c r="B157" i="12"/>
  <c r="B69" i="10"/>
  <c r="H157" i="12"/>
  <c r="C69" i="10"/>
  <c r="N157" i="12"/>
  <c r="D69" i="10"/>
  <c r="T157" i="12"/>
  <c r="E69" i="10"/>
  <c r="Z157" i="12"/>
  <c r="F69" i="10"/>
  <c r="B183" i="12"/>
  <c r="B70" i="10"/>
  <c r="H183" i="12"/>
  <c r="C70" i="10"/>
  <c r="N183" i="12"/>
  <c r="D70" i="10"/>
  <c r="T183" i="12"/>
  <c r="E70" i="10"/>
  <c r="Z183" i="12"/>
  <c r="F70" i="10"/>
  <c r="B194" i="12"/>
  <c r="B71" i="10"/>
  <c r="H194" i="12"/>
  <c r="C71" i="10"/>
  <c r="N194" i="12"/>
  <c r="D71" i="10"/>
  <c r="T194" i="12"/>
  <c r="E71" i="10"/>
  <c r="Z194" i="12"/>
  <c r="F71" i="10"/>
  <c r="B198" i="12"/>
  <c r="B72" i="10"/>
  <c r="H198" i="12"/>
  <c r="C72" i="10"/>
  <c r="N198" i="12"/>
  <c r="D72" i="10"/>
  <c r="T198" i="12"/>
  <c r="E72" i="10"/>
  <c r="Z198" i="12"/>
  <c r="F72" i="10"/>
  <c r="B199" i="12"/>
  <c r="B73" i="10"/>
  <c r="H199" i="12"/>
  <c r="C73" i="10"/>
  <c r="N199" i="12"/>
  <c r="D73" i="10"/>
  <c r="T199" i="12"/>
  <c r="E73" i="10"/>
  <c r="Z199" i="12"/>
  <c r="F73" i="10"/>
  <c r="B205" i="12"/>
  <c r="B74" i="10"/>
  <c r="H205" i="12"/>
  <c r="C74" i="10"/>
  <c r="N205" i="12"/>
  <c r="D74" i="10"/>
  <c r="T205" i="12"/>
  <c r="E74" i="10"/>
  <c r="Z205" i="12"/>
  <c r="F74" i="10"/>
  <c r="B220" i="12"/>
  <c r="B75" i="10"/>
  <c r="H220" i="12"/>
  <c r="C75" i="10"/>
  <c r="N220" i="12"/>
  <c r="D75" i="10"/>
  <c r="T220" i="12"/>
  <c r="E75" i="10"/>
  <c r="Z220" i="12"/>
  <c r="F75" i="10"/>
  <c r="B226" i="12"/>
  <c r="B76" i="10"/>
  <c r="H226" i="12"/>
  <c r="C76" i="10"/>
  <c r="C76" i="11"/>
  <c r="N226" i="12"/>
  <c r="D76" i="10"/>
  <c r="T226" i="12"/>
  <c r="E76" i="10"/>
  <c r="Z226" i="12"/>
  <c r="F76" i="10"/>
  <c r="B231" i="12"/>
  <c r="B77" i="10"/>
  <c r="H231" i="12"/>
  <c r="C77" i="10"/>
  <c r="N231" i="12"/>
  <c r="D77" i="10"/>
  <c r="T231" i="12"/>
  <c r="E77" i="10"/>
  <c r="Z231" i="12"/>
  <c r="F77" i="10"/>
  <c r="B235" i="12"/>
  <c r="B78" i="10"/>
  <c r="H235" i="12"/>
  <c r="C78" i="10"/>
  <c r="N235" i="12"/>
  <c r="D78" i="10"/>
  <c r="T235" i="12"/>
  <c r="E78" i="10"/>
  <c r="Z235" i="12"/>
  <c r="F78" i="10"/>
  <c r="B237" i="12"/>
  <c r="B79" i="10"/>
  <c r="H237" i="12"/>
  <c r="C79" i="10"/>
  <c r="N237" i="12"/>
  <c r="D79" i="10"/>
  <c r="T237" i="12"/>
  <c r="E79" i="10"/>
  <c r="Z237" i="12"/>
  <c r="F79" i="10"/>
  <c r="B247" i="12"/>
  <c r="B80" i="10"/>
  <c r="H247" i="12"/>
  <c r="C80" i="10"/>
  <c r="N247" i="12"/>
  <c r="D80" i="10"/>
  <c r="T247" i="12"/>
  <c r="E80" i="10"/>
  <c r="Z247" i="12"/>
  <c r="F80" i="10"/>
  <c r="B138" i="12"/>
  <c r="B82" i="10"/>
  <c r="H138" i="12"/>
  <c r="C82" i="10"/>
  <c r="N138" i="12"/>
  <c r="D82" i="10"/>
  <c r="T138" i="12"/>
  <c r="E82" i="10"/>
  <c r="Z138" i="12"/>
  <c r="F82" i="10"/>
  <c r="B139" i="12"/>
  <c r="B83" i="10"/>
  <c r="H139" i="12"/>
  <c r="C83" i="10"/>
  <c r="N139" i="12"/>
  <c r="D83" i="10"/>
  <c r="T139" i="12"/>
  <c r="E83" i="10"/>
  <c r="Z139" i="12"/>
  <c r="F83" i="10"/>
  <c r="B141" i="12"/>
  <c r="B84" i="10"/>
  <c r="H141" i="12"/>
  <c r="C84" i="10"/>
  <c r="N141" i="12"/>
  <c r="D84" i="10"/>
  <c r="T141" i="12"/>
  <c r="E84" i="10"/>
  <c r="Z141" i="12"/>
  <c r="F84" i="10"/>
  <c r="B144" i="12"/>
  <c r="B85" i="10"/>
  <c r="H144" i="12"/>
  <c r="C85" i="10"/>
  <c r="N144" i="12"/>
  <c r="D85" i="10"/>
  <c r="T144" i="12"/>
  <c r="E85" i="10"/>
  <c r="Z144" i="12"/>
  <c r="F85" i="10"/>
  <c r="B145" i="12"/>
  <c r="B86" i="10"/>
  <c r="H145" i="12"/>
  <c r="C86" i="10"/>
  <c r="N145" i="12"/>
  <c r="D86" i="10"/>
  <c r="T145" i="12"/>
  <c r="E86" i="10"/>
  <c r="Z145" i="12"/>
  <c r="F86" i="10"/>
  <c r="B146" i="12"/>
  <c r="B87" i="10"/>
  <c r="H146" i="12"/>
  <c r="C87" i="10"/>
  <c r="N146" i="12"/>
  <c r="D87" i="10"/>
  <c r="T146" i="12"/>
  <c r="E87" i="10"/>
  <c r="Z146" i="12"/>
  <c r="F87" i="10"/>
  <c r="B147" i="12"/>
  <c r="B88" i="10"/>
  <c r="H147" i="12"/>
  <c r="C88" i="10"/>
  <c r="N147" i="12"/>
  <c r="D88" i="10"/>
  <c r="T147" i="12"/>
  <c r="E88" i="10"/>
  <c r="Z147" i="12"/>
  <c r="F88" i="10"/>
  <c r="B150" i="12"/>
  <c r="B89" i="10"/>
  <c r="H150" i="12"/>
  <c r="C89" i="10"/>
  <c r="N150" i="12"/>
  <c r="D89" i="10"/>
  <c r="T150" i="12"/>
  <c r="E89" i="10"/>
  <c r="Z150" i="12"/>
  <c r="F89" i="10"/>
  <c r="B152" i="12"/>
  <c r="B90" i="10"/>
  <c r="H152" i="12"/>
  <c r="C90" i="10"/>
  <c r="N152" i="12"/>
  <c r="D90" i="10"/>
  <c r="T152" i="12"/>
  <c r="E90" i="10"/>
  <c r="Z152" i="12"/>
  <c r="F90" i="10"/>
  <c r="B156" i="12"/>
  <c r="B91" i="10"/>
  <c r="H156" i="12"/>
  <c r="C91" i="10"/>
  <c r="N156" i="12"/>
  <c r="D91" i="10"/>
  <c r="T156" i="12"/>
  <c r="E91" i="10"/>
  <c r="Z156" i="12"/>
  <c r="F91" i="10"/>
  <c r="B159" i="12"/>
  <c r="B92" i="10"/>
  <c r="H159" i="12"/>
  <c r="C92" i="10"/>
  <c r="N159" i="12"/>
  <c r="D92" i="10"/>
  <c r="T159" i="12"/>
  <c r="E92" i="10"/>
  <c r="Z159" i="12"/>
  <c r="F92" i="10"/>
  <c r="B160" i="12"/>
  <c r="B93" i="10"/>
  <c r="H160" i="12"/>
  <c r="C93" i="10"/>
  <c r="N160" i="12"/>
  <c r="D93" i="10"/>
  <c r="T160" i="12"/>
  <c r="E93" i="10"/>
  <c r="E93" i="11"/>
  <c r="Z160" i="12"/>
  <c r="F93" i="10"/>
  <c r="B167" i="12"/>
  <c r="B94" i="10"/>
  <c r="H167" i="12"/>
  <c r="C94" i="10"/>
  <c r="N167" i="12"/>
  <c r="D94" i="10"/>
  <c r="T167" i="12"/>
  <c r="E94" i="10"/>
  <c r="Z167" i="12"/>
  <c r="F94" i="10"/>
  <c r="B172" i="12"/>
  <c r="B95" i="10"/>
  <c r="H172" i="12"/>
  <c r="C95" i="10"/>
  <c r="N172" i="12"/>
  <c r="D95" i="10"/>
  <c r="T172" i="12"/>
  <c r="E95" i="10"/>
  <c r="Z172" i="12"/>
  <c r="F95" i="10"/>
  <c r="B175" i="12"/>
  <c r="B96" i="10"/>
  <c r="H175" i="12"/>
  <c r="C96" i="10"/>
  <c r="N175" i="12"/>
  <c r="D96" i="10"/>
  <c r="T175" i="12"/>
  <c r="E96" i="10"/>
  <c r="Z175" i="12"/>
  <c r="F96" i="10"/>
  <c r="B177" i="12"/>
  <c r="B97" i="10"/>
  <c r="H177" i="12"/>
  <c r="C97" i="10"/>
  <c r="N177" i="12"/>
  <c r="D97" i="10"/>
  <c r="T177" i="12"/>
  <c r="E97" i="10"/>
  <c r="Z177" i="12"/>
  <c r="F97" i="10"/>
  <c r="B179" i="12"/>
  <c r="B98" i="10"/>
  <c r="H179" i="12"/>
  <c r="C98" i="10"/>
  <c r="N179" i="12"/>
  <c r="D98" i="10"/>
  <c r="T179" i="12"/>
  <c r="E98" i="10"/>
  <c r="Z179" i="12"/>
  <c r="F98" i="10"/>
  <c r="B181" i="12"/>
  <c r="B99" i="10"/>
  <c r="H181" i="12"/>
  <c r="C99" i="10"/>
  <c r="N181" i="12"/>
  <c r="D99" i="10"/>
  <c r="T181" i="12"/>
  <c r="E99" i="10"/>
  <c r="Z181" i="12"/>
  <c r="F99" i="10"/>
  <c r="B185" i="12"/>
  <c r="B100" i="10"/>
  <c r="H185" i="12"/>
  <c r="C100" i="10"/>
  <c r="N185" i="12"/>
  <c r="D100" i="10"/>
  <c r="T185" i="12"/>
  <c r="E100" i="10"/>
  <c r="Z185" i="12"/>
  <c r="F100" i="10"/>
  <c r="B186" i="12"/>
  <c r="B101" i="10"/>
  <c r="H186" i="12"/>
  <c r="C101" i="10"/>
  <c r="N186" i="12"/>
  <c r="D101" i="10"/>
  <c r="T186" i="12"/>
  <c r="E101" i="10"/>
  <c r="Z186" i="12"/>
  <c r="F101" i="10"/>
  <c r="B188" i="12"/>
  <c r="B102" i="10"/>
  <c r="H188" i="12"/>
  <c r="C102" i="10"/>
  <c r="N188" i="12"/>
  <c r="D102" i="10"/>
  <c r="T188" i="12"/>
  <c r="E102" i="10"/>
  <c r="Z188" i="12"/>
  <c r="F102" i="10"/>
  <c r="B191" i="12"/>
  <c r="B103" i="10"/>
  <c r="H191" i="12"/>
  <c r="C103" i="10"/>
  <c r="N191" i="12"/>
  <c r="D103" i="10"/>
  <c r="T191" i="12"/>
  <c r="E103" i="10"/>
  <c r="Z191" i="12"/>
  <c r="F103" i="10"/>
  <c r="B192" i="12"/>
  <c r="B104" i="10"/>
  <c r="H192" i="12"/>
  <c r="C104" i="10"/>
  <c r="N192" i="12"/>
  <c r="D104" i="10"/>
  <c r="T192" i="12"/>
  <c r="E104" i="10"/>
  <c r="Z192" i="12"/>
  <c r="F104" i="10"/>
  <c r="B193" i="12"/>
  <c r="B105" i="10"/>
  <c r="H193" i="12"/>
  <c r="C105" i="10"/>
  <c r="N193" i="12"/>
  <c r="D105" i="10"/>
  <c r="T193" i="12"/>
  <c r="E105" i="10"/>
  <c r="Z193" i="12"/>
  <c r="F105" i="10"/>
  <c r="F105" i="11"/>
  <c r="B201" i="12"/>
  <c r="B106" i="10"/>
  <c r="H201" i="12"/>
  <c r="C106" i="10"/>
  <c r="N201" i="12"/>
  <c r="D106" i="10"/>
  <c r="T201" i="12"/>
  <c r="E106" i="10"/>
  <c r="Z201" i="12"/>
  <c r="F106" i="10"/>
  <c r="B203" i="12"/>
  <c r="B107" i="10"/>
  <c r="H203" i="12"/>
  <c r="C107" i="10"/>
  <c r="N203" i="12"/>
  <c r="D107" i="10"/>
  <c r="T203" i="12"/>
  <c r="E107" i="10"/>
  <c r="Z203" i="12"/>
  <c r="F107" i="10"/>
  <c r="B204" i="12"/>
  <c r="B108" i="10"/>
  <c r="H204" i="12"/>
  <c r="C108" i="10"/>
  <c r="N204" i="12"/>
  <c r="D108" i="10"/>
  <c r="T204" i="12"/>
  <c r="E108" i="10"/>
  <c r="Z204" i="12"/>
  <c r="F108" i="10"/>
  <c r="B207" i="12"/>
  <c r="B109" i="10"/>
  <c r="H207" i="12"/>
  <c r="C109" i="10"/>
  <c r="N207" i="12"/>
  <c r="D109" i="10"/>
  <c r="T207" i="12"/>
  <c r="E109" i="10"/>
  <c r="Z207" i="12"/>
  <c r="F109" i="10"/>
  <c r="B208" i="12"/>
  <c r="B110" i="10"/>
  <c r="H208" i="12"/>
  <c r="C110" i="10"/>
  <c r="N208" i="12"/>
  <c r="D110" i="10"/>
  <c r="T208" i="12"/>
  <c r="E110" i="10"/>
  <c r="Z208" i="12"/>
  <c r="F110" i="10"/>
  <c r="B209" i="12"/>
  <c r="B111" i="10"/>
  <c r="H209" i="12"/>
  <c r="C111" i="10"/>
  <c r="N209" i="12"/>
  <c r="D111" i="10"/>
  <c r="T209" i="12"/>
  <c r="E111" i="10"/>
  <c r="Z209" i="12"/>
  <c r="F111" i="10"/>
  <c r="B213" i="12"/>
  <c r="B112" i="10"/>
  <c r="H213" i="12"/>
  <c r="C112" i="10"/>
  <c r="N213" i="12"/>
  <c r="D112" i="10"/>
  <c r="T213" i="12"/>
  <c r="E112" i="10"/>
  <c r="Z213" i="12"/>
  <c r="F112" i="10"/>
  <c r="B214" i="12"/>
  <c r="B113" i="10"/>
  <c r="H214" i="12"/>
  <c r="C113" i="10"/>
  <c r="N214" i="12"/>
  <c r="D113" i="10"/>
  <c r="T214" i="12"/>
  <c r="E113" i="10"/>
  <c r="Z214" i="12"/>
  <c r="F113" i="10"/>
  <c r="F113" i="11"/>
  <c r="B217" i="12"/>
  <c r="B114" i="10"/>
  <c r="H217" i="12"/>
  <c r="C114" i="10"/>
  <c r="N217" i="12"/>
  <c r="D114" i="10"/>
  <c r="T217" i="12"/>
  <c r="E114" i="10"/>
  <c r="Z217" i="12"/>
  <c r="F114" i="10"/>
  <c r="B225" i="12"/>
  <c r="B115" i="10"/>
  <c r="H225" i="12"/>
  <c r="C115" i="10"/>
  <c r="N225" i="12"/>
  <c r="D115" i="10"/>
  <c r="T225" i="12"/>
  <c r="E115" i="10"/>
  <c r="Z225" i="12"/>
  <c r="F115" i="10"/>
  <c r="B229" i="12"/>
  <c r="B116" i="10"/>
  <c r="H229" i="12"/>
  <c r="C116" i="10"/>
  <c r="N229" i="12"/>
  <c r="D116" i="10"/>
  <c r="T229" i="12"/>
  <c r="E116" i="10"/>
  <c r="Z229" i="12"/>
  <c r="F116" i="10"/>
  <c r="B232" i="12"/>
  <c r="B117" i="10"/>
  <c r="H232" i="12"/>
  <c r="C117" i="10"/>
  <c r="N232" i="12"/>
  <c r="D117" i="10"/>
  <c r="T232" i="12"/>
  <c r="E117" i="10"/>
  <c r="Z232" i="12"/>
  <c r="F117" i="10"/>
  <c r="B236" i="12"/>
  <c r="B118" i="10"/>
  <c r="H236" i="12"/>
  <c r="C118" i="10"/>
  <c r="N236" i="12"/>
  <c r="D118" i="10"/>
  <c r="T236" i="12"/>
  <c r="E118" i="10"/>
  <c r="Z236" i="12"/>
  <c r="F118" i="10"/>
  <c r="B238" i="12"/>
  <c r="B119" i="10"/>
  <c r="H238" i="12"/>
  <c r="C119" i="10"/>
  <c r="N238" i="12"/>
  <c r="D119" i="10"/>
  <c r="T238" i="12"/>
  <c r="E119" i="10"/>
  <c r="Z238" i="12"/>
  <c r="F119" i="10"/>
  <c r="B240" i="12"/>
  <c r="B120" i="10"/>
  <c r="H240" i="12"/>
  <c r="C120" i="10"/>
  <c r="N240" i="12"/>
  <c r="D120" i="10"/>
  <c r="T240" i="12"/>
  <c r="E120" i="10"/>
  <c r="Z240" i="12"/>
  <c r="F120" i="10"/>
  <c r="B241" i="12"/>
  <c r="B121" i="10"/>
  <c r="H241" i="12"/>
  <c r="C121" i="10"/>
  <c r="N241" i="12"/>
  <c r="D121" i="10"/>
  <c r="T241" i="12"/>
  <c r="E121" i="10"/>
  <c r="Z241" i="12"/>
  <c r="F121" i="10"/>
  <c r="B242" i="12"/>
  <c r="B122" i="10"/>
  <c r="H242" i="12"/>
  <c r="C122" i="10"/>
  <c r="N242" i="12"/>
  <c r="D122" i="10"/>
  <c r="T242" i="12"/>
  <c r="E122" i="10"/>
  <c r="E122" i="11"/>
  <c r="Z242" i="12"/>
  <c r="F122" i="10"/>
  <c r="B245" i="12"/>
  <c r="B123" i="10"/>
  <c r="H245" i="12"/>
  <c r="C123" i="10"/>
  <c r="N245" i="12"/>
  <c r="D123" i="10"/>
  <c r="T245" i="12"/>
  <c r="E123" i="10"/>
  <c r="Z245" i="12"/>
  <c r="F123" i="10"/>
  <c r="B248" i="12"/>
  <c r="B124" i="10"/>
  <c r="H248" i="12"/>
  <c r="C124" i="10"/>
  <c r="N248" i="12"/>
  <c r="D124" i="10"/>
  <c r="T248" i="12"/>
  <c r="E124" i="10"/>
  <c r="Z248" i="12"/>
  <c r="F124" i="10"/>
  <c r="B249" i="12"/>
  <c r="B125" i="10"/>
  <c r="H249" i="12"/>
  <c r="C125" i="10"/>
  <c r="N249" i="12"/>
  <c r="D125" i="10"/>
  <c r="T249" i="12"/>
  <c r="E125" i="10"/>
  <c r="Z249" i="12"/>
  <c r="F125" i="10"/>
  <c r="B305" i="2"/>
  <c r="B5" i="1"/>
  <c r="H305" i="2"/>
  <c r="C5" i="1"/>
  <c r="N305" i="2"/>
  <c r="D5" i="1"/>
  <c r="T305" i="2"/>
  <c r="E5" i="1"/>
  <c r="Z305" i="2"/>
  <c r="F5" i="1"/>
  <c r="B219" i="2"/>
  <c r="B6" i="1"/>
  <c r="B6" i="11"/>
  <c r="H219" i="2"/>
  <c r="C6" i="1"/>
  <c r="N219" i="2"/>
  <c r="D6" i="1"/>
  <c r="T219" i="2"/>
  <c r="E6" i="1"/>
  <c r="E6" i="11"/>
  <c r="Z219" i="2"/>
  <c r="F6" i="1"/>
  <c r="B263" i="2"/>
  <c r="B7" i="1"/>
  <c r="H263" i="2"/>
  <c r="C7" i="1"/>
  <c r="N263" i="2"/>
  <c r="D7" i="1"/>
  <c r="T263" i="2"/>
  <c r="E7" i="1"/>
  <c r="E7" i="11"/>
  <c r="Z263" i="2"/>
  <c r="F7" i="1"/>
  <c r="B235" i="2"/>
  <c r="B10" i="1"/>
  <c r="H235" i="2"/>
  <c r="C10" i="1"/>
  <c r="C10" i="11"/>
  <c r="N235" i="2"/>
  <c r="D10" i="1"/>
  <c r="T235" i="2"/>
  <c r="E10" i="1"/>
  <c r="Z235" i="2"/>
  <c r="F10" i="1"/>
  <c r="B258" i="2"/>
  <c r="B12" i="1"/>
  <c r="H258" i="2"/>
  <c r="C12" i="1"/>
  <c r="N258" i="2"/>
  <c r="D12" i="1"/>
  <c r="D12" i="11"/>
  <c r="T258" i="2"/>
  <c r="E12" i="1"/>
  <c r="Z258" i="2"/>
  <c r="F12" i="1"/>
  <c r="B271" i="2"/>
  <c r="B13" i="1"/>
  <c r="B13" i="11"/>
  <c r="H271" i="2"/>
  <c r="C13" i="1"/>
  <c r="N271" i="2"/>
  <c r="D13" i="1"/>
  <c r="D13" i="11"/>
  <c r="T271" i="2"/>
  <c r="E13" i="1"/>
  <c r="Z271" i="2"/>
  <c r="F13" i="1"/>
  <c r="B237" i="2"/>
  <c r="B15" i="1"/>
  <c r="H237" i="2"/>
  <c r="C15" i="1"/>
  <c r="N237" i="2"/>
  <c r="D15" i="1"/>
  <c r="T237" i="2"/>
  <c r="E15" i="1"/>
  <c r="E15" i="11"/>
  <c r="Z237" i="2"/>
  <c r="F15" i="1"/>
  <c r="B204" i="2"/>
  <c r="B16" i="1"/>
  <c r="H204" i="2"/>
  <c r="C16" i="1"/>
  <c r="C16" i="11"/>
  <c r="N204" i="2"/>
  <c r="D16" i="1"/>
  <c r="T204" i="2"/>
  <c r="E16" i="1"/>
  <c r="E16" i="11"/>
  <c r="Z204" i="2"/>
  <c r="F16" i="1"/>
  <c r="B295" i="2"/>
  <c r="B17" i="1"/>
  <c r="H295" i="2"/>
  <c r="C17" i="1"/>
  <c r="N295" i="2"/>
  <c r="D17" i="1"/>
  <c r="T295" i="2"/>
  <c r="E17" i="1"/>
  <c r="Z295" i="2"/>
  <c r="F17" i="1"/>
  <c r="F17" i="11"/>
  <c r="B250" i="2"/>
  <c r="B19" i="1"/>
  <c r="H250" i="2"/>
  <c r="C19" i="1"/>
  <c r="N250" i="2"/>
  <c r="D19" i="1"/>
  <c r="T250" i="2"/>
  <c r="E19" i="1"/>
  <c r="Z250" i="2"/>
  <c r="F19" i="1"/>
  <c r="F19" i="11"/>
  <c r="B283" i="2"/>
  <c r="B20" i="1"/>
  <c r="H283" i="2"/>
  <c r="C20" i="1"/>
  <c r="N283" i="2"/>
  <c r="D20" i="1"/>
  <c r="T283" i="2"/>
  <c r="E20" i="1"/>
  <c r="Z283" i="2"/>
  <c r="F20" i="1"/>
  <c r="B291" i="2"/>
  <c r="B21" i="1"/>
  <c r="H291" i="2"/>
  <c r="C21" i="1"/>
  <c r="N291" i="2"/>
  <c r="D21" i="1"/>
  <c r="T291" i="2"/>
  <c r="E21" i="1"/>
  <c r="E21" i="11"/>
  <c r="Z291" i="2"/>
  <c r="F21" i="1"/>
  <c r="B227" i="2"/>
  <c r="B23" i="1"/>
  <c r="B23" i="11"/>
  <c r="H227" i="2"/>
  <c r="C23" i="1"/>
  <c r="N227" i="2"/>
  <c r="D23" i="1"/>
  <c r="T227" i="2"/>
  <c r="E23" i="1"/>
  <c r="Z227" i="2"/>
  <c r="F23" i="1"/>
  <c r="B234" i="2"/>
  <c r="B24" i="1"/>
  <c r="H234" i="2"/>
  <c r="C24" i="1"/>
  <c r="N234" i="2"/>
  <c r="D24" i="1"/>
  <c r="T234" i="2"/>
  <c r="E24" i="1"/>
  <c r="Z234" i="2"/>
  <c r="F24" i="1"/>
  <c r="B276" i="2"/>
  <c r="B25" i="1"/>
  <c r="H276" i="2"/>
  <c r="C25" i="1"/>
  <c r="N276" i="2"/>
  <c r="D25" i="1"/>
  <c r="T276" i="2"/>
  <c r="E25" i="1"/>
  <c r="E25" i="11"/>
  <c r="Z276" i="2"/>
  <c r="F25" i="1"/>
  <c r="B294" i="2"/>
  <c r="B26" i="1"/>
  <c r="H294" i="2"/>
  <c r="C26" i="1"/>
  <c r="N294" i="2"/>
  <c r="D26" i="1"/>
  <c r="T294" i="2"/>
  <c r="E26" i="1"/>
  <c r="Z294" i="2"/>
  <c r="F26" i="1"/>
  <c r="B248" i="2"/>
  <c r="B28" i="1"/>
  <c r="H248" i="2"/>
  <c r="C28" i="1"/>
  <c r="N248" i="2"/>
  <c r="D28" i="1"/>
  <c r="T248" i="2"/>
  <c r="E28" i="1"/>
  <c r="Z248" i="2"/>
  <c r="F28" i="1"/>
  <c r="B239" i="2"/>
  <c r="B29" i="1"/>
  <c r="H239" i="2"/>
  <c r="C29" i="1"/>
  <c r="N239" i="2"/>
  <c r="D29" i="1"/>
  <c r="T239" i="2"/>
  <c r="E29" i="1"/>
  <c r="E29" i="11"/>
  <c r="Z239" i="2"/>
  <c r="F29" i="1"/>
  <c r="B203" i="2"/>
  <c r="B32" i="1"/>
  <c r="H203" i="2"/>
  <c r="C32" i="1"/>
  <c r="N203" i="2"/>
  <c r="D32" i="1"/>
  <c r="D32" i="11"/>
  <c r="T203" i="2"/>
  <c r="E32" i="1"/>
  <c r="Z203" i="2"/>
  <c r="F32" i="1"/>
  <c r="B272" i="2"/>
  <c r="B33" i="1"/>
  <c r="H272" i="2"/>
  <c r="C33" i="1"/>
  <c r="N272" i="2"/>
  <c r="D33" i="1"/>
  <c r="T272" i="2"/>
  <c r="E33" i="1"/>
  <c r="Z272" i="2"/>
  <c r="F33" i="1"/>
  <c r="B216" i="2"/>
  <c r="B37" i="1"/>
  <c r="H216" i="2"/>
  <c r="C37" i="1"/>
  <c r="N216" i="2"/>
  <c r="D37" i="1"/>
  <c r="T216" i="2"/>
  <c r="E37" i="1"/>
  <c r="Z216" i="2"/>
  <c r="F37" i="1"/>
  <c r="B226" i="2"/>
  <c r="B39" i="1"/>
  <c r="H226" i="2"/>
  <c r="C39" i="1"/>
  <c r="N226" i="2"/>
  <c r="D39" i="1"/>
  <c r="T226" i="2"/>
  <c r="E39" i="1"/>
  <c r="Z226" i="2"/>
  <c r="F39" i="1"/>
  <c r="B232" i="2"/>
  <c r="B40" i="1"/>
  <c r="H232" i="2"/>
  <c r="C40" i="1"/>
  <c r="N232" i="2"/>
  <c r="D40" i="1"/>
  <c r="T232" i="2"/>
  <c r="E40" i="1"/>
  <c r="Z232" i="2"/>
  <c r="F40" i="1"/>
  <c r="B245" i="2"/>
  <c r="B41" i="1"/>
  <c r="H245" i="2"/>
  <c r="C41" i="1"/>
  <c r="N245" i="2"/>
  <c r="D41" i="1"/>
  <c r="T245" i="2"/>
  <c r="E41" i="1"/>
  <c r="Z245" i="2"/>
  <c r="F41" i="1"/>
  <c r="B256" i="2"/>
  <c r="B42" i="1"/>
  <c r="H256" i="2"/>
  <c r="C42" i="1"/>
  <c r="N256" i="2"/>
  <c r="D42" i="1"/>
  <c r="T256" i="2"/>
  <c r="E42" i="1"/>
  <c r="Z256" i="2"/>
  <c r="F42" i="1"/>
  <c r="B257" i="2"/>
  <c r="B43" i="1"/>
  <c r="H257" i="2"/>
  <c r="C43" i="1"/>
  <c r="N257" i="2"/>
  <c r="D43" i="1"/>
  <c r="T257" i="2"/>
  <c r="E43" i="1"/>
  <c r="Z257" i="2"/>
  <c r="F43" i="1"/>
  <c r="F43" i="11"/>
  <c r="B261" i="2"/>
  <c r="B44" i="1"/>
  <c r="H261" i="2"/>
  <c r="C44" i="1"/>
  <c r="N261" i="2"/>
  <c r="D44" i="1"/>
  <c r="T261" i="2"/>
  <c r="E44" i="1"/>
  <c r="Z261" i="2"/>
  <c r="F44" i="1"/>
  <c r="B282" i="2"/>
  <c r="B45" i="1"/>
  <c r="B45" i="11"/>
  <c r="H282" i="2"/>
  <c r="C45" i="1"/>
  <c r="N282" i="2"/>
  <c r="D45" i="1"/>
  <c r="T282" i="2"/>
  <c r="E45" i="1"/>
  <c r="Z282" i="2"/>
  <c r="F45" i="1"/>
  <c r="B288" i="2"/>
  <c r="B47" i="1"/>
  <c r="B47" i="11"/>
  <c r="H288" i="2"/>
  <c r="C47" i="1"/>
  <c r="N288" i="2"/>
  <c r="D47" i="1"/>
  <c r="T288" i="2"/>
  <c r="E47" i="1"/>
  <c r="Z288" i="2"/>
  <c r="F47" i="1"/>
  <c r="F47" i="11"/>
  <c r="B289" i="2"/>
  <c r="B48" i="1"/>
  <c r="H289" i="2"/>
  <c r="C48" i="1"/>
  <c r="N289" i="2"/>
  <c r="D48" i="1"/>
  <c r="T289" i="2"/>
  <c r="E48" i="1"/>
  <c r="Z289" i="2"/>
  <c r="F48" i="1"/>
  <c r="B201" i="2"/>
  <c r="B50" i="1"/>
  <c r="H201" i="2"/>
  <c r="C50" i="1"/>
  <c r="N201" i="2"/>
  <c r="D50" i="1"/>
  <c r="T201" i="2"/>
  <c r="E50" i="1"/>
  <c r="E50" i="11"/>
  <c r="Z201" i="2"/>
  <c r="F50" i="1"/>
  <c r="B210" i="2"/>
  <c r="B51" i="1"/>
  <c r="H210" i="2"/>
  <c r="C51" i="1"/>
  <c r="C51" i="11"/>
  <c r="N210" i="2"/>
  <c r="D51" i="1"/>
  <c r="T210" i="2"/>
  <c r="E51" i="1"/>
  <c r="Z210" i="2"/>
  <c r="F51" i="1"/>
  <c r="B212" i="2"/>
  <c r="B52" i="1"/>
  <c r="H212" i="2"/>
  <c r="C52" i="1"/>
  <c r="N212" i="2"/>
  <c r="D52" i="1"/>
  <c r="D52" i="11"/>
  <c r="T212" i="2"/>
  <c r="E52" i="1"/>
  <c r="Z212" i="2"/>
  <c r="F52" i="1"/>
  <c r="B222" i="2"/>
  <c r="B54" i="1"/>
  <c r="H222" i="2"/>
  <c r="C54" i="1"/>
  <c r="N222" i="2"/>
  <c r="D54" i="1"/>
  <c r="T222" i="2"/>
  <c r="E54" i="1"/>
  <c r="Z222" i="2"/>
  <c r="F54" i="1"/>
  <c r="B229" i="2"/>
  <c r="B57" i="1"/>
  <c r="H229" i="2"/>
  <c r="C57" i="1"/>
  <c r="N229" i="2"/>
  <c r="D57" i="1"/>
  <c r="T229" i="2"/>
  <c r="E57" i="1"/>
  <c r="Z229" i="2"/>
  <c r="F57" i="1"/>
  <c r="B231" i="2"/>
  <c r="B59" i="1"/>
  <c r="B59" i="11"/>
  <c r="H231" i="2"/>
  <c r="C59" i="1"/>
  <c r="N231" i="2"/>
  <c r="D59" i="1"/>
  <c r="T231" i="2"/>
  <c r="E59" i="1"/>
  <c r="Z231" i="2"/>
  <c r="F59" i="1"/>
  <c r="F59" i="11"/>
  <c r="B241" i="2"/>
  <c r="B60" i="1"/>
  <c r="H241" i="2"/>
  <c r="C60" i="1"/>
  <c r="N241" i="2"/>
  <c r="D60" i="1"/>
  <c r="T241" i="2"/>
  <c r="E60" i="1"/>
  <c r="Z241" i="2"/>
  <c r="F60" i="1"/>
  <c r="B243" i="2"/>
  <c r="B61" i="1"/>
  <c r="H243" i="2"/>
  <c r="C61" i="1"/>
  <c r="N243" i="2"/>
  <c r="D61" i="1"/>
  <c r="T243" i="2"/>
  <c r="E61" i="1"/>
  <c r="Z243" i="2"/>
  <c r="F61" i="1"/>
  <c r="B273" i="2"/>
  <c r="B62" i="1"/>
  <c r="H273" i="2"/>
  <c r="C62" i="1"/>
  <c r="N273" i="2"/>
  <c r="D62" i="1"/>
  <c r="T273" i="2"/>
  <c r="E62" i="1"/>
  <c r="Z273" i="2"/>
  <c r="F62" i="1"/>
  <c r="B277" i="2"/>
  <c r="B63" i="1"/>
  <c r="H277" i="2"/>
  <c r="C63" i="1"/>
  <c r="N277" i="2"/>
  <c r="D63" i="1"/>
  <c r="T277" i="2"/>
  <c r="E63" i="1"/>
  <c r="Z277" i="2"/>
  <c r="F63" i="1"/>
  <c r="B279" i="2"/>
  <c r="B64" i="1"/>
  <c r="H279" i="2"/>
  <c r="C64" i="1"/>
  <c r="N279" i="2"/>
  <c r="D64" i="1"/>
  <c r="T279" i="2"/>
  <c r="E64" i="1"/>
  <c r="Z279" i="2"/>
  <c r="F64" i="1"/>
  <c r="B307" i="2"/>
  <c r="B66" i="1"/>
  <c r="H307" i="2"/>
  <c r="C66" i="1"/>
  <c r="C66" i="11"/>
  <c r="N307" i="2"/>
  <c r="D66" i="1"/>
  <c r="T307" i="2"/>
  <c r="E66" i="1"/>
  <c r="Z307" i="2"/>
  <c r="F66" i="1"/>
  <c r="B215" i="2"/>
  <c r="B68" i="1"/>
  <c r="H215" i="2"/>
  <c r="C68" i="1"/>
  <c r="N215" i="2"/>
  <c r="D68" i="1"/>
  <c r="T215" i="2"/>
  <c r="E68" i="1"/>
  <c r="Z215" i="2"/>
  <c r="F68" i="1"/>
  <c r="B218" i="2"/>
  <c r="B69" i="1"/>
  <c r="H218" i="2"/>
  <c r="C69" i="1"/>
  <c r="N218" i="2"/>
  <c r="D69" i="1"/>
  <c r="T218" i="2"/>
  <c r="E69" i="1"/>
  <c r="Z218" i="2"/>
  <c r="F69" i="1"/>
  <c r="B244" i="2"/>
  <c r="B70" i="1"/>
  <c r="H244" i="2"/>
  <c r="C70" i="1"/>
  <c r="N244" i="2"/>
  <c r="D70" i="1"/>
  <c r="T244" i="2"/>
  <c r="E70" i="1"/>
  <c r="Z244" i="2"/>
  <c r="F70" i="1"/>
  <c r="B255" i="2"/>
  <c r="B71" i="1"/>
  <c r="H255" i="2"/>
  <c r="C71" i="1"/>
  <c r="N255" i="2"/>
  <c r="D71" i="1"/>
  <c r="D71" i="11"/>
  <c r="T255" i="2"/>
  <c r="E71" i="1"/>
  <c r="E71" i="11"/>
  <c r="Z255" i="2"/>
  <c r="F71" i="1"/>
  <c r="B259" i="2"/>
  <c r="B72" i="1"/>
  <c r="H259" i="2"/>
  <c r="C72" i="1"/>
  <c r="N259" i="2"/>
  <c r="D72" i="1"/>
  <c r="T259" i="2"/>
  <c r="E72" i="1"/>
  <c r="Z259" i="2"/>
  <c r="F72" i="1"/>
  <c r="B260" i="2"/>
  <c r="B73" i="1"/>
  <c r="H260" i="2"/>
  <c r="C73" i="1"/>
  <c r="N260" i="2"/>
  <c r="D73" i="1"/>
  <c r="T260" i="2"/>
  <c r="E73" i="1"/>
  <c r="Z260" i="2"/>
  <c r="F73" i="1"/>
  <c r="B266" i="2"/>
  <c r="B74" i="1"/>
  <c r="H266" i="2"/>
  <c r="C74" i="1"/>
  <c r="N266" i="2"/>
  <c r="D74" i="1"/>
  <c r="T266" i="2"/>
  <c r="E74" i="1"/>
  <c r="Z266" i="2"/>
  <c r="F74" i="1"/>
  <c r="B281" i="2"/>
  <c r="B75" i="1"/>
  <c r="H281" i="2"/>
  <c r="C75" i="1"/>
  <c r="N281" i="2"/>
  <c r="D75" i="1"/>
  <c r="T281" i="2"/>
  <c r="E75" i="1"/>
  <c r="Z281" i="2"/>
  <c r="F75" i="1"/>
  <c r="B287" i="2"/>
  <c r="B76" i="1"/>
  <c r="H287" i="2"/>
  <c r="C76" i="1"/>
  <c r="N287" i="2"/>
  <c r="D76" i="1"/>
  <c r="T287" i="2"/>
  <c r="E76" i="1"/>
  <c r="Z287" i="2"/>
  <c r="F76" i="1"/>
  <c r="B292" i="2"/>
  <c r="B77" i="1"/>
  <c r="H292" i="2"/>
  <c r="C77" i="1"/>
  <c r="N292" i="2"/>
  <c r="D77" i="1"/>
  <c r="T292" i="2"/>
  <c r="E77" i="1"/>
  <c r="Z292" i="2"/>
  <c r="F77" i="1"/>
  <c r="B296" i="2"/>
  <c r="B78" i="1"/>
  <c r="H296" i="2"/>
  <c r="C78" i="1"/>
  <c r="N296" i="2"/>
  <c r="D78" i="1"/>
  <c r="T296" i="2"/>
  <c r="E78" i="1"/>
  <c r="Z296" i="2"/>
  <c r="F78" i="1"/>
  <c r="B298" i="2"/>
  <c r="B79" i="1"/>
  <c r="H298" i="2"/>
  <c r="C79" i="1"/>
  <c r="N298" i="2"/>
  <c r="D79" i="1"/>
  <c r="T298" i="2"/>
  <c r="E79" i="1"/>
  <c r="Z298" i="2"/>
  <c r="F79" i="1"/>
  <c r="B308" i="2"/>
  <c r="B80" i="1"/>
  <c r="H308" i="2"/>
  <c r="C80" i="1"/>
  <c r="N308" i="2"/>
  <c r="D80" i="1"/>
  <c r="T308" i="2"/>
  <c r="E80" i="1"/>
  <c r="Z308" i="2"/>
  <c r="F80" i="1"/>
  <c r="B199" i="2"/>
  <c r="B82" i="1"/>
  <c r="H199" i="2"/>
  <c r="C82" i="1"/>
  <c r="N199" i="2"/>
  <c r="D82" i="1"/>
  <c r="T199" i="2"/>
  <c r="E82" i="1"/>
  <c r="Z199" i="2"/>
  <c r="F82" i="1"/>
  <c r="B200" i="2"/>
  <c r="B83" i="1"/>
  <c r="H200" i="2"/>
  <c r="C83" i="1"/>
  <c r="N200" i="2"/>
  <c r="D83" i="1"/>
  <c r="T200" i="2"/>
  <c r="E83" i="1"/>
  <c r="Z200" i="2"/>
  <c r="F83" i="1"/>
  <c r="B202" i="2"/>
  <c r="B84" i="1"/>
  <c r="H202" i="2"/>
  <c r="C84" i="1"/>
  <c r="N202" i="2"/>
  <c r="D84" i="1"/>
  <c r="T202" i="2"/>
  <c r="E84" i="1"/>
  <c r="Z202" i="2"/>
  <c r="F84" i="1"/>
  <c r="B205" i="2"/>
  <c r="B85" i="1"/>
  <c r="H205" i="2"/>
  <c r="C85" i="1"/>
  <c r="N205" i="2"/>
  <c r="D85" i="1"/>
  <c r="T205" i="2"/>
  <c r="E85" i="1"/>
  <c r="Z205" i="2"/>
  <c r="F85" i="1"/>
  <c r="B206" i="2"/>
  <c r="B86" i="1"/>
  <c r="H206" i="2"/>
  <c r="C86" i="1"/>
  <c r="N206" i="2"/>
  <c r="D86" i="1"/>
  <c r="T206" i="2"/>
  <c r="E86" i="1"/>
  <c r="E86" i="11"/>
  <c r="Z206" i="2"/>
  <c r="F86" i="1"/>
  <c r="B208" i="2"/>
  <c r="B88" i="1"/>
  <c r="H208" i="2"/>
  <c r="C88" i="1"/>
  <c r="N208" i="2"/>
  <c r="D88" i="1"/>
  <c r="T208" i="2"/>
  <c r="E88" i="1"/>
  <c r="Z208" i="2"/>
  <c r="F88" i="1"/>
  <c r="B211" i="2"/>
  <c r="B89" i="1"/>
  <c r="H211" i="2"/>
  <c r="C89" i="1"/>
  <c r="N211" i="2"/>
  <c r="D89" i="1"/>
  <c r="D89" i="11"/>
  <c r="T211" i="2"/>
  <c r="E89" i="1"/>
  <c r="Z211" i="2"/>
  <c r="F89" i="1"/>
  <c r="F89" i="11"/>
  <c r="B213" i="2"/>
  <c r="B90" i="1"/>
  <c r="H213" i="2"/>
  <c r="C90" i="1"/>
  <c r="N213" i="2"/>
  <c r="D90" i="1"/>
  <c r="T213" i="2"/>
  <c r="E90" i="1"/>
  <c r="Z213" i="2"/>
  <c r="F90" i="1"/>
  <c r="B217" i="2"/>
  <c r="B91" i="1"/>
  <c r="H217" i="2"/>
  <c r="C91" i="1"/>
  <c r="N217" i="2"/>
  <c r="D91" i="1"/>
  <c r="T217" i="2"/>
  <c r="E91" i="1"/>
  <c r="Z217" i="2"/>
  <c r="F91" i="1"/>
  <c r="B220" i="2"/>
  <c r="B92" i="1"/>
  <c r="H220" i="2"/>
  <c r="C92" i="1"/>
  <c r="N220" i="2"/>
  <c r="D92" i="1"/>
  <c r="T220" i="2"/>
  <c r="E92" i="1"/>
  <c r="Z220" i="2"/>
  <c r="F92" i="1"/>
  <c r="B228" i="2"/>
  <c r="B94" i="1"/>
  <c r="H228" i="2"/>
  <c r="C94" i="1"/>
  <c r="N228" i="2"/>
  <c r="D94" i="1"/>
  <c r="T228" i="2"/>
  <c r="E94" i="1"/>
  <c r="Z228" i="2"/>
  <c r="F94" i="1"/>
  <c r="B233" i="2"/>
  <c r="B95" i="1"/>
  <c r="H233" i="2"/>
  <c r="C95" i="1"/>
  <c r="N233" i="2"/>
  <c r="D95" i="1"/>
  <c r="T233" i="2"/>
  <c r="E95" i="1"/>
  <c r="Z233" i="2"/>
  <c r="F95" i="1"/>
  <c r="B236" i="2"/>
  <c r="B96" i="1"/>
  <c r="H236" i="2"/>
  <c r="C96" i="1"/>
  <c r="N236" i="2"/>
  <c r="D96" i="1"/>
  <c r="T236" i="2"/>
  <c r="E96" i="1"/>
  <c r="Z236" i="2"/>
  <c r="F96" i="1"/>
  <c r="B240" i="2"/>
  <c r="B98" i="1"/>
  <c r="H240" i="2"/>
  <c r="C98" i="1"/>
  <c r="N240" i="2"/>
  <c r="D98" i="1"/>
  <c r="T240" i="2"/>
  <c r="E98" i="1"/>
  <c r="Z240" i="2"/>
  <c r="F98" i="1"/>
  <c r="B242" i="2"/>
  <c r="B99" i="1"/>
  <c r="H242" i="2"/>
  <c r="C99" i="1"/>
  <c r="N242" i="2"/>
  <c r="D99" i="1"/>
  <c r="T242" i="2"/>
  <c r="E99" i="1"/>
  <c r="Z242" i="2"/>
  <c r="F99" i="1"/>
  <c r="B246" i="2"/>
  <c r="B100" i="1"/>
  <c r="H246" i="2"/>
  <c r="C100" i="1"/>
  <c r="N246" i="2"/>
  <c r="D100" i="1"/>
  <c r="T246" i="2"/>
  <c r="E100" i="1"/>
  <c r="Z246" i="2"/>
  <c r="F100" i="1"/>
  <c r="B247" i="2"/>
  <c r="B101" i="1"/>
  <c r="H247" i="2"/>
  <c r="C101" i="1"/>
  <c r="N247" i="2"/>
  <c r="D101" i="1"/>
  <c r="T247" i="2"/>
  <c r="E101" i="1"/>
  <c r="Z247" i="2"/>
  <c r="F101" i="1"/>
  <c r="B249" i="2"/>
  <c r="B102" i="1"/>
  <c r="H249" i="2"/>
  <c r="C102" i="1"/>
  <c r="N249" i="2"/>
  <c r="D102" i="1"/>
  <c r="T249" i="2"/>
  <c r="E102" i="1"/>
  <c r="Z249" i="2"/>
  <c r="F102" i="1"/>
  <c r="B252" i="2"/>
  <c r="B103" i="1"/>
  <c r="H252" i="2"/>
  <c r="C103" i="1"/>
  <c r="N252" i="2"/>
  <c r="D103" i="1"/>
  <c r="T252" i="2"/>
  <c r="E103" i="1"/>
  <c r="Z252" i="2"/>
  <c r="F103" i="1"/>
  <c r="B262" i="2"/>
  <c r="B106" i="1"/>
  <c r="H262" i="2"/>
  <c r="C106" i="1"/>
  <c r="N262" i="2"/>
  <c r="D106" i="1"/>
  <c r="T262" i="2"/>
  <c r="E106" i="1"/>
  <c r="Z262" i="2"/>
  <c r="F106" i="1"/>
  <c r="B264" i="2"/>
  <c r="B107" i="1"/>
  <c r="H264" i="2"/>
  <c r="C107" i="1"/>
  <c r="N264" i="2"/>
  <c r="D107" i="1"/>
  <c r="T264" i="2"/>
  <c r="E107" i="1"/>
  <c r="Z264" i="2"/>
  <c r="F107" i="1"/>
  <c r="B265" i="2"/>
  <c r="B108" i="1"/>
  <c r="H265" i="2"/>
  <c r="C108" i="1"/>
  <c r="N265" i="2"/>
  <c r="D108" i="1"/>
  <c r="T265" i="2"/>
  <c r="E108" i="1"/>
  <c r="Z265" i="2"/>
  <c r="F108" i="1"/>
  <c r="B268" i="2"/>
  <c r="B109" i="1"/>
  <c r="H268" i="2"/>
  <c r="C109" i="1"/>
  <c r="N268" i="2"/>
  <c r="D109" i="1"/>
  <c r="T268" i="2"/>
  <c r="E109" i="1"/>
  <c r="Z268" i="2"/>
  <c r="F109" i="1"/>
  <c r="B269" i="2"/>
  <c r="B110" i="1"/>
  <c r="H269" i="2"/>
  <c r="C110" i="1"/>
  <c r="N269" i="2"/>
  <c r="D110" i="1"/>
  <c r="T269" i="2"/>
  <c r="E110" i="1"/>
  <c r="E110" i="11"/>
  <c r="Z269" i="2"/>
  <c r="F110" i="1"/>
  <c r="B270" i="2"/>
  <c r="B111" i="1"/>
  <c r="B111" i="11"/>
  <c r="H270" i="2"/>
  <c r="C111" i="1"/>
  <c r="N270" i="2"/>
  <c r="D111" i="1"/>
  <c r="T270" i="2"/>
  <c r="E111" i="1"/>
  <c r="Z270" i="2"/>
  <c r="F111" i="1"/>
  <c r="B274" i="2"/>
  <c r="B112" i="1"/>
  <c r="H274" i="2"/>
  <c r="C112" i="1"/>
  <c r="N274" i="2"/>
  <c r="D112" i="1"/>
  <c r="T274" i="2"/>
  <c r="E112" i="1"/>
  <c r="Z274" i="2"/>
  <c r="F112" i="1"/>
  <c r="B275" i="2"/>
  <c r="B113" i="1"/>
  <c r="H275" i="2"/>
  <c r="C113" i="1"/>
  <c r="N275" i="2"/>
  <c r="D113" i="1"/>
  <c r="T275" i="2"/>
  <c r="E113" i="1"/>
  <c r="Z275" i="2"/>
  <c r="F113" i="1"/>
  <c r="B286" i="2"/>
  <c r="B115" i="1"/>
  <c r="H286" i="2"/>
  <c r="C115" i="1"/>
  <c r="N286" i="2"/>
  <c r="D115" i="1"/>
  <c r="T286" i="2"/>
  <c r="E115" i="1"/>
  <c r="Z286" i="2"/>
  <c r="F115" i="1"/>
  <c r="B290" i="2"/>
  <c r="B116" i="1"/>
  <c r="H290" i="2"/>
  <c r="C116" i="1"/>
  <c r="N290" i="2"/>
  <c r="D116" i="1"/>
  <c r="T290" i="2"/>
  <c r="E116" i="1"/>
  <c r="Z290" i="2"/>
  <c r="F116" i="1"/>
  <c r="B297" i="2"/>
  <c r="B118" i="1"/>
  <c r="H297" i="2"/>
  <c r="C118" i="1"/>
  <c r="N297" i="2"/>
  <c r="D118" i="1"/>
  <c r="T297" i="2"/>
  <c r="E118" i="1"/>
  <c r="Z297" i="2"/>
  <c r="F118" i="1"/>
  <c r="B299" i="2"/>
  <c r="B119" i="1"/>
  <c r="H299" i="2"/>
  <c r="C119" i="1"/>
  <c r="N299" i="2"/>
  <c r="D119" i="1"/>
  <c r="T299" i="2"/>
  <c r="E119" i="1"/>
  <c r="Z299" i="2"/>
  <c r="F119" i="1"/>
  <c r="F119" i="11"/>
  <c r="B301" i="2"/>
  <c r="B120" i="1"/>
  <c r="H301" i="2"/>
  <c r="C120" i="1"/>
  <c r="N301" i="2"/>
  <c r="D120" i="1"/>
  <c r="T301" i="2"/>
  <c r="E120" i="1"/>
  <c r="Z301" i="2"/>
  <c r="F120" i="1"/>
  <c r="B302" i="2"/>
  <c r="B121" i="1"/>
  <c r="H302" i="2"/>
  <c r="C121" i="1"/>
  <c r="N302" i="2"/>
  <c r="D121" i="1"/>
  <c r="T302" i="2"/>
  <c r="E121" i="1"/>
  <c r="Z302" i="2"/>
  <c r="F121" i="1"/>
  <c r="B306" i="2"/>
  <c r="B123" i="1"/>
  <c r="H306" i="2"/>
  <c r="C123" i="1"/>
  <c r="N306" i="2"/>
  <c r="D123" i="1"/>
  <c r="T306" i="2"/>
  <c r="E123" i="1"/>
  <c r="Z306" i="2"/>
  <c r="F123" i="1"/>
  <c r="B309" i="2"/>
  <c r="B124" i="1"/>
  <c r="H309" i="2"/>
  <c r="C124" i="1"/>
  <c r="N309" i="2"/>
  <c r="D124" i="1"/>
  <c r="T309" i="2"/>
  <c r="E124" i="1"/>
  <c r="Z309" i="2"/>
  <c r="F124" i="1"/>
  <c r="B310" i="2"/>
  <c r="B125" i="1"/>
  <c r="H310" i="2"/>
  <c r="C125" i="1"/>
  <c r="N310" i="2"/>
  <c r="D125" i="1"/>
  <c r="T310" i="2"/>
  <c r="E125" i="1"/>
  <c r="Z310" i="2"/>
  <c r="F125" i="1"/>
  <c r="C130" i="17"/>
  <c r="I127" i="11"/>
  <c r="B130" i="17"/>
  <c r="W6" i="17"/>
  <c r="W9" i="17"/>
  <c r="B10" i="17"/>
  <c r="B11" i="17"/>
  <c r="B6" i="17"/>
  <c r="D10" i="17"/>
  <c r="B127" i="11"/>
  <c r="N34" i="15"/>
  <c r="O31" i="15"/>
  <c r="J41" i="15"/>
  <c r="X7" i="17"/>
  <c r="X4" i="17"/>
  <c r="X3" i="17"/>
  <c r="X5" i="17"/>
  <c r="X6" i="17"/>
  <c r="X9" i="17"/>
  <c r="C10" i="17"/>
  <c r="I9" i="17"/>
  <c r="R129" i="17"/>
  <c r="E10" i="17"/>
  <c r="C127" i="11"/>
  <c r="G127" i="11"/>
  <c r="T6" i="17"/>
  <c r="T9" i="17"/>
  <c r="U6" i="17"/>
  <c r="U9" i="17"/>
  <c r="V6" i="17"/>
  <c r="V9" i="17"/>
  <c r="S6" i="17"/>
  <c r="S9" i="17"/>
  <c r="B127" i="1"/>
  <c r="D127" i="1"/>
  <c r="E127" i="1"/>
  <c r="B7" i="18"/>
  <c r="F71" i="15"/>
  <c r="F75" i="15"/>
  <c r="B71" i="15"/>
  <c r="B75" i="15"/>
  <c r="F41" i="15"/>
  <c r="F43" i="15"/>
  <c r="F44" i="15"/>
  <c r="F45" i="15"/>
  <c r="F46" i="15"/>
  <c r="F47" i="15"/>
  <c r="F48" i="15"/>
  <c r="F49" i="15"/>
  <c r="F51" i="15"/>
  <c r="F52" i="15"/>
  <c r="F53" i="15"/>
  <c r="F54" i="15"/>
  <c r="F55" i="15"/>
  <c r="F56" i="15"/>
  <c r="F57" i="15"/>
  <c r="F60" i="15"/>
  <c r="F61" i="15"/>
  <c r="F63" i="15"/>
  <c r="F64" i="15"/>
  <c r="F65" i="15"/>
  <c r="F67" i="15"/>
  <c r="F68" i="15"/>
  <c r="F69" i="15"/>
  <c r="F70" i="15"/>
  <c r="F76" i="15"/>
  <c r="B41" i="15"/>
  <c r="B43" i="15"/>
  <c r="B44" i="15"/>
  <c r="B45" i="15"/>
  <c r="B46" i="15"/>
  <c r="B47" i="15"/>
  <c r="B48" i="15"/>
  <c r="B49" i="15"/>
  <c r="B51" i="15"/>
  <c r="B52" i="15"/>
  <c r="B53" i="15"/>
  <c r="B54" i="15"/>
  <c r="B55" i="15"/>
  <c r="B56" i="15"/>
  <c r="B57" i="15"/>
  <c r="B60" i="15"/>
  <c r="B61" i="15"/>
  <c r="B63" i="15"/>
  <c r="B64" i="15"/>
  <c r="B65" i="15"/>
  <c r="B67" i="15"/>
  <c r="B68" i="15"/>
  <c r="B69" i="15"/>
  <c r="B70" i="15"/>
  <c r="C129" i="10"/>
  <c r="I116" i="2"/>
  <c r="D129" i="10"/>
  <c r="E129" i="10"/>
  <c r="F129" i="10"/>
  <c r="C118" i="2"/>
  <c r="I118" i="2"/>
  <c r="O118" i="2"/>
  <c r="AA118" i="2"/>
  <c r="AA180" i="2"/>
  <c r="O119" i="2"/>
  <c r="C120" i="2"/>
  <c r="C182" i="2"/>
  <c r="O120" i="2"/>
  <c r="O182" i="2"/>
  <c r="C121" i="2"/>
  <c r="O121" i="2"/>
  <c r="O183" i="2"/>
  <c r="O122" i="2"/>
  <c r="O184" i="2"/>
  <c r="U122" i="2"/>
  <c r="U184" i="2"/>
  <c r="O123" i="2"/>
  <c r="O185" i="2"/>
  <c r="C128" i="2"/>
  <c r="C190" i="2"/>
  <c r="I127" i="2"/>
  <c r="C124" i="2"/>
  <c r="O124" i="2"/>
  <c r="O186" i="2"/>
  <c r="I129" i="2"/>
  <c r="I191" i="2"/>
  <c r="O129" i="2"/>
  <c r="O191" i="2"/>
  <c r="U129" i="2"/>
  <c r="U191" i="2"/>
  <c r="C127" i="1"/>
  <c r="F127" i="1"/>
  <c r="J46" i="7"/>
  <c r="N46" i="7"/>
  <c r="J71" i="15"/>
  <c r="J75" i="15"/>
  <c r="J43" i="15"/>
  <c r="J44" i="15"/>
  <c r="J45" i="15"/>
  <c r="J46" i="15"/>
  <c r="J47" i="15"/>
  <c r="J48" i="15"/>
  <c r="J49" i="15"/>
  <c r="J51" i="15"/>
  <c r="J52" i="15"/>
  <c r="J53" i="15"/>
  <c r="J54" i="15"/>
  <c r="J55" i="15"/>
  <c r="J56" i="15"/>
  <c r="J57" i="15"/>
  <c r="J60" i="15"/>
  <c r="J61" i="15"/>
  <c r="J63" i="15"/>
  <c r="J64" i="15"/>
  <c r="J65" i="15"/>
  <c r="J67" i="15"/>
  <c r="J68" i="15"/>
  <c r="J69" i="15"/>
  <c r="J70" i="15"/>
  <c r="N41" i="15"/>
  <c r="N43" i="15"/>
  <c r="N44" i="15"/>
  <c r="N45" i="15"/>
  <c r="N46" i="15"/>
  <c r="N47" i="15"/>
  <c r="N48" i="15"/>
  <c r="N49" i="15"/>
  <c r="N51" i="15"/>
  <c r="N52" i="15"/>
  <c r="N53" i="15"/>
  <c r="N54" i="15"/>
  <c r="N55" i="15"/>
  <c r="N56" i="15"/>
  <c r="N57" i="15"/>
  <c r="N60" i="15"/>
  <c r="N61" i="15"/>
  <c r="N63" i="15"/>
  <c r="N64" i="15"/>
  <c r="N65" i="15"/>
  <c r="N67" i="15"/>
  <c r="N68" i="15"/>
  <c r="N69" i="15"/>
  <c r="J4" i="9"/>
  <c r="K4" i="9"/>
  <c r="J9" i="9"/>
  <c r="N4" i="9"/>
  <c r="O4" i="9"/>
  <c r="R4" i="9"/>
  <c r="S9" i="9"/>
  <c r="R9" i="9"/>
  <c r="S4" i="9"/>
  <c r="K3" i="18"/>
  <c r="O3" i="18"/>
  <c r="F10" i="17"/>
  <c r="D127" i="11"/>
  <c r="R128" i="17"/>
  <c r="I121" i="2"/>
  <c r="J8" i="9"/>
  <c r="G10" i="17"/>
  <c r="E127" i="11"/>
  <c r="H10" i="17"/>
  <c r="F127" i="11"/>
  <c r="I7" i="17"/>
  <c r="C119" i="2"/>
  <c r="D125" i="2"/>
  <c r="D136" i="2"/>
  <c r="D134" i="2"/>
  <c r="C123" i="2"/>
  <c r="V125" i="2"/>
  <c r="V134" i="2"/>
  <c r="U121" i="2"/>
  <c r="AA122" i="2"/>
  <c r="AA123" i="2"/>
  <c r="AC123" i="2"/>
  <c r="U127" i="2"/>
  <c r="L128" i="17"/>
  <c r="L129" i="17"/>
  <c r="D130" i="17"/>
  <c r="E130" i="17"/>
  <c r="F4" i="9"/>
  <c r="B114" i="2"/>
  <c r="B176" i="2"/>
  <c r="D114" i="2"/>
  <c r="K11" i="16"/>
  <c r="N5" i="10"/>
  <c r="N4" i="10"/>
  <c r="N5" i="1"/>
  <c r="N4" i="1"/>
  <c r="N129" i="1"/>
  <c r="V5" i="1"/>
  <c r="B33" i="7"/>
  <c r="L129" i="1"/>
  <c r="B148" i="2"/>
  <c r="B4" i="9"/>
  <c r="C4" i="9"/>
  <c r="C9" i="9"/>
  <c r="U128" i="2"/>
  <c r="U124" i="2"/>
  <c r="C129" i="2"/>
  <c r="C191" i="2"/>
  <c r="M8" i="11"/>
  <c r="M9" i="11"/>
  <c r="M14" i="11"/>
  <c r="M18" i="11"/>
  <c r="M22" i="11"/>
  <c r="M27" i="11"/>
  <c r="M30" i="11"/>
  <c r="M31" i="11"/>
  <c r="M34" i="11"/>
  <c r="M35" i="11"/>
  <c r="M36" i="11"/>
  <c r="M49" i="11"/>
  <c r="M67" i="11"/>
  <c r="M81" i="11"/>
  <c r="M127" i="11"/>
  <c r="N127" i="13"/>
  <c r="L127" i="13"/>
  <c r="L127" i="10"/>
  <c r="M125" i="11"/>
  <c r="M124" i="11"/>
  <c r="M123" i="11"/>
  <c r="M122" i="11"/>
  <c r="M121" i="11"/>
  <c r="M120" i="11"/>
  <c r="M119" i="11"/>
  <c r="M118" i="11"/>
  <c r="M117" i="11"/>
  <c r="M116" i="11"/>
  <c r="M115" i="11"/>
  <c r="M114" i="11"/>
  <c r="M113" i="11"/>
  <c r="M112" i="11"/>
  <c r="M111" i="11"/>
  <c r="M110" i="11"/>
  <c r="M109" i="11"/>
  <c r="M108" i="11"/>
  <c r="M107" i="11"/>
  <c r="M106" i="11"/>
  <c r="M105" i="11"/>
  <c r="M104" i="11"/>
  <c r="M103" i="11"/>
  <c r="M102" i="11"/>
  <c r="M101" i="11"/>
  <c r="M100" i="11"/>
  <c r="M99" i="11"/>
  <c r="M98" i="11"/>
  <c r="M97" i="11"/>
  <c r="M96" i="11"/>
  <c r="M95" i="11"/>
  <c r="M94" i="11"/>
  <c r="M93" i="11"/>
  <c r="M92" i="11"/>
  <c r="M91" i="11"/>
  <c r="M90" i="11"/>
  <c r="M89" i="11"/>
  <c r="M88" i="11"/>
  <c r="M87" i="11"/>
  <c r="M86" i="11"/>
  <c r="M85" i="11"/>
  <c r="M84" i="11"/>
  <c r="M83" i="11"/>
  <c r="M82" i="11"/>
  <c r="M80" i="11"/>
  <c r="M79" i="11"/>
  <c r="M78" i="11"/>
  <c r="M77" i="11"/>
  <c r="M76" i="11"/>
  <c r="M75" i="11"/>
  <c r="M74" i="11"/>
  <c r="M73" i="11"/>
  <c r="M72" i="11"/>
  <c r="M71" i="11"/>
  <c r="M70" i="11"/>
  <c r="M69" i="11"/>
  <c r="M68" i="11"/>
  <c r="M66" i="11"/>
  <c r="M65" i="11"/>
  <c r="M64" i="11"/>
  <c r="M63" i="11"/>
  <c r="M62" i="11"/>
  <c r="M61" i="11"/>
  <c r="M60" i="11"/>
  <c r="M59" i="11"/>
  <c r="M58" i="11"/>
  <c r="M57" i="11"/>
  <c r="M56" i="11"/>
  <c r="M55" i="11"/>
  <c r="M54" i="11"/>
  <c r="M53" i="11"/>
  <c r="M52" i="11"/>
  <c r="M51" i="11"/>
  <c r="M50" i="11"/>
  <c r="M48" i="11"/>
  <c r="M47" i="11"/>
  <c r="M46" i="11"/>
  <c r="M45" i="11"/>
  <c r="M44" i="11"/>
  <c r="M43" i="11"/>
  <c r="M42" i="11"/>
  <c r="M41" i="11"/>
  <c r="M40" i="11"/>
  <c r="M39" i="11"/>
  <c r="M38" i="11"/>
  <c r="M37" i="11"/>
  <c r="M33" i="11"/>
  <c r="M32" i="11"/>
  <c r="M29" i="11"/>
  <c r="M28" i="11"/>
  <c r="M26" i="11"/>
  <c r="M25" i="11"/>
  <c r="M24" i="11"/>
  <c r="M23" i="11"/>
  <c r="M21" i="11"/>
  <c r="M20" i="11"/>
  <c r="M19" i="11"/>
  <c r="M17" i="11"/>
  <c r="M16" i="11"/>
  <c r="M15" i="11"/>
  <c r="M13" i="11"/>
  <c r="M12" i="11"/>
  <c r="M11" i="11"/>
  <c r="M10" i="11"/>
  <c r="M7" i="11"/>
  <c r="M6" i="11"/>
  <c r="M5" i="11"/>
  <c r="Z114" i="2"/>
  <c r="AB114" i="2"/>
  <c r="Z141" i="2"/>
  <c r="Z142" i="2"/>
  <c r="Z143" i="2"/>
  <c r="Z145" i="2"/>
  <c r="Z148" i="2"/>
  <c r="Z150" i="2"/>
  <c r="Z151" i="2"/>
  <c r="Z152" i="2"/>
  <c r="Z153" i="2"/>
  <c r="Z155" i="2"/>
  <c r="Z156" i="2"/>
  <c r="Z157" i="2"/>
  <c r="Z160" i="2"/>
  <c r="Z162" i="2"/>
  <c r="Z163" i="2"/>
  <c r="Z164" i="2"/>
  <c r="Z165" i="2"/>
  <c r="Z167" i="2"/>
  <c r="Z171" i="2"/>
  <c r="Z172" i="2"/>
  <c r="Z173" i="2"/>
  <c r="Z174" i="2"/>
  <c r="Z175" i="2"/>
  <c r="Z243" i="14"/>
  <c r="Z239" i="14"/>
  <c r="Z224" i="14"/>
  <c r="Z206" i="14"/>
  <c r="Z190" i="14"/>
  <c r="T243" i="14"/>
  <c r="T239" i="14"/>
  <c r="T224" i="14"/>
  <c r="T206" i="14"/>
  <c r="T190" i="14"/>
  <c r="N243" i="14"/>
  <c r="N239" i="14"/>
  <c r="N224" i="14"/>
  <c r="N206" i="14"/>
  <c r="N190" i="14"/>
  <c r="H243" i="14"/>
  <c r="H239" i="14"/>
  <c r="H224" i="14"/>
  <c r="H206" i="14"/>
  <c r="H190" i="14"/>
  <c r="B190" i="14"/>
  <c r="B206" i="14"/>
  <c r="B224" i="14"/>
  <c r="B239" i="14"/>
  <c r="B243" i="14"/>
  <c r="Z243" i="12"/>
  <c r="Z239" i="12"/>
  <c r="Z224" i="12"/>
  <c r="Z206" i="12"/>
  <c r="Z190" i="12"/>
  <c r="T243" i="12"/>
  <c r="T239" i="12"/>
  <c r="T224" i="12"/>
  <c r="T206" i="12"/>
  <c r="T190" i="12"/>
  <c r="N243" i="12"/>
  <c r="N239" i="12"/>
  <c r="N224" i="12"/>
  <c r="N206" i="12"/>
  <c r="N190" i="12"/>
  <c r="H243" i="12"/>
  <c r="H239" i="12"/>
  <c r="H224" i="12"/>
  <c r="H206" i="12"/>
  <c r="H190" i="12"/>
  <c r="B243" i="12"/>
  <c r="B239" i="12"/>
  <c r="B224" i="12"/>
  <c r="B206" i="12"/>
  <c r="B190" i="12"/>
  <c r="Z304" i="2"/>
  <c r="Z300" i="2"/>
  <c r="Z285" i="2"/>
  <c r="Z267" i="2"/>
  <c r="Z251" i="2"/>
  <c r="T304" i="2"/>
  <c r="T300" i="2"/>
  <c r="T285" i="2"/>
  <c r="T267" i="2"/>
  <c r="T251" i="2"/>
  <c r="N304" i="2"/>
  <c r="N300" i="2"/>
  <c r="N285" i="2"/>
  <c r="N267" i="2"/>
  <c r="N251" i="2"/>
  <c r="H304" i="2"/>
  <c r="H300" i="2"/>
  <c r="H285" i="2"/>
  <c r="H267" i="2"/>
  <c r="H251" i="2"/>
  <c r="B304" i="2"/>
  <c r="B300" i="2"/>
  <c r="B285" i="2"/>
  <c r="B267" i="2"/>
  <c r="B251" i="2"/>
  <c r="AB133" i="14"/>
  <c r="AA133" i="14"/>
  <c r="AB132" i="14"/>
  <c r="AA132" i="14"/>
  <c r="AB131" i="14"/>
  <c r="AA131" i="14"/>
  <c r="V133" i="14"/>
  <c r="U133" i="14"/>
  <c r="V132" i="14"/>
  <c r="U132" i="14"/>
  <c r="V131" i="14"/>
  <c r="U131" i="14"/>
  <c r="P133" i="14"/>
  <c r="O133" i="14"/>
  <c r="P132" i="14"/>
  <c r="O132" i="14"/>
  <c r="P131" i="14"/>
  <c r="O131" i="14"/>
  <c r="J133" i="14"/>
  <c r="I133" i="14"/>
  <c r="J132" i="14"/>
  <c r="I132" i="14"/>
  <c r="J131" i="14"/>
  <c r="I131" i="14"/>
  <c r="D133" i="14"/>
  <c r="C133" i="14"/>
  <c r="D132" i="14"/>
  <c r="C132" i="14"/>
  <c r="D131" i="14"/>
  <c r="C131" i="14"/>
  <c r="AB133" i="12"/>
  <c r="AA133" i="12"/>
  <c r="AB132" i="12"/>
  <c r="AA132" i="12"/>
  <c r="AB131" i="12"/>
  <c r="AA131" i="12"/>
  <c r="V133" i="12"/>
  <c r="U133" i="12"/>
  <c r="V132" i="12"/>
  <c r="U132" i="12"/>
  <c r="V131" i="12"/>
  <c r="U131" i="12"/>
  <c r="P133" i="12"/>
  <c r="O133" i="12"/>
  <c r="P132" i="12"/>
  <c r="O132" i="12"/>
  <c r="P131" i="12"/>
  <c r="O131" i="12"/>
  <c r="J133" i="12"/>
  <c r="I133" i="12"/>
  <c r="J132" i="12"/>
  <c r="I132" i="12"/>
  <c r="J131" i="12"/>
  <c r="I131" i="12"/>
  <c r="D133" i="12"/>
  <c r="C133" i="12"/>
  <c r="D132" i="12"/>
  <c r="C132" i="12"/>
  <c r="D131" i="12"/>
  <c r="C131" i="12"/>
  <c r="AB133" i="2"/>
  <c r="AA133" i="2"/>
  <c r="AB132" i="2"/>
  <c r="AA132" i="2"/>
  <c r="AA131" i="2"/>
  <c r="V133" i="2"/>
  <c r="U133" i="2"/>
  <c r="V132" i="2"/>
  <c r="U132" i="2"/>
  <c r="U131" i="2"/>
  <c r="P133" i="2"/>
  <c r="O133" i="2"/>
  <c r="P132" i="2"/>
  <c r="O132" i="2"/>
  <c r="O131" i="2"/>
  <c r="J133" i="2"/>
  <c r="I133" i="2"/>
  <c r="J132" i="2"/>
  <c r="I132" i="2"/>
  <c r="I131" i="2"/>
  <c r="D133" i="2"/>
  <c r="C133" i="2"/>
  <c r="D132" i="2"/>
  <c r="C132" i="2"/>
  <c r="C131" i="2"/>
  <c r="S4" i="1"/>
  <c r="S8" i="1"/>
  <c r="S9" i="1"/>
  <c r="S14" i="1"/>
  <c r="S18" i="1"/>
  <c r="S22" i="1"/>
  <c r="S27" i="1"/>
  <c r="S30" i="1"/>
  <c r="S31" i="1"/>
  <c r="S36" i="1"/>
  <c r="S49" i="1"/>
  <c r="S67" i="1"/>
  <c r="S81" i="1"/>
  <c r="S127" i="1"/>
  <c r="O11" i="16"/>
  <c r="S11" i="16"/>
  <c r="R11" i="16"/>
  <c r="R18" i="16"/>
  <c r="G11" i="16"/>
  <c r="R17" i="16"/>
  <c r="T114" i="2"/>
  <c r="V114" i="2"/>
  <c r="T176" i="2"/>
  <c r="R66" i="15"/>
  <c r="R62" i="15"/>
  <c r="R59" i="15"/>
  <c r="R58" i="15"/>
  <c r="R50" i="15"/>
  <c r="R77" i="15"/>
  <c r="R42" i="15"/>
  <c r="N66" i="15"/>
  <c r="N62" i="15"/>
  <c r="N59" i="15"/>
  <c r="N58" i="15"/>
  <c r="N50" i="15"/>
  <c r="N42" i="15"/>
  <c r="J66" i="15"/>
  <c r="J62" i="15"/>
  <c r="J59" i="15"/>
  <c r="J58" i="15"/>
  <c r="J77" i="15"/>
  <c r="J50" i="15"/>
  <c r="J42" i="15"/>
  <c r="F66" i="15"/>
  <c r="F62" i="15"/>
  <c r="F59" i="15"/>
  <c r="F58" i="15"/>
  <c r="F50" i="15"/>
  <c r="F77" i="15"/>
  <c r="F42" i="15"/>
  <c r="B66" i="15"/>
  <c r="B62" i="15"/>
  <c r="B59" i="15"/>
  <c r="B58" i="15"/>
  <c r="B77" i="15"/>
  <c r="B50" i="15"/>
  <c r="B42" i="15"/>
  <c r="J34" i="15"/>
  <c r="J73" i="15"/>
  <c r="C3" i="18"/>
  <c r="G3" i="18"/>
  <c r="G8" i="18"/>
  <c r="S3" i="18"/>
  <c r="C7" i="18"/>
  <c r="F7" i="18"/>
  <c r="G7" i="18"/>
  <c r="J7" i="18"/>
  <c r="K7" i="18"/>
  <c r="N7" i="18"/>
  <c r="O7" i="18"/>
  <c r="R7" i="18"/>
  <c r="S7" i="18"/>
  <c r="C11" i="16"/>
  <c r="B18" i="16"/>
  <c r="C18" i="16"/>
  <c r="C15" i="16"/>
  <c r="G15" i="16"/>
  <c r="K15" i="16"/>
  <c r="O15" i="16"/>
  <c r="S15" i="16"/>
  <c r="B34" i="15"/>
  <c r="C34" i="15"/>
  <c r="B73" i="15"/>
  <c r="F34" i="15"/>
  <c r="F73" i="15"/>
  <c r="G34" i="15"/>
  <c r="R34" i="15"/>
  <c r="R73" i="15"/>
  <c r="S34" i="15"/>
  <c r="G4" i="9"/>
  <c r="G9" i="9"/>
  <c r="B8" i="9"/>
  <c r="C8" i="9"/>
  <c r="F8" i="9"/>
  <c r="G8" i="9"/>
  <c r="K8" i="9"/>
  <c r="N8" i="9"/>
  <c r="O8" i="9"/>
  <c r="R8" i="9"/>
  <c r="S8" i="9"/>
  <c r="B28" i="7"/>
  <c r="C28" i="7"/>
  <c r="F28" i="7"/>
  <c r="G28" i="7"/>
  <c r="J28" i="7"/>
  <c r="K28" i="7"/>
  <c r="N28" i="7"/>
  <c r="O28" i="7"/>
  <c r="R28" i="7"/>
  <c r="S28" i="7"/>
  <c r="B29" i="7"/>
  <c r="F29" i="7"/>
  <c r="J29" i="7"/>
  <c r="N29" i="7"/>
  <c r="R29" i="7"/>
  <c r="B30" i="7"/>
  <c r="F30" i="7"/>
  <c r="J30" i="7"/>
  <c r="N30" i="7"/>
  <c r="R30" i="7"/>
  <c r="B31" i="7"/>
  <c r="F31" i="7"/>
  <c r="J31" i="7"/>
  <c r="N31" i="7"/>
  <c r="R31" i="7"/>
  <c r="B32" i="7"/>
  <c r="F32" i="7"/>
  <c r="J32" i="7"/>
  <c r="N32" i="7"/>
  <c r="R32" i="7"/>
  <c r="F33" i="7"/>
  <c r="J33" i="7"/>
  <c r="N33" i="7"/>
  <c r="R33" i="7"/>
  <c r="B34" i="7"/>
  <c r="F34" i="7"/>
  <c r="J34" i="7"/>
  <c r="N34" i="7"/>
  <c r="R34" i="7"/>
  <c r="B35" i="7"/>
  <c r="F35" i="7"/>
  <c r="J35" i="7"/>
  <c r="N35" i="7"/>
  <c r="R35" i="7"/>
  <c r="B36" i="7"/>
  <c r="F36" i="7"/>
  <c r="J36" i="7"/>
  <c r="N36" i="7"/>
  <c r="R36" i="7"/>
  <c r="B37" i="7"/>
  <c r="F37" i="7"/>
  <c r="J37" i="7"/>
  <c r="N37" i="7"/>
  <c r="R37" i="7"/>
  <c r="B38" i="7"/>
  <c r="F38" i="7"/>
  <c r="J38" i="7"/>
  <c r="N38" i="7"/>
  <c r="R38" i="7"/>
  <c r="B39" i="7"/>
  <c r="F39" i="7"/>
  <c r="J39" i="7"/>
  <c r="N39" i="7"/>
  <c r="R39" i="7"/>
  <c r="B40" i="7"/>
  <c r="F40" i="7"/>
  <c r="J40" i="7"/>
  <c r="N40" i="7"/>
  <c r="R40" i="7"/>
  <c r="B41" i="7"/>
  <c r="F41" i="7"/>
  <c r="J41" i="7"/>
  <c r="N41" i="7"/>
  <c r="R41" i="7"/>
  <c r="B42" i="7"/>
  <c r="F42" i="7"/>
  <c r="J42" i="7"/>
  <c r="N42" i="7"/>
  <c r="R42" i="7"/>
  <c r="B43" i="7"/>
  <c r="F43" i="7"/>
  <c r="J43" i="7"/>
  <c r="N43" i="7"/>
  <c r="R43" i="7"/>
  <c r="B44" i="7"/>
  <c r="F44" i="7"/>
  <c r="J44" i="7"/>
  <c r="N44" i="7"/>
  <c r="R44" i="7"/>
  <c r="B45" i="7"/>
  <c r="F45" i="7"/>
  <c r="J45" i="7"/>
  <c r="N45" i="7"/>
  <c r="R45" i="7"/>
  <c r="E3" i="14"/>
  <c r="K3" i="14"/>
  <c r="Q3" i="14"/>
  <c r="W3" i="14"/>
  <c r="AC3" i="14"/>
  <c r="E4" i="14"/>
  <c r="K4" i="14"/>
  <c r="Q4" i="14"/>
  <c r="W4" i="14"/>
  <c r="AC4" i="14"/>
  <c r="E5" i="14"/>
  <c r="K5" i="14"/>
  <c r="Q5" i="14"/>
  <c r="W5" i="14"/>
  <c r="AC5" i="14"/>
  <c r="E9" i="14"/>
  <c r="K9" i="14"/>
  <c r="Q9" i="14"/>
  <c r="W9" i="14"/>
  <c r="AC9" i="14"/>
  <c r="E11" i="14"/>
  <c r="K11" i="14"/>
  <c r="Q11" i="14"/>
  <c r="W11" i="14"/>
  <c r="AC11" i="14"/>
  <c r="E15" i="14"/>
  <c r="K15" i="14"/>
  <c r="Q15" i="14"/>
  <c r="W15" i="14"/>
  <c r="AC15" i="14"/>
  <c r="E16" i="14"/>
  <c r="K16" i="14"/>
  <c r="Q16" i="14"/>
  <c r="W16" i="14"/>
  <c r="AC16" i="14"/>
  <c r="E17" i="14"/>
  <c r="K17" i="14"/>
  <c r="Q17" i="14"/>
  <c r="W17" i="14"/>
  <c r="AC17" i="14"/>
  <c r="E21" i="14"/>
  <c r="K21" i="14"/>
  <c r="Q21" i="14"/>
  <c r="W21" i="14"/>
  <c r="AC21" i="14"/>
  <c r="E22" i="14"/>
  <c r="K22" i="14"/>
  <c r="Q22" i="14"/>
  <c r="W22" i="14"/>
  <c r="AC22" i="14"/>
  <c r="E23" i="14"/>
  <c r="K23" i="14"/>
  <c r="Q23" i="14"/>
  <c r="W23" i="14"/>
  <c r="AC23" i="14"/>
  <c r="E24" i="14"/>
  <c r="K24" i="14"/>
  <c r="Q24" i="14"/>
  <c r="W24" i="14"/>
  <c r="AC24" i="14"/>
  <c r="E25" i="14"/>
  <c r="K25" i="14"/>
  <c r="Q25" i="14"/>
  <c r="W25" i="14"/>
  <c r="AC25" i="14"/>
  <c r="E29" i="14"/>
  <c r="K29" i="14"/>
  <c r="Q29" i="14"/>
  <c r="W29" i="14"/>
  <c r="AC29" i="14"/>
  <c r="E30" i="14"/>
  <c r="K30" i="14"/>
  <c r="Q30" i="14"/>
  <c r="W30" i="14"/>
  <c r="AC30" i="14"/>
  <c r="E31" i="14"/>
  <c r="K31" i="14"/>
  <c r="Q31" i="14"/>
  <c r="W31" i="14"/>
  <c r="AC31" i="14"/>
  <c r="E32" i="14"/>
  <c r="K32" i="14"/>
  <c r="Q32" i="14"/>
  <c r="W32" i="14"/>
  <c r="AC32" i="14"/>
  <c r="E34" i="14"/>
  <c r="K34" i="14"/>
  <c r="Q34" i="14"/>
  <c r="W34" i="14"/>
  <c r="AC34" i="14"/>
  <c r="E35" i="14"/>
  <c r="K35" i="14"/>
  <c r="Q35" i="14"/>
  <c r="W35" i="14"/>
  <c r="AC35" i="14"/>
  <c r="E36" i="14"/>
  <c r="K36" i="14"/>
  <c r="Q36" i="14"/>
  <c r="W36" i="14"/>
  <c r="AC36" i="14"/>
  <c r="E39" i="14"/>
  <c r="K39" i="14"/>
  <c r="Q39" i="14"/>
  <c r="W39" i="14"/>
  <c r="AC39" i="14"/>
  <c r="E40" i="14"/>
  <c r="K40" i="14"/>
  <c r="Q40" i="14"/>
  <c r="W40" i="14"/>
  <c r="AC40" i="14"/>
  <c r="E41" i="14"/>
  <c r="K41" i="14"/>
  <c r="Q41" i="14"/>
  <c r="W41" i="14"/>
  <c r="AC41" i="14"/>
  <c r="E42" i="14"/>
  <c r="K42" i="14"/>
  <c r="Q42" i="14"/>
  <c r="W42" i="14"/>
  <c r="AC42" i="14"/>
  <c r="E44" i="14"/>
  <c r="K44" i="14"/>
  <c r="Q44" i="14"/>
  <c r="W44" i="14"/>
  <c r="AC44" i="14"/>
  <c r="E49" i="14"/>
  <c r="K49" i="14"/>
  <c r="Q49" i="14"/>
  <c r="W49" i="14"/>
  <c r="AC49" i="14"/>
  <c r="E50" i="14"/>
  <c r="K50" i="14"/>
  <c r="Q50" i="14"/>
  <c r="W50" i="14"/>
  <c r="AC50" i="14"/>
  <c r="E51" i="14"/>
  <c r="K51" i="14"/>
  <c r="Q51" i="14"/>
  <c r="W51" i="14"/>
  <c r="AC51" i="14"/>
  <c r="E53" i="14"/>
  <c r="K53" i="14"/>
  <c r="Q53" i="14"/>
  <c r="W53" i="14"/>
  <c r="AC53" i="14"/>
  <c r="E54" i="14"/>
  <c r="K54" i="14"/>
  <c r="Q54" i="14"/>
  <c r="W54" i="14"/>
  <c r="AC54" i="14"/>
  <c r="E55" i="14"/>
  <c r="K55" i="14"/>
  <c r="Q55" i="14"/>
  <c r="W55" i="14"/>
  <c r="AC55" i="14"/>
  <c r="E57" i="14"/>
  <c r="K57" i="14"/>
  <c r="Q57" i="14"/>
  <c r="W57" i="14"/>
  <c r="AC57" i="14"/>
  <c r="E58" i="14"/>
  <c r="K58" i="14"/>
  <c r="Q58" i="14"/>
  <c r="W58" i="14"/>
  <c r="AC58" i="14"/>
  <c r="E61" i="14"/>
  <c r="K61" i="14"/>
  <c r="Q61" i="14"/>
  <c r="W61" i="14"/>
  <c r="AC61" i="14"/>
  <c r="E62" i="14"/>
  <c r="K62" i="14"/>
  <c r="Q62" i="14"/>
  <c r="W62" i="14"/>
  <c r="AC62" i="14"/>
  <c r="B114" i="14"/>
  <c r="C114" i="14"/>
  <c r="E114" i="14"/>
  <c r="D114" i="14"/>
  <c r="H114" i="14"/>
  <c r="I114" i="14"/>
  <c r="K114" i="14"/>
  <c r="J114" i="14"/>
  <c r="N114" i="14"/>
  <c r="O114" i="14"/>
  <c r="Q114" i="14"/>
  <c r="P114" i="14"/>
  <c r="T114" i="14"/>
  <c r="W114" i="14"/>
  <c r="U114" i="14"/>
  <c r="V114" i="14"/>
  <c r="Z114" i="14"/>
  <c r="AA114" i="14"/>
  <c r="AC114" i="14"/>
  <c r="AB114" i="14"/>
  <c r="C116" i="14"/>
  <c r="D116" i="14"/>
  <c r="I116" i="14"/>
  <c r="K116" i="14"/>
  <c r="J116" i="14"/>
  <c r="O116" i="14"/>
  <c r="Q116" i="14"/>
  <c r="P116" i="14"/>
  <c r="U116" i="14"/>
  <c r="V116" i="14"/>
  <c r="AA116" i="14"/>
  <c r="AC116" i="14"/>
  <c r="AB116" i="14"/>
  <c r="E117" i="14"/>
  <c r="K117" i="14"/>
  <c r="Q117" i="14"/>
  <c r="W117" i="14"/>
  <c r="AC117" i="14"/>
  <c r="C118" i="14"/>
  <c r="D118" i="14"/>
  <c r="I118" i="14"/>
  <c r="K118" i="14"/>
  <c r="J118" i="14"/>
  <c r="O118" i="14"/>
  <c r="Q118" i="14"/>
  <c r="P118" i="14"/>
  <c r="U118" i="14"/>
  <c r="W118" i="14"/>
  <c r="V118" i="14"/>
  <c r="AA118" i="14"/>
  <c r="AB118" i="14"/>
  <c r="C119" i="14"/>
  <c r="E119" i="14"/>
  <c r="D119" i="14"/>
  <c r="I119" i="14"/>
  <c r="K119" i="14"/>
  <c r="J119" i="14"/>
  <c r="O119" i="14"/>
  <c r="Q119" i="14"/>
  <c r="P119" i="14"/>
  <c r="U119" i="14"/>
  <c r="W119" i="14"/>
  <c r="V119" i="14"/>
  <c r="AA119" i="14"/>
  <c r="AC119" i="14"/>
  <c r="AB119" i="14"/>
  <c r="C120" i="14"/>
  <c r="E120" i="14"/>
  <c r="D120" i="14"/>
  <c r="I120" i="14"/>
  <c r="K120" i="14"/>
  <c r="J120" i="14"/>
  <c r="O120" i="14"/>
  <c r="Q120" i="14"/>
  <c r="P120" i="14"/>
  <c r="P121" i="14"/>
  <c r="P122" i="14"/>
  <c r="P123" i="14"/>
  <c r="P124" i="14"/>
  <c r="U120" i="14"/>
  <c r="W120" i="14"/>
  <c r="V120" i="14"/>
  <c r="AA120" i="14"/>
  <c r="AC120" i="14"/>
  <c r="AB120" i="14"/>
  <c r="C121" i="14"/>
  <c r="E121" i="14"/>
  <c r="D121" i="14"/>
  <c r="I121" i="14"/>
  <c r="K121" i="14"/>
  <c r="J121" i="14"/>
  <c r="O121" i="14"/>
  <c r="Q121" i="14"/>
  <c r="U121" i="14"/>
  <c r="W121" i="14"/>
  <c r="V121" i="14"/>
  <c r="AA121" i="14"/>
  <c r="AB121" i="14"/>
  <c r="C122" i="14"/>
  <c r="D122" i="14"/>
  <c r="D125" i="14"/>
  <c r="I122" i="14"/>
  <c r="J122" i="14"/>
  <c r="O122" i="14"/>
  <c r="U122" i="14"/>
  <c r="U125" i="14"/>
  <c r="W125" i="14"/>
  <c r="V122" i="14"/>
  <c r="AA122" i="14"/>
  <c r="AB122" i="14"/>
  <c r="C123" i="14"/>
  <c r="E123" i="14"/>
  <c r="D123" i="14"/>
  <c r="I123" i="14"/>
  <c r="K123" i="14"/>
  <c r="J123" i="14"/>
  <c r="O123" i="14"/>
  <c r="Q123" i="14"/>
  <c r="U123" i="14"/>
  <c r="W123" i="14"/>
  <c r="V123" i="14"/>
  <c r="V124" i="14"/>
  <c r="AA123" i="14"/>
  <c r="AC123" i="14"/>
  <c r="AB123" i="14"/>
  <c r="AB124" i="14"/>
  <c r="AB127" i="14"/>
  <c r="AB128" i="14"/>
  <c r="AB129" i="14"/>
  <c r="AB130" i="14"/>
  <c r="C124" i="14"/>
  <c r="D124" i="14"/>
  <c r="I124" i="14"/>
  <c r="J124" i="14"/>
  <c r="O124" i="14"/>
  <c r="U124" i="14"/>
  <c r="AA124" i="14"/>
  <c r="E126" i="14"/>
  <c r="K126" i="14"/>
  <c r="Q126" i="14"/>
  <c r="W126" i="14"/>
  <c r="AC126" i="14"/>
  <c r="C127" i="14"/>
  <c r="C134" i="14"/>
  <c r="E134" i="14"/>
  <c r="E127" i="14"/>
  <c r="D127" i="14"/>
  <c r="D128" i="14"/>
  <c r="D129" i="14"/>
  <c r="D130" i="14"/>
  <c r="I127" i="14"/>
  <c r="J127" i="14"/>
  <c r="O127" i="14"/>
  <c r="Q127" i="14"/>
  <c r="P127" i="14"/>
  <c r="U127" i="14"/>
  <c r="W127" i="14"/>
  <c r="V127" i="14"/>
  <c r="V134" i="14"/>
  <c r="V128" i="14"/>
  <c r="V129" i="14"/>
  <c r="V130" i="14"/>
  <c r="AA127" i="14"/>
  <c r="C128" i="14"/>
  <c r="E128" i="14"/>
  <c r="I128" i="14"/>
  <c r="K128" i="14"/>
  <c r="J128" i="14"/>
  <c r="O128" i="14"/>
  <c r="Q128" i="14"/>
  <c r="P128" i="14"/>
  <c r="U128" i="14"/>
  <c r="W128" i="14"/>
  <c r="AA128" i="14"/>
  <c r="C129" i="14"/>
  <c r="I129" i="14"/>
  <c r="J129" i="14"/>
  <c r="O129" i="14"/>
  <c r="P129" i="14"/>
  <c r="U129" i="14"/>
  <c r="U130" i="14"/>
  <c r="AA129" i="14"/>
  <c r="C130" i="14"/>
  <c r="I130" i="14"/>
  <c r="J130" i="14"/>
  <c r="O130" i="14"/>
  <c r="P130" i="14"/>
  <c r="P134" i="14"/>
  <c r="AA130" i="14"/>
  <c r="E135" i="14"/>
  <c r="K135" i="14"/>
  <c r="Q135" i="14"/>
  <c r="W135" i="14"/>
  <c r="AC135" i="14"/>
  <c r="E3" i="12"/>
  <c r="K3" i="12"/>
  <c r="Q3" i="12"/>
  <c r="W3" i="12"/>
  <c r="AC3" i="12"/>
  <c r="E4" i="12"/>
  <c r="K4" i="12"/>
  <c r="Q4" i="12"/>
  <c r="W4" i="12"/>
  <c r="AC4" i="12"/>
  <c r="E5" i="12"/>
  <c r="K5" i="12"/>
  <c r="Q5" i="12"/>
  <c r="W5" i="12"/>
  <c r="AC5" i="12"/>
  <c r="E9" i="12"/>
  <c r="K9" i="12"/>
  <c r="Q9" i="12"/>
  <c r="W9" i="12"/>
  <c r="AC9" i="12"/>
  <c r="E11" i="12"/>
  <c r="K11" i="12"/>
  <c r="Q11" i="12"/>
  <c r="W11" i="12"/>
  <c r="AC11" i="12"/>
  <c r="E15" i="12"/>
  <c r="K15" i="12"/>
  <c r="Q15" i="12"/>
  <c r="W15" i="12"/>
  <c r="AC15" i="12"/>
  <c r="E16" i="12"/>
  <c r="K16" i="12"/>
  <c r="Q16" i="12"/>
  <c r="W16" i="12"/>
  <c r="AC16" i="12"/>
  <c r="E17" i="12"/>
  <c r="K17" i="12"/>
  <c r="Q17" i="12"/>
  <c r="W17" i="12"/>
  <c r="AC17" i="12"/>
  <c r="E21" i="12"/>
  <c r="K21" i="12"/>
  <c r="Q21" i="12"/>
  <c r="W21" i="12"/>
  <c r="AC21" i="12"/>
  <c r="E22" i="12"/>
  <c r="K22" i="12"/>
  <c r="Q22" i="12"/>
  <c r="W22" i="12"/>
  <c r="AC22" i="12"/>
  <c r="E23" i="12"/>
  <c r="K23" i="12"/>
  <c r="Q23" i="12"/>
  <c r="W23" i="12"/>
  <c r="AC23" i="12"/>
  <c r="E24" i="12"/>
  <c r="K24" i="12"/>
  <c r="Q24" i="12"/>
  <c r="W24" i="12"/>
  <c r="AC24" i="12"/>
  <c r="E25" i="12"/>
  <c r="K25" i="12"/>
  <c r="Q25" i="12"/>
  <c r="W25" i="12"/>
  <c r="AC25" i="12"/>
  <c r="E29" i="12"/>
  <c r="K29" i="12"/>
  <c r="Q29" i="12"/>
  <c r="W29" i="12"/>
  <c r="AC29" i="12"/>
  <c r="E30" i="12"/>
  <c r="K30" i="12"/>
  <c r="Q30" i="12"/>
  <c r="W30" i="12"/>
  <c r="AC30" i="12"/>
  <c r="E31" i="12"/>
  <c r="K31" i="12"/>
  <c r="Q31" i="12"/>
  <c r="W31" i="12"/>
  <c r="AC31" i="12"/>
  <c r="E32" i="12"/>
  <c r="K32" i="12"/>
  <c r="Q32" i="12"/>
  <c r="W32" i="12"/>
  <c r="AC32" i="12"/>
  <c r="E34" i="12"/>
  <c r="K34" i="12"/>
  <c r="Q34" i="12"/>
  <c r="W34" i="12"/>
  <c r="AC34" i="12"/>
  <c r="E35" i="12"/>
  <c r="K35" i="12"/>
  <c r="Q35" i="12"/>
  <c r="W35" i="12"/>
  <c r="AC35" i="12"/>
  <c r="E36" i="12"/>
  <c r="K36" i="12"/>
  <c r="Q36" i="12"/>
  <c r="W36" i="12"/>
  <c r="AC36" i="12"/>
  <c r="E39" i="12"/>
  <c r="K39" i="12"/>
  <c r="Q39" i="12"/>
  <c r="W39" i="12"/>
  <c r="AC39" i="12"/>
  <c r="E40" i="12"/>
  <c r="K40" i="12"/>
  <c r="Q40" i="12"/>
  <c r="W40" i="12"/>
  <c r="AC40" i="12"/>
  <c r="E41" i="12"/>
  <c r="K41" i="12"/>
  <c r="Q41" i="12"/>
  <c r="W41" i="12"/>
  <c r="AC41" i="12"/>
  <c r="E42" i="12"/>
  <c r="K42" i="12"/>
  <c r="Q42" i="12"/>
  <c r="W42" i="12"/>
  <c r="AC42" i="12"/>
  <c r="E44" i="12"/>
  <c r="K44" i="12"/>
  <c r="Q44" i="12"/>
  <c r="W44" i="12"/>
  <c r="AC44" i="12"/>
  <c r="E49" i="12"/>
  <c r="K49" i="12"/>
  <c r="Q49" i="12"/>
  <c r="W49" i="12"/>
  <c r="AC49" i="12"/>
  <c r="E50" i="12"/>
  <c r="K50" i="12"/>
  <c r="Q50" i="12"/>
  <c r="W50" i="12"/>
  <c r="AC50" i="12"/>
  <c r="E51" i="12"/>
  <c r="K51" i="12"/>
  <c r="Q51" i="12"/>
  <c r="W51" i="12"/>
  <c r="AC51" i="12"/>
  <c r="E53" i="12"/>
  <c r="K53" i="12"/>
  <c r="Q53" i="12"/>
  <c r="W53" i="12"/>
  <c r="AC53" i="12"/>
  <c r="E54" i="12"/>
  <c r="K54" i="12"/>
  <c r="Q54" i="12"/>
  <c r="W54" i="12"/>
  <c r="AC54" i="12"/>
  <c r="E55" i="12"/>
  <c r="K55" i="12"/>
  <c r="Q55" i="12"/>
  <c r="W55" i="12"/>
  <c r="AC55" i="12"/>
  <c r="E57" i="12"/>
  <c r="K57" i="12"/>
  <c r="Q57" i="12"/>
  <c r="W57" i="12"/>
  <c r="AC57" i="12"/>
  <c r="E59" i="12"/>
  <c r="K59" i="12"/>
  <c r="Q59" i="12"/>
  <c r="W59" i="12"/>
  <c r="AC59" i="12"/>
  <c r="E62" i="12"/>
  <c r="K62" i="12"/>
  <c r="Q62" i="12"/>
  <c r="W62" i="12"/>
  <c r="AC62" i="12"/>
  <c r="E63" i="12"/>
  <c r="K63" i="12"/>
  <c r="Q63" i="12"/>
  <c r="W63" i="12"/>
  <c r="AC63" i="12"/>
  <c r="B114" i="12"/>
  <c r="C114" i="12"/>
  <c r="E114" i="12"/>
  <c r="D114" i="12"/>
  <c r="H114" i="12"/>
  <c r="I114" i="12"/>
  <c r="K114" i="12"/>
  <c r="J114" i="12"/>
  <c r="N114" i="12"/>
  <c r="O114" i="12"/>
  <c r="Q114" i="12"/>
  <c r="P114" i="12"/>
  <c r="T114" i="12"/>
  <c r="U114" i="12"/>
  <c r="W114" i="12"/>
  <c r="V114" i="12"/>
  <c r="Z114" i="12"/>
  <c r="AA114" i="12"/>
  <c r="AC114" i="12"/>
  <c r="AB114" i="12"/>
  <c r="C116" i="12"/>
  <c r="E116" i="12"/>
  <c r="D116" i="12"/>
  <c r="D136" i="12"/>
  <c r="I116" i="12"/>
  <c r="K116" i="12"/>
  <c r="J116" i="12"/>
  <c r="O116" i="12"/>
  <c r="P116" i="12"/>
  <c r="U116" i="12"/>
  <c r="W116" i="12"/>
  <c r="V116" i="12"/>
  <c r="AA116" i="12"/>
  <c r="AB116" i="12"/>
  <c r="E117" i="12"/>
  <c r="K117" i="12"/>
  <c r="Q117" i="12"/>
  <c r="W117" i="12"/>
  <c r="AC117" i="12"/>
  <c r="C118" i="12"/>
  <c r="D118" i="12"/>
  <c r="D125" i="12"/>
  <c r="I118" i="12"/>
  <c r="J118" i="12"/>
  <c r="O118" i="12"/>
  <c r="P118" i="12"/>
  <c r="P119" i="12"/>
  <c r="P120" i="12"/>
  <c r="P121" i="12"/>
  <c r="P122" i="12"/>
  <c r="P123" i="12"/>
  <c r="P124" i="12"/>
  <c r="Q118" i="12"/>
  <c r="U118" i="12"/>
  <c r="V118" i="12"/>
  <c r="V119" i="12"/>
  <c r="V120" i="12"/>
  <c r="V121" i="12"/>
  <c r="V122" i="12"/>
  <c r="V123" i="12"/>
  <c r="V124" i="12"/>
  <c r="AA118" i="12"/>
  <c r="AC118" i="12"/>
  <c r="AB118" i="12"/>
  <c r="C119" i="12"/>
  <c r="D119" i="12"/>
  <c r="I119" i="12"/>
  <c r="K119" i="12"/>
  <c r="J119" i="12"/>
  <c r="O119" i="12"/>
  <c r="U119" i="12"/>
  <c r="W119" i="12"/>
  <c r="AA119" i="12"/>
  <c r="AC119" i="12"/>
  <c r="AB119" i="12"/>
  <c r="C120" i="12"/>
  <c r="E120" i="12"/>
  <c r="D120" i="12"/>
  <c r="I120" i="12"/>
  <c r="J120" i="12"/>
  <c r="O120" i="12"/>
  <c r="Q120" i="12"/>
  <c r="U120" i="12"/>
  <c r="W120" i="12"/>
  <c r="AA120" i="12"/>
  <c r="AC120" i="12"/>
  <c r="AB120" i="12"/>
  <c r="C121" i="12"/>
  <c r="E121" i="12"/>
  <c r="D121" i="12"/>
  <c r="I121" i="12"/>
  <c r="K121" i="12"/>
  <c r="J121" i="12"/>
  <c r="J125" i="12"/>
  <c r="O121" i="12"/>
  <c r="Q121" i="12"/>
  <c r="U121" i="12"/>
  <c r="W121" i="12"/>
  <c r="AA121" i="12"/>
  <c r="AB121" i="12"/>
  <c r="C122" i="12"/>
  <c r="C123" i="12"/>
  <c r="E123" i="12"/>
  <c r="C124" i="12"/>
  <c r="D122" i="12"/>
  <c r="I122" i="12"/>
  <c r="J122" i="12"/>
  <c r="O122" i="12"/>
  <c r="U122" i="12"/>
  <c r="AA122" i="12"/>
  <c r="AB122" i="12"/>
  <c r="D123" i="12"/>
  <c r="I123" i="12"/>
  <c r="J123" i="12"/>
  <c r="O123" i="12"/>
  <c r="Q123" i="12"/>
  <c r="U123" i="12"/>
  <c r="W123" i="12"/>
  <c r="AA123" i="12"/>
  <c r="AC123" i="12"/>
  <c r="AB123" i="12"/>
  <c r="AB124" i="12"/>
  <c r="D124" i="12"/>
  <c r="I124" i="12"/>
  <c r="J124" i="12"/>
  <c r="O124" i="12"/>
  <c r="U124" i="12"/>
  <c r="AA124" i="12"/>
  <c r="E126" i="12"/>
  <c r="K126" i="12"/>
  <c r="Q126" i="12"/>
  <c r="W126" i="12"/>
  <c r="AC126" i="12"/>
  <c r="C127" i="12"/>
  <c r="D127" i="12"/>
  <c r="D134" i="12"/>
  <c r="D128" i="12"/>
  <c r="D129" i="12"/>
  <c r="I127" i="12"/>
  <c r="K127" i="12"/>
  <c r="J127" i="12"/>
  <c r="O127" i="12"/>
  <c r="O134" i="12"/>
  <c r="P127" i="12"/>
  <c r="P134" i="12"/>
  <c r="U127" i="12"/>
  <c r="W127" i="12"/>
  <c r="V127" i="12"/>
  <c r="V134" i="12"/>
  <c r="AA127" i="12"/>
  <c r="AA134" i="12"/>
  <c r="AB127" i="12"/>
  <c r="C128" i="12"/>
  <c r="E128" i="12"/>
  <c r="I128" i="12"/>
  <c r="K128" i="12"/>
  <c r="J128" i="12"/>
  <c r="J129" i="12"/>
  <c r="J134" i="12"/>
  <c r="O128" i="12"/>
  <c r="Q128" i="12"/>
  <c r="P128" i="12"/>
  <c r="U128" i="12"/>
  <c r="V128" i="12"/>
  <c r="AA128" i="12"/>
  <c r="AC128" i="12"/>
  <c r="AB128" i="12"/>
  <c r="AB129" i="12"/>
  <c r="AB134" i="12"/>
  <c r="C129" i="12"/>
  <c r="I129" i="12"/>
  <c r="O129" i="12"/>
  <c r="Q134" i="12"/>
  <c r="P129" i="12"/>
  <c r="U129" i="12"/>
  <c r="V129" i="12"/>
  <c r="AA129" i="12"/>
  <c r="C130" i="12"/>
  <c r="D130" i="12"/>
  <c r="I130" i="12"/>
  <c r="J130" i="12"/>
  <c r="O130" i="12"/>
  <c r="P130" i="12"/>
  <c r="U130" i="12"/>
  <c r="V130" i="12"/>
  <c r="AA130" i="12"/>
  <c r="AB130" i="12"/>
  <c r="E135" i="12"/>
  <c r="K135" i="12"/>
  <c r="Q135" i="12"/>
  <c r="W135" i="12"/>
  <c r="AC135" i="12"/>
  <c r="E3" i="2"/>
  <c r="E141" i="2"/>
  <c r="K3" i="2"/>
  <c r="K141" i="2"/>
  <c r="Q3" i="2"/>
  <c r="Q141" i="2"/>
  <c r="W3" i="2"/>
  <c r="W141" i="2"/>
  <c r="AC3" i="2"/>
  <c r="AC141" i="2"/>
  <c r="E4" i="2"/>
  <c r="E142" i="2"/>
  <c r="K4" i="2"/>
  <c r="K142" i="2"/>
  <c r="Q4" i="2"/>
  <c r="Q142" i="2"/>
  <c r="W4" i="2"/>
  <c r="W142" i="2"/>
  <c r="AC4" i="2"/>
  <c r="AC142" i="2"/>
  <c r="E5" i="2"/>
  <c r="E143" i="2"/>
  <c r="K5" i="2"/>
  <c r="K143" i="2"/>
  <c r="Q5" i="2"/>
  <c r="Q143" i="2"/>
  <c r="W5" i="2"/>
  <c r="W143" i="2"/>
  <c r="AC5" i="2"/>
  <c r="AC143" i="2"/>
  <c r="E9" i="2"/>
  <c r="E144" i="2"/>
  <c r="K9" i="2"/>
  <c r="K144" i="2"/>
  <c r="Q9" i="2"/>
  <c r="Q144" i="2"/>
  <c r="W9" i="2"/>
  <c r="W144" i="2"/>
  <c r="AC9" i="2"/>
  <c r="AC144" i="2"/>
  <c r="E11" i="2"/>
  <c r="E145" i="2"/>
  <c r="K11" i="2"/>
  <c r="K145" i="2"/>
  <c r="Q11" i="2"/>
  <c r="Q145" i="2"/>
  <c r="W11" i="2"/>
  <c r="W145" i="2"/>
  <c r="AC11" i="2"/>
  <c r="AC145" i="2"/>
  <c r="E15" i="2"/>
  <c r="E146" i="2"/>
  <c r="K15" i="2"/>
  <c r="K146" i="2"/>
  <c r="Q15" i="2"/>
  <c r="Q146" i="2"/>
  <c r="W15" i="2"/>
  <c r="W146" i="2"/>
  <c r="AC15" i="2"/>
  <c r="AC146" i="2"/>
  <c r="E16" i="2"/>
  <c r="E147" i="2"/>
  <c r="K16" i="2"/>
  <c r="K147" i="2"/>
  <c r="Q16" i="2"/>
  <c r="Q147" i="2"/>
  <c r="W16" i="2"/>
  <c r="W147" i="2"/>
  <c r="AC16" i="2"/>
  <c r="AC147" i="2"/>
  <c r="E17" i="2"/>
  <c r="E148" i="2"/>
  <c r="K17" i="2"/>
  <c r="K148" i="2"/>
  <c r="Q17" i="2"/>
  <c r="Q148" i="2"/>
  <c r="W17" i="2"/>
  <c r="W148" i="2"/>
  <c r="AC17" i="2"/>
  <c r="AC148" i="2"/>
  <c r="E21" i="2"/>
  <c r="E149" i="2"/>
  <c r="K21" i="2"/>
  <c r="K149" i="2"/>
  <c r="Q21" i="2"/>
  <c r="Q149" i="2"/>
  <c r="W21" i="2"/>
  <c r="W149" i="2"/>
  <c r="AC21" i="2"/>
  <c r="AC149" i="2"/>
  <c r="E22" i="2"/>
  <c r="E150" i="2"/>
  <c r="K22" i="2"/>
  <c r="K150" i="2"/>
  <c r="Q22" i="2"/>
  <c r="Q150" i="2"/>
  <c r="W22" i="2"/>
  <c r="W150" i="2"/>
  <c r="AC22" i="2"/>
  <c r="AC150" i="2"/>
  <c r="E23" i="2"/>
  <c r="E151" i="2"/>
  <c r="K23" i="2"/>
  <c r="K151" i="2"/>
  <c r="Q23" i="2"/>
  <c r="Q151" i="2"/>
  <c r="W23" i="2"/>
  <c r="W151" i="2"/>
  <c r="AC23" i="2"/>
  <c r="AC151" i="2"/>
  <c r="E24" i="2"/>
  <c r="E152" i="2"/>
  <c r="K24" i="2"/>
  <c r="K152" i="2"/>
  <c r="Q24" i="2"/>
  <c r="Q152" i="2"/>
  <c r="W24" i="2"/>
  <c r="W152" i="2"/>
  <c r="AC24" i="2"/>
  <c r="AC152" i="2"/>
  <c r="E25" i="2"/>
  <c r="E153" i="2"/>
  <c r="K25" i="2"/>
  <c r="K153" i="2"/>
  <c r="Q25" i="2"/>
  <c r="Q153" i="2"/>
  <c r="W25" i="2"/>
  <c r="W153" i="2"/>
  <c r="AC25" i="2"/>
  <c r="AC153" i="2"/>
  <c r="E29" i="2"/>
  <c r="E154" i="2"/>
  <c r="K29" i="2"/>
  <c r="K154" i="2"/>
  <c r="Q29" i="2"/>
  <c r="Q154" i="2"/>
  <c r="W29" i="2"/>
  <c r="W154" i="2"/>
  <c r="AC29" i="2"/>
  <c r="AC154" i="2"/>
  <c r="E30" i="2"/>
  <c r="E155" i="2"/>
  <c r="K30" i="2"/>
  <c r="K155" i="2"/>
  <c r="Q30" i="2"/>
  <c r="Q155" i="2"/>
  <c r="W30" i="2"/>
  <c r="W155" i="2"/>
  <c r="AC30" i="2"/>
  <c r="AC155" i="2"/>
  <c r="E31" i="2"/>
  <c r="E156" i="2"/>
  <c r="K31" i="2"/>
  <c r="K156" i="2"/>
  <c r="Q31" i="2"/>
  <c r="Q156" i="2"/>
  <c r="W31" i="2"/>
  <c r="W156" i="2"/>
  <c r="AC31" i="2"/>
  <c r="AC156" i="2"/>
  <c r="E32" i="2"/>
  <c r="E157" i="2"/>
  <c r="K32" i="2"/>
  <c r="K157" i="2"/>
  <c r="Q32" i="2"/>
  <c r="Q157" i="2"/>
  <c r="W32" i="2"/>
  <c r="W157" i="2"/>
  <c r="AC32" i="2"/>
  <c r="AC157" i="2"/>
  <c r="E34" i="2"/>
  <c r="E158" i="2"/>
  <c r="K34" i="2"/>
  <c r="K158" i="2"/>
  <c r="Q34" i="2"/>
  <c r="Q158" i="2"/>
  <c r="W34" i="2"/>
  <c r="W158" i="2"/>
  <c r="AC34" i="2"/>
  <c r="AC158" i="2"/>
  <c r="E35" i="2"/>
  <c r="E159" i="2"/>
  <c r="K35" i="2"/>
  <c r="K159" i="2"/>
  <c r="Q35" i="2"/>
  <c r="Q159" i="2"/>
  <c r="W35" i="2"/>
  <c r="W159" i="2"/>
  <c r="AC35" i="2"/>
  <c r="AC159" i="2"/>
  <c r="E36" i="2"/>
  <c r="E160" i="2"/>
  <c r="K36" i="2"/>
  <c r="K160" i="2"/>
  <c r="Q36" i="2"/>
  <c r="Q160" i="2"/>
  <c r="W36" i="2"/>
  <c r="W160" i="2"/>
  <c r="AC36" i="2"/>
  <c r="AC160" i="2"/>
  <c r="E39" i="2"/>
  <c r="E161" i="2"/>
  <c r="K39" i="2"/>
  <c r="K161" i="2"/>
  <c r="Q39" i="2"/>
  <c r="Q161" i="2"/>
  <c r="W39" i="2"/>
  <c r="W161" i="2"/>
  <c r="AC39" i="2"/>
  <c r="AC161" i="2"/>
  <c r="E40" i="2"/>
  <c r="E162" i="2"/>
  <c r="K40" i="2"/>
  <c r="K162" i="2"/>
  <c r="Q40" i="2"/>
  <c r="Q162" i="2"/>
  <c r="W40" i="2"/>
  <c r="W162" i="2"/>
  <c r="AC40" i="2"/>
  <c r="AC162" i="2"/>
  <c r="E41" i="2"/>
  <c r="E163" i="2"/>
  <c r="K41" i="2"/>
  <c r="K163" i="2"/>
  <c r="Q41" i="2"/>
  <c r="Q163" i="2"/>
  <c r="W41" i="2"/>
  <c r="W163" i="2"/>
  <c r="AC41" i="2"/>
  <c r="AC163" i="2"/>
  <c r="E42" i="2"/>
  <c r="E164" i="2"/>
  <c r="K42" i="2"/>
  <c r="K164" i="2"/>
  <c r="Q42" i="2"/>
  <c r="Q164" i="2"/>
  <c r="W42" i="2"/>
  <c r="W164" i="2"/>
  <c r="AC42" i="2"/>
  <c r="AC164" i="2"/>
  <c r="E44" i="2"/>
  <c r="E165" i="2"/>
  <c r="K44" i="2"/>
  <c r="K165" i="2"/>
  <c r="Q44" i="2"/>
  <c r="Q165" i="2"/>
  <c r="W44" i="2"/>
  <c r="W165" i="2"/>
  <c r="AC44" i="2"/>
  <c r="AC165" i="2"/>
  <c r="E49" i="2"/>
  <c r="E166" i="2"/>
  <c r="K49" i="2"/>
  <c r="K166" i="2"/>
  <c r="Q49" i="2"/>
  <c r="Q166" i="2"/>
  <c r="W49" i="2"/>
  <c r="W166" i="2"/>
  <c r="AC49" i="2"/>
  <c r="AC166" i="2"/>
  <c r="E50" i="2"/>
  <c r="E167" i="2"/>
  <c r="K50" i="2"/>
  <c r="K167" i="2"/>
  <c r="Q50" i="2"/>
  <c r="Q167" i="2"/>
  <c r="W50" i="2"/>
  <c r="W167" i="2"/>
  <c r="AC50" i="2"/>
  <c r="AC167" i="2"/>
  <c r="E51" i="2"/>
  <c r="E168" i="2"/>
  <c r="K51" i="2"/>
  <c r="K168" i="2"/>
  <c r="Q51" i="2"/>
  <c r="Q168" i="2"/>
  <c r="W51" i="2"/>
  <c r="W168" i="2"/>
  <c r="AC51" i="2"/>
  <c r="AC168" i="2"/>
  <c r="E53" i="2"/>
  <c r="E169" i="2"/>
  <c r="K53" i="2"/>
  <c r="K169" i="2"/>
  <c r="Q53" i="2"/>
  <c r="Q169" i="2"/>
  <c r="W53" i="2"/>
  <c r="W169" i="2"/>
  <c r="AC53" i="2"/>
  <c r="AC169" i="2"/>
  <c r="E54" i="2"/>
  <c r="E170" i="2"/>
  <c r="K54" i="2"/>
  <c r="K170" i="2"/>
  <c r="Q54" i="2"/>
  <c r="Q170" i="2"/>
  <c r="W54" i="2"/>
  <c r="W170" i="2"/>
  <c r="AC54" i="2"/>
  <c r="AC170" i="2"/>
  <c r="E55" i="2"/>
  <c r="E171" i="2"/>
  <c r="K55" i="2"/>
  <c r="K171" i="2"/>
  <c r="Q55" i="2"/>
  <c r="Q171" i="2"/>
  <c r="W55" i="2"/>
  <c r="W171" i="2"/>
  <c r="AC55" i="2"/>
  <c r="AC171" i="2"/>
  <c r="E57" i="2"/>
  <c r="E172" i="2"/>
  <c r="K57" i="2"/>
  <c r="K172" i="2"/>
  <c r="Q57" i="2"/>
  <c r="Q172" i="2"/>
  <c r="W57" i="2"/>
  <c r="W172" i="2"/>
  <c r="AC57" i="2"/>
  <c r="AC172" i="2"/>
  <c r="E59" i="2"/>
  <c r="E173" i="2"/>
  <c r="K59" i="2"/>
  <c r="K173" i="2"/>
  <c r="Q59" i="2"/>
  <c r="Q173" i="2"/>
  <c r="W59" i="2"/>
  <c r="W173" i="2"/>
  <c r="AC59" i="2"/>
  <c r="AC173" i="2"/>
  <c r="E62" i="2"/>
  <c r="E174" i="2"/>
  <c r="K62" i="2"/>
  <c r="K174" i="2"/>
  <c r="Q62" i="2"/>
  <c r="Q174" i="2"/>
  <c r="W62" i="2"/>
  <c r="W174" i="2"/>
  <c r="AC62" i="2"/>
  <c r="AC174" i="2"/>
  <c r="E63" i="2"/>
  <c r="E175" i="2"/>
  <c r="K63" i="2"/>
  <c r="K175" i="2"/>
  <c r="Q63" i="2"/>
  <c r="Q175" i="2"/>
  <c r="W63" i="2"/>
  <c r="W175" i="2"/>
  <c r="AC63" i="2"/>
  <c r="AC175" i="2"/>
  <c r="N114" i="2"/>
  <c r="P114" i="2"/>
  <c r="C114" i="2"/>
  <c r="I114" i="2"/>
  <c r="K114" i="2"/>
  <c r="K176" i="2"/>
  <c r="J114" i="2"/>
  <c r="O114" i="2"/>
  <c r="U114" i="2"/>
  <c r="U176" i="2"/>
  <c r="AA114" i="2"/>
  <c r="AA176" i="2"/>
  <c r="AC114" i="2"/>
  <c r="AC176" i="2"/>
  <c r="C116" i="2"/>
  <c r="K116" i="2"/>
  <c r="K178" i="2"/>
  <c r="O116" i="2"/>
  <c r="U116" i="2"/>
  <c r="AA116" i="2"/>
  <c r="AA178" i="2"/>
  <c r="E117" i="2"/>
  <c r="K117" i="2"/>
  <c r="K179" i="2"/>
  <c r="Q117" i="2"/>
  <c r="Q179" i="2"/>
  <c r="W117" i="2"/>
  <c r="AC117" i="2"/>
  <c r="AC179" i="2"/>
  <c r="U118" i="2"/>
  <c r="AC118" i="2"/>
  <c r="AC180" i="2"/>
  <c r="E119" i="2"/>
  <c r="E181" i="2"/>
  <c r="I119" i="2"/>
  <c r="Q119" i="2"/>
  <c r="Q181" i="2"/>
  <c r="U119" i="2"/>
  <c r="U181" i="2"/>
  <c r="AA119" i="2"/>
  <c r="AC119" i="2"/>
  <c r="AC181" i="2"/>
  <c r="I120" i="2"/>
  <c r="I182" i="2"/>
  <c r="U120" i="2"/>
  <c r="AA120" i="2"/>
  <c r="K121" i="2"/>
  <c r="K183" i="2"/>
  <c r="W121" i="2"/>
  <c r="W183" i="2"/>
  <c r="AA121" i="2"/>
  <c r="AA183" i="2"/>
  <c r="C122" i="2"/>
  <c r="I122" i="2"/>
  <c r="I123" i="2"/>
  <c r="Q123" i="2"/>
  <c r="Q185" i="2"/>
  <c r="U123" i="2"/>
  <c r="AC185" i="2"/>
  <c r="I124" i="2"/>
  <c r="AA124" i="2"/>
  <c r="E126" i="2"/>
  <c r="E188" i="2"/>
  <c r="K126" i="2"/>
  <c r="K188" i="2"/>
  <c r="Q126" i="2"/>
  <c r="W126" i="2"/>
  <c r="W188" i="2"/>
  <c r="AC126" i="2"/>
  <c r="AC188" i="2"/>
  <c r="C127" i="2"/>
  <c r="O127" i="2"/>
  <c r="W127" i="2"/>
  <c r="W189" i="2"/>
  <c r="AA127" i="2"/>
  <c r="AC127" i="2"/>
  <c r="AC189" i="2"/>
  <c r="E128" i="2"/>
  <c r="E190" i="2"/>
  <c r="I128" i="2"/>
  <c r="O128" i="2"/>
  <c r="Q128" i="2"/>
  <c r="Q190" i="2"/>
  <c r="W128" i="2"/>
  <c r="W190" i="2"/>
  <c r="AA128" i="2"/>
  <c r="P134" i="2"/>
  <c r="AA129" i="2"/>
  <c r="AA191" i="2"/>
  <c r="C130" i="2"/>
  <c r="I130" i="2"/>
  <c r="O130" i="2"/>
  <c r="U130" i="2"/>
  <c r="AA130" i="2"/>
  <c r="J134" i="2"/>
  <c r="AB134" i="2"/>
  <c r="E135" i="2"/>
  <c r="E195" i="2"/>
  <c r="K135" i="2"/>
  <c r="K195" i="2"/>
  <c r="Q135" i="2"/>
  <c r="W135" i="2"/>
  <c r="W195" i="2"/>
  <c r="AC135" i="2"/>
  <c r="AC195" i="2"/>
  <c r="B141" i="2"/>
  <c r="C141" i="2"/>
  <c r="H141" i="2"/>
  <c r="I141" i="2"/>
  <c r="N141" i="2"/>
  <c r="O141" i="2"/>
  <c r="T141" i="2"/>
  <c r="U141" i="2"/>
  <c r="AA141" i="2"/>
  <c r="B142" i="2"/>
  <c r="C142" i="2"/>
  <c r="H142" i="2"/>
  <c r="I142" i="2"/>
  <c r="N142" i="2"/>
  <c r="O142" i="2"/>
  <c r="T142" i="2"/>
  <c r="U142" i="2"/>
  <c r="AA142" i="2"/>
  <c r="B143" i="2"/>
  <c r="C143" i="2"/>
  <c r="H143" i="2"/>
  <c r="I143" i="2"/>
  <c r="N143" i="2"/>
  <c r="O143" i="2"/>
  <c r="T143" i="2"/>
  <c r="U143" i="2"/>
  <c r="AA143" i="2"/>
  <c r="B145" i="2"/>
  <c r="C145" i="2"/>
  <c r="H145" i="2"/>
  <c r="I145" i="2"/>
  <c r="N145" i="2"/>
  <c r="O145" i="2"/>
  <c r="T145" i="2"/>
  <c r="U145" i="2"/>
  <c r="AA145" i="2"/>
  <c r="C148" i="2"/>
  <c r="H148" i="2"/>
  <c r="I148" i="2"/>
  <c r="N148" i="2"/>
  <c r="O148" i="2"/>
  <c r="T148" i="2"/>
  <c r="U148" i="2"/>
  <c r="AA148" i="2"/>
  <c r="B150" i="2"/>
  <c r="C150" i="2"/>
  <c r="H150" i="2"/>
  <c r="I150" i="2"/>
  <c r="N150" i="2"/>
  <c r="O150" i="2"/>
  <c r="T150" i="2"/>
  <c r="U150" i="2"/>
  <c r="AA150" i="2"/>
  <c r="B151" i="2"/>
  <c r="C151" i="2"/>
  <c r="H151" i="2"/>
  <c r="I151" i="2"/>
  <c r="N151" i="2"/>
  <c r="O151" i="2"/>
  <c r="T151" i="2"/>
  <c r="U151" i="2"/>
  <c r="AA151" i="2"/>
  <c r="B152" i="2"/>
  <c r="C152" i="2"/>
  <c r="H152" i="2"/>
  <c r="I152" i="2"/>
  <c r="N152" i="2"/>
  <c r="O152" i="2"/>
  <c r="T152" i="2"/>
  <c r="U152" i="2"/>
  <c r="AA152" i="2"/>
  <c r="B153" i="2"/>
  <c r="C153" i="2"/>
  <c r="H153" i="2"/>
  <c r="I153" i="2"/>
  <c r="N153" i="2"/>
  <c r="O153" i="2"/>
  <c r="T153" i="2"/>
  <c r="U153" i="2"/>
  <c r="AA153" i="2"/>
  <c r="B155" i="2"/>
  <c r="C155" i="2"/>
  <c r="H155" i="2"/>
  <c r="I155" i="2"/>
  <c r="N155" i="2"/>
  <c r="O155" i="2"/>
  <c r="T155" i="2"/>
  <c r="U155" i="2"/>
  <c r="AA155" i="2"/>
  <c r="B156" i="2"/>
  <c r="C156" i="2"/>
  <c r="H156" i="2"/>
  <c r="I156" i="2"/>
  <c r="N156" i="2"/>
  <c r="O156" i="2"/>
  <c r="T156" i="2"/>
  <c r="U156" i="2"/>
  <c r="AA156" i="2"/>
  <c r="B157" i="2"/>
  <c r="C157" i="2"/>
  <c r="H157" i="2"/>
  <c r="I157" i="2"/>
  <c r="N157" i="2"/>
  <c r="O157" i="2"/>
  <c r="T157" i="2"/>
  <c r="U157" i="2"/>
  <c r="AA157" i="2"/>
  <c r="B160" i="2"/>
  <c r="C160" i="2"/>
  <c r="H160" i="2"/>
  <c r="I160" i="2"/>
  <c r="N160" i="2"/>
  <c r="O160" i="2"/>
  <c r="T160" i="2"/>
  <c r="U160" i="2"/>
  <c r="AA160" i="2"/>
  <c r="B162" i="2"/>
  <c r="C162" i="2"/>
  <c r="H162" i="2"/>
  <c r="I162" i="2"/>
  <c r="N162" i="2"/>
  <c r="O162" i="2"/>
  <c r="T162" i="2"/>
  <c r="U162" i="2"/>
  <c r="AA162" i="2"/>
  <c r="B163" i="2"/>
  <c r="C163" i="2"/>
  <c r="H163" i="2"/>
  <c r="I163" i="2"/>
  <c r="N163" i="2"/>
  <c r="O163" i="2"/>
  <c r="T163" i="2"/>
  <c r="U163" i="2"/>
  <c r="AA163" i="2"/>
  <c r="B164" i="2"/>
  <c r="C164" i="2"/>
  <c r="H164" i="2"/>
  <c r="I164" i="2"/>
  <c r="N164" i="2"/>
  <c r="O164" i="2"/>
  <c r="T164" i="2"/>
  <c r="U164" i="2"/>
  <c r="AA164" i="2"/>
  <c r="B165" i="2"/>
  <c r="C165" i="2"/>
  <c r="H165" i="2"/>
  <c r="I165" i="2"/>
  <c r="N165" i="2"/>
  <c r="O165" i="2"/>
  <c r="T165" i="2"/>
  <c r="U165" i="2"/>
  <c r="AA165" i="2"/>
  <c r="B167" i="2"/>
  <c r="C167" i="2"/>
  <c r="H167" i="2"/>
  <c r="I167" i="2"/>
  <c r="N167" i="2"/>
  <c r="O167" i="2"/>
  <c r="T167" i="2"/>
  <c r="U167" i="2"/>
  <c r="AA167" i="2"/>
  <c r="B171" i="2"/>
  <c r="C171" i="2"/>
  <c r="H171" i="2"/>
  <c r="I171" i="2"/>
  <c r="N171" i="2"/>
  <c r="O171" i="2"/>
  <c r="T171" i="2"/>
  <c r="U171" i="2"/>
  <c r="AA171" i="2"/>
  <c r="B172" i="2"/>
  <c r="C172" i="2"/>
  <c r="H172" i="2"/>
  <c r="I172" i="2"/>
  <c r="N172" i="2"/>
  <c r="O172" i="2"/>
  <c r="T172" i="2"/>
  <c r="U172" i="2"/>
  <c r="AA172" i="2"/>
  <c r="B173" i="2"/>
  <c r="C173" i="2"/>
  <c r="H173" i="2"/>
  <c r="I173" i="2"/>
  <c r="N173" i="2"/>
  <c r="O173" i="2"/>
  <c r="T173" i="2"/>
  <c r="U173" i="2"/>
  <c r="AA173" i="2"/>
  <c r="B174" i="2"/>
  <c r="C174" i="2"/>
  <c r="H174" i="2"/>
  <c r="I174" i="2"/>
  <c r="N174" i="2"/>
  <c r="O174" i="2"/>
  <c r="T174" i="2"/>
  <c r="U174" i="2"/>
  <c r="AA174" i="2"/>
  <c r="B175" i="2"/>
  <c r="C175" i="2"/>
  <c r="H175" i="2"/>
  <c r="I175" i="2"/>
  <c r="N175" i="2"/>
  <c r="O175" i="2"/>
  <c r="T175" i="2"/>
  <c r="U175" i="2"/>
  <c r="AA175" i="2"/>
  <c r="E177" i="2"/>
  <c r="K177" i="2"/>
  <c r="Q177" i="2"/>
  <c r="W177" i="2"/>
  <c r="AC177" i="2"/>
  <c r="E179" i="2"/>
  <c r="W179" i="2"/>
  <c r="Q188" i="2"/>
  <c r="Q195" i="2"/>
  <c r="AB125" i="2"/>
  <c r="P125" i="2"/>
  <c r="P136" i="2"/>
  <c r="W116" i="14"/>
  <c r="AC121" i="14"/>
  <c r="E123" i="2"/>
  <c r="E185" i="2"/>
  <c r="E120" i="2"/>
  <c r="E182" i="2"/>
  <c r="AA181" i="2"/>
  <c r="K9" i="9"/>
  <c r="B9" i="9"/>
  <c r="R46" i="7"/>
  <c r="B46" i="7"/>
  <c r="O125" i="2"/>
  <c r="Q125" i="2"/>
  <c r="AC116" i="2"/>
  <c r="AC178" i="2"/>
  <c r="E116" i="14"/>
  <c r="J125" i="2"/>
  <c r="J136" i="2"/>
  <c r="K127" i="2"/>
  <c r="K189" i="2"/>
  <c r="AC121" i="2"/>
  <c r="AC183" i="2"/>
  <c r="K118" i="12"/>
  <c r="K120" i="2"/>
  <c r="K182" i="2"/>
  <c r="Z134" i="12"/>
  <c r="H114" i="2"/>
  <c r="H176" i="2"/>
  <c r="E121" i="2"/>
  <c r="E183" i="2"/>
  <c r="K119" i="2"/>
  <c r="K181" i="2"/>
  <c r="AC134" i="12"/>
  <c r="AC127" i="12"/>
  <c r="AC120" i="2"/>
  <c r="AC182" i="2"/>
  <c r="K127" i="14"/>
  <c r="AC128" i="14"/>
  <c r="I125" i="14"/>
  <c r="V6" i="1"/>
  <c r="Q187" i="2"/>
  <c r="Z125" i="12"/>
  <c r="F130" i="10"/>
  <c r="F127" i="10"/>
  <c r="AA185" i="2"/>
  <c r="AA189" i="2"/>
  <c r="Z125" i="2"/>
  <c r="Z187" i="2"/>
  <c r="AA186" i="2"/>
  <c r="F131" i="1"/>
  <c r="F4" i="11"/>
  <c r="AA184" i="2"/>
  <c r="Z134" i="2"/>
  <c r="Z134" i="14"/>
  <c r="F129" i="13"/>
  <c r="F127" i="13"/>
  <c r="F130" i="13"/>
  <c r="Z125" i="14"/>
  <c r="Z136" i="14"/>
  <c r="F131" i="13"/>
  <c r="N18" i="16"/>
  <c r="G18" i="16"/>
  <c r="F18" i="16"/>
  <c r="O18" i="16"/>
  <c r="F46" i="7"/>
  <c r="J18" i="16"/>
  <c r="C185" i="2"/>
  <c r="N125" i="12"/>
  <c r="C181" i="2"/>
  <c r="N73" i="15"/>
  <c r="I8" i="17"/>
  <c r="F8" i="18"/>
  <c r="N125" i="14"/>
  <c r="N134" i="12"/>
  <c r="N125" i="2"/>
  <c r="Z136" i="2"/>
  <c r="C6" i="17"/>
  <c r="C11" i="17"/>
  <c r="I35" i="11"/>
  <c r="I91" i="11"/>
  <c r="I53" i="11"/>
  <c r="I39" i="11"/>
  <c r="I7" i="11"/>
  <c r="O32" i="15"/>
  <c r="T125" i="14"/>
  <c r="T134" i="14"/>
  <c r="E31" i="10"/>
  <c r="T134" i="12"/>
  <c r="E8" i="10"/>
  <c r="T125" i="2"/>
  <c r="T189" i="2"/>
  <c r="E31" i="1"/>
  <c r="T134" i="2"/>
  <c r="T136" i="2"/>
  <c r="T194" i="2"/>
  <c r="T178" i="2"/>
  <c r="E4" i="1"/>
  <c r="E49" i="11"/>
  <c r="E22" i="11"/>
  <c r="E35" i="11"/>
  <c r="W114" i="2"/>
  <c r="W176" i="2"/>
  <c r="E27" i="11"/>
  <c r="N11" i="17"/>
  <c r="I25" i="17"/>
  <c r="B76" i="15"/>
  <c r="K18" i="16"/>
  <c r="G29" i="17"/>
  <c r="O8" i="18"/>
  <c r="N8" i="18"/>
  <c r="F29" i="17"/>
  <c r="J8" i="18"/>
  <c r="K8" i="18"/>
  <c r="B130" i="13"/>
  <c r="B134" i="14"/>
  <c r="B131" i="13"/>
  <c r="I10" i="17"/>
  <c r="B131" i="10"/>
  <c r="B134" i="2"/>
  <c r="B194" i="2"/>
  <c r="C183" i="2"/>
  <c r="C184" i="2"/>
  <c r="C186" i="2"/>
  <c r="B34" i="11"/>
  <c r="B127" i="13"/>
  <c r="G87" i="13"/>
  <c r="B125" i="14"/>
  <c r="G64" i="13"/>
  <c r="G7" i="13"/>
  <c r="G22" i="13"/>
  <c r="D129" i="13"/>
  <c r="D31" i="13"/>
  <c r="N134" i="14"/>
  <c r="N136" i="14"/>
  <c r="H7" i="13"/>
  <c r="M7" i="13"/>
  <c r="O7" i="13"/>
  <c r="P7" i="13"/>
  <c r="E131" i="13"/>
  <c r="E130" i="13"/>
  <c r="E4" i="13"/>
  <c r="G35" i="13"/>
  <c r="B127" i="10"/>
  <c r="G9" i="10"/>
  <c r="B130" i="10"/>
  <c r="B125" i="12"/>
  <c r="B134" i="12"/>
  <c r="B15" i="11"/>
  <c r="B36" i="11"/>
  <c r="B4" i="11"/>
  <c r="H27" i="10"/>
  <c r="M27" i="10"/>
  <c r="O27" i="10"/>
  <c r="P27" i="10"/>
  <c r="H4" i="10"/>
  <c r="M4" i="10"/>
  <c r="O4" i="10"/>
  <c r="P4" i="10"/>
  <c r="G4" i="10"/>
  <c r="G129" i="10"/>
  <c r="B22" i="11"/>
  <c r="G27" i="10"/>
  <c r="H35" i="10"/>
  <c r="M35" i="10"/>
  <c r="O35" i="10"/>
  <c r="P35" i="10"/>
  <c r="D131" i="10"/>
  <c r="D127" i="10"/>
  <c r="C11" i="11"/>
  <c r="D46" i="11"/>
  <c r="E14" i="10"/>
  <c r="T125" i="12"/>
  <c r="T136" i="12"/>
  <c r="E34" i="11"/>
  <c r="B35" i="11"/>
  <c r="B117" i="11"/>
  <c r="B185" i="2"/>
  <c r="B27" i="1"/>
  <c r="B181" i="2"/>
  <c r="B9" i="1"/>
  <c r="B9" i="11"/>
  <c r="I176" i="2"/>
  <c r="H182" i="2"/>
  <c r="C14" i="1"/>
  <c r="O187" i="2"/>
  <c r="N187" i="2"/>
  <c r="N136" i="2"/>
  <c r="N196" i="2"/>
  <c r="N134" i="2"/>
  <c r="N194" i="2"/>
  <c r="N185" i="2"/>
  <c r="D27" i="1"/>
  <c r="O180" i="2"/>
  <c r="O181" i="2"/>
  <c r="D35" i="11"/>
  <c r="D34" i="11"/>
  <c r="O190" i="2"/>
  <c r="D9" i="11"/>
  <c r="E131" i="1"/>
  <c r="G3" i="17"/>
  <c r="E4" i="11"/>
  <c r="T190" i="2"/>
  <c r="E30" i="1"/>
  <c r="U190" i="2"/>
  <c r="U180" i="2"/>
  <c r="T180" i="2"/>
  <c r="E8" i="1"/>
  <c r="T186" i="2"/>
  <c r="E36" i="1"/>
  <c r="E36" i="11"/>
  <c r="U186" i="2"/>
  <c r="T193" i="2"/>
  <c r="E81" i="1"/>
  <c r="E81" i="11"/>
  <c r="T183" i="2"/>
  <c r="E18" i="1"/>
  <c r="I110" i="11"/>
  <c r="I111" i="11"/>
  <c r="I98" i="11"/>
  <c r="I18" i="1"/>
  <c r="E31" i="11"/>
  <c r="E116" i="2"/>
  <c r="E178" i="2"/>
  <c r="U134" i="12"/>
  <c r="W134" i="12"/>
  <c r="W128" i="12"/>
  <c r="I134" i="14"/>
  <c r="K134" i="14"/>
  <c r="AA134" i="2"/>
  <c r="AC134" i="2"/>
  <c r="AC194" i="2"/>
  <c r="AA190" i="2"/>
  <c r="AC128" i="2"/>
  <c r="AC190" i="2"/>
  <c r="N176" i="2"/>
  <c r="AA182" i="2"/>
  <c r="S18" i="16"/>
  <c r="F9" i="9"/>
  <c r="I134" i="2"/>
  <c r="K128" i="2"/>
  <c r="K190" i="2"/>
  <c r="K123" i="2"/>
  <c r="K185" i="2"/>
  <c r="I185" i="2"/>
  <c r="C134" i="12"/>
  <c r="E134" i="12"/>
  <c r="E127" i="12"/>
  <c r="AC121" i="12"/>
  <c r="K120" i="12"/>
  <c r="E118" i="12"/>
  <c r="Q116" i="12"/>
  <c r="U134" i="14"/>
  <c r="W134" i="14"/>
  <c r="AC127" i="14"/>
  <c r="AA134" i="14"/>
  <c r="AC134" i="14"/>
  <c r="O134" i="14"/>
  <c r="Q134" i="14"/>
  <c r="AB134" i="14"/>
  <c r="N136" i="12"/>
  <c r="C178" i="2"/>
  <c r="K125" i="14"/>
  <c r="I136" i="14"/>
  <c r="K136" i="14"/>
  <c r="W119" i="2"/>
  <c r="W181" i="2"/>
  <c r="E114" i="2"/>
  <c r="E176" i="2"/>
  <c r="C176" i="2"/>
  <c r="J136" i="12"/>
  <c r="AC118" i="14"/>
  <c r="AA125" i="14"/>
  <c r="S8" i="18"/>
  <c r="R8" i="18"/>
  <c r="Z176" i="2"/>
  <c r="C125" i="2"/>
  <c r="Q118" i="2"/>
  <c r="Q180" i="2"/>
  <c r="Q121" i="2"/>
  <c r="Q183" i="2"/>
  <c r="Q120" i="2"/>
  <c r="Q182" i="2"/>
  <c r="H70" i="13"/>
  <c r="J70" i="13"/>
  <c r="K70" i="13"/>
  <c r="H3" i="17"/>
  <c r="F9" i="11"/>
  <c r="H9" i="10"/>
  <c r="M9" i="10"/>
  <c r="O9" i="10"/>
  <c r="P9" i="10"/>
  <c r="B67" i="11"/>
  <c r="B30" i="11"/>
  <c r="F27" i="11"/>
  <c r="D3" i="17"/>
  <c r="N193" i="2"/>
  <c r="D81" i="1"/>
  <c r="D81" i="11"/>
  <c r="N184" i="2"/>
  <c r="D22" i="1"/>
  <c r="N180" i="2"/>
  <c r="D8" i="1"/>
  <c r="D8" i="11"/>
  <c r="B27" i="11"/>
  <c r="N191" i="2"/>
  <c r="D49" i="1"/>
  <c r="D49" i="11"/>
  <c r="N190" i="2"/>
  <c r="D30" i="1"/>
  <c r="D30" i="11"/>
  <c r="D18" i="11"/>
  <c r="N192" i="2"/>
  <c r="D67" i="1"/>
  <c r="N189" i="2"/>
  <c r="D31" i="1"/>
  <c r="D31" i="11"/>
  <c r="N186" i="2"/>
  <c r="D36" i="1"/>
  <c r="N182" i="2"/>
  <c r="D14" i="1"/>
  <c r="D14" i="11"/>
  <c r="B18" i="11"/>
  <c r="N178" i="2"/>
  <c r="D4" i="1"/>
  <c r="C29" i="17"/>
  <c r="B136" i="14"/>
  <c r="B136" i="12"/>
  <c r="D131" i="13"/>
  <c r="E129" i="13"/>
  <c r="E127" i="13"/>
  <c r="H129" i="10"/>
  <c r="J35" i="10"/>
  <c r="K35" i="10"/>
  <c r="H14" i="10"/>
  <c r="M14" i="10"/>
  <c r="O14" i="10"/>
  <c r="P14" i="10"/>
  <c r="E127" i="10"/>
  <c r="E130" i="10"/>
  <c r="E18" i="11"/>
  <c r="D4" i="11"/>
  <c r="D131" i="1"/>
  <c r="K134" i="2"/>
  <c r="K194" i="2"/>
  <c r="F3" i="17"/>
  <c r="AC125" i="14"/>
  <c r="AA136" i="14"/>
  <c r="AC136" i="14"/>
  <c r="AA194" i="2"/>
  <c r="E125" i="2"/>
  <c r="E187" i="2"/>
  <c r="C105" i="11"/>
  <c r="D93" i="11"/>
  <c r="E124" i="11"/>
  <c r="B99" i="11"/>
  <c r="G99" i="11"/>
  <c r="E79" i="11"/>
  <c r="D33" i="11"/>
  <c r="B28" i="11"/>
  <c r="D25" i="11"/>
  <c r="F104" i="11"/>
  <c r="E76" i="11"/>
  <c r="B46" i="11"/>
  <c r="F32" i="11"/>
  <c r="H4" i="1"/>
  <c r="C104" i="11"/>
  <c r="F102" i="11"/>
  <c r="E97" i="11"/>
  <c r="D80" i="11"/>
  <c r="D72" i="11"/>
  <c r="F51" i="11"/>
  <c r="D21" i="11"/>
  <c r="B17" i="11"/>
  <c r="C5" i="11"/>
  <c r="H104" i="13"/>
  <c r="M104" i="13"/>
  <c r="O104" i="13"/>
  <c r="P104" i="13"/>
  <c r="G78" i="13"/>
  <c r="G119" i="13"/>
  <c r="G93" i="13"/>
  <c r="H93" i="13"/>
  <c r="M93" i="13"/>
  <c r="O93" i="13"/>
  <c r="P93" i="13"/>
  <c r="H91" i="13"/>
  <c r="M91" i="13"/>
  <c r="O91" i="13"/>
  <c r="P91" i="13"/>
  <c r="G91" i="13"/>
  <c r="H72" i="13"/>
  <c r="M72" i="13"/>
  <c r="O72" i="13"/>
  <c r="P72" i="13"/>
  <c r="G72" i="13"/>
  <c r="H114" i="13"/>
  <c r="M114" i="13"/>
  <c r="O114" i="13"/>
  <c r="P114" i="13"/>
  <c r="G20" i="13"/>
  <c r="H28" i="13"/>
  <c r="J28" i="13"/>
  <c r="K28" i="13"/>
  <c r="G85" i="13"/>
  <c r="G65" i="13"/>
  <c r="H30" i="13"/>
  <c r="M30" i="13"/>
  <c r="O30" i="13"/>
  <c r="P30" i="13"/>
  <c r="G124" i="13"/>
  <c r="J56" i="13"/>
  <c r="K56" i="13"/>
  <c r="M56" i="13"/>
  <c r="O56" i="13"/>
  <c r="P56" i="13"/>
  <c r="G67" i="13"/>
  <c r="H6" i="13"/>
  <c r="M6" i="13"/>
  <c r="O6" i="13"/>
  <c r="P6" i="13"/>
  <c r="G79" i="13"/>
  <c r="J124" i="13"/>
  <c r="K124" i="13"/>
  <c r="H25" i="13"/>
  <c r="J25" i="13"/>
  <c r="K25" i="13"/>
  <c r="G105" i="13"/>
  <c r="H108" i="13"/>
  <c r="M108" i="13"/>
  <c r="O108" i="13"/>
  <c r="P108" i="13"/>
  <c r="M70" i="13"/>
  <c r="O70" i="13"/>
  <c r="P70" i="13"/>
  <c r="H14" i="13"/>
  <c r="M14" i="13"/>
  <c r="O14" i="13"/>
  <c r="P14" i="13"/>
  <c r="H88" i="13"/>
  <c r="H83" i="13"/>
  <c r="M83" i="13"/>
  <c r="O83" i="13"/>
  <c r="P83" i="13"/>
  <c r="M84" i="13"/>
  <c r="O84" i="13"/>
  <c r="P84" i="13"/>
  <c r="J84" i="13"/>
  <c r="K84" i="13"/>
  <c r="H32" i="13"/>
  <c r="M32" i="13"/>
  <c r="O32" i="13"/>
  <c r="P32" i="13"/>
  <c r="G32" i="13"/>
  <c r="J79" i="13"/>
  <c r="K79" i="13"/>
  <c r="H80" i="13"/>
  <c r="M80" i="13"/>
  <c r="O80" i="13"/>
  <c r="P80" i="13"/>
  <c r="G74" i="13"/>
  <c r="G117" i="13"/>
  <c r="G57" i="13"/>
  <c r="G84" i="13"/>
  <c r="H61" i="13"/>
  <c r="M61" i="13"/>
  <c r="O61" i="13"/>
  <c r="P61" i="13"/>
  <c r="G23" i="13"/>
  <c r="J93" i="13"/>
  <c r="K93" i="13"/>
  <c r="J104" i="13"/>
  <c r="K104" i="13"/>
  <c r="H17" i="13"/>
  <c r="M17" i="13"/>
  <c r="O17" i="13"/>
  <c r="P17" i="13"/>
  <c r="G19" i="13"/>
  <c r="H113" i="13"/>
  <c r="M113" i="13"/>
  <c r="O113" i="13"/>
  <c r="P113" i="13"/>
  <c r="H89" i="13"/>
  <c r="M89" i="13"/>
  <c r="O89" i="13"/>
  <c r="P89" i="13"/>
  <c r="G76" i="13"/>
  <c r="G68" i="13"/>
  <c r="G13" i="13"/>
  <c r="H13" i="13"/>
  <c r="M13" i="13"/>
  <c r="O13" i="13"/>
  <c r="P13" i="13"/>
  <c r="G33" i="13"/>
  <c r="H33" i="13"/>
  <c r="M33" i="13"/>
  <c r="O33" i="13"/>
  <c r="P33" i="13"/>
  <c r="G100" i="13"/>
  <c r="H100" i="13"/>
  <c r="J96" i="13"/>
  <c r="K96" i="13"/>
  <c r="M96" i="13"/>
  <c r="O96" i="13"/>
  <c r="P96" i="13"/>
  <c r="H40" i="13"/>
  <c r="M40" i="13"/>
  <c r="O40" i="13"/>
  <c r="P40" i="13"/>
  <c r="G40" i="13"/>
  <c r="H66" i="13"/>
  <c r="G66" i="13"/>
  <c r="H18" i="13"/>
  <c r="M18" i="13"/>
  <c r="O18" i="13"/>
  <c r="P18" i="13"/>
  <c r="G18" i="13"/>
  <c r="H8" i="13"/>
  <c r="M8" i="13"/>
  <c r="O8" i="13"/>
  <c r="P8" i="13"/>
  <c r="G8" i="13"/>
  <c r="G102" i="13"/>
  <c r="H102" i="13"/>
  <c r="M102" i="13"/>
  <c r="O102" i="13"/>
  <c r="P102" i="13"/>
  <c r="H42" i="13"/>
  <c r="G42" i="13"/>
  <c r="G27" i="13"/>
  <c r="H27" i="13"/>
  <c r="M27" i="13"/>
  <c r="O27" i="13"/>
  <c r="P27" i="13"/>
  <c r="H44" i="13"/>
  <c r="J44" i="13"/>
  <c r="K44" i="13"/>
  <c r="G44" i="13"/>
  <c r="G34" i="13"/>
  <c r="G131" i="13"/>
  <c r="H34" i="13"/>
  <c r="M34" i="13"/>
  <c r="O34" i="13"/>
  <c r="P34" i="13"/>
  <c r="G125" i="13"/>
  <c r="H125" i="13"/>
  <c r="M125" i="13"/>
  <c r="O125" i="13"/>
  <c r="P125" i="13"/>
  <c r="H98" i="13"/>
  <c r="M98" i="13"/>
  <c r="O98" i="13"/>
  <c r="P98" i="13"/>
  <c r="G98" i="13"/>
  <c r="G51" i="13"/>
  <c r="H51" i="13"/>
  <c r="M51" i="13"/>
  <c r="O51" i="13"/>
  <c r="P51" i="13"/>
  <c r="H38" i="13"/>
  <c r="M38" i="13"/>
  <c r="O38" i="13"/>
  <c r="P38" i="13"/>
  <c r="G38" i="13"/>
  <c r="H24" i="13"/>
  <c r="M24" i="13"/>
  <c r="O24" i="13"/>
  <c r="P24" i="13"/>
  <c r="G24" i="13"/>
  <c r="H16" i="13"/>
  <c r="M16" i="13"/>
  <c r="O16" i="13"/>
  <c r="P16" i="13"/>
  <c r="G16" i="13"/>
  <c r="G4" i="13"/>
  <c r="G129" i="13"/>
  <c r="H4" i="13"/>
  <c r="H129" i="13"/>
  <c r="C129" i="13"/>
  <c r="G118" i="13"/>
  <c r="H112" i="13"/>
  <c r="M112" i="13"/>
  <c r="O112" i="13"/>
  <c r="P112" i="13"/>
  <c r="J35" i="13"/>
  <c r="K35" i="13"/>
  <c r="G92" i="13"/>
  <c r="H49" i="13"/>
  <c r="M49" i="13"/>
  <c r="O49" i="13"/>
  <c r="P49" i="13"/>
  <c r="H29" i="13"/>
  <c r="J71" i="13"/>
  <c r="K71" i="13"/>
  <c r="G56" i="13"/>
  <c r="H99" i="13"/>
  <c r="M99" i="13"/>
  <c r="O99" i="13"/>
  <c r="P99" i="13"/>
  <c r="H12" i="13"/>
  <c r="M12" i="13"/>
  <c r="O12" i="13"/>
  <c r="P12" i="13"/>
  <c r="G96" i="13"/>
  <c r="G111" i="13"/>
  <c r="H134" i="14"/>
  <c r="G109" i="13"/>
  <c r="C131" i="13"/>
  <c r="G36" i="13"/>
  <c r="J7" i="13"/>
  <c r="K7" i="13"/>
  <c r="J55" i="13"/>
  <c r="K55" i="13"/>
  <c r="M121" i="13"/>
  <c r="O121" i="13"/>
  <c r="P121" i="13"/>
  <c r="G122" i="13"/>
  <c r="H39" i="13"/>
  <c r="M39" i="13"/>
  <c r="O39" i="13"/>
  <c r="P39" i="13"/>
  <c r="H73" i="13"/>
  <c r="M73" i="13"/>
  <c r="O73" i="13"/>
  <c r="P73" i="13"/>
  <c r="H101" i="13"/>
  <c r="M101" i="13"/>
  <c r="O101" i="13"/>
  <c r="P101" i="13"/>
  <c r="H11" i="13"/>
  <c r="H62" i="13"/>
  <c r="J62" i="13"/>
  <c r="K62" i="13"/>
  <c r="G59" i="13"/>
  <c r="J92" i="13"/>
  <c r="K92" i="13"/>
  <c r="M92" i="13"/>
  <c r="O92" i="13"/>
  <c r="P92" i="13"/>
  <c r="M62" i="13"/>
  <c r="O62" i="13"/>
  <c r="P62" i="13"/>
  <c r="G82" i="13"/>
  <c r="H82" i="13"/>
  <c r="G53" i="13"/>
  <c r="H53" i="13"/>
  <c r="M28" i="13"/>
  <c r="O28" i="13"/>
  <c r="P28" i="13"/>
  <c r="G86" i="13"/>
  <c r="H75" i="13"/>
  <c r="M75" i="13"/>
  <c r="O75" i="13"/>
  <c r="P75" i="13"/>
  <c r="M74" i="13"/>
  <c r="O74" i="13"/>
  <c r="P74" i="13"/>
  <c r="J74" i="13"/>
  <c r="K74" i="13"/>
  <c r="G90" i="13"/>
  <c r="M117" i="13"/>
  <c r="O117" i="13"/>
  <c r="P117" i="13"/>
  <c r="J117" i="13"/>
  <c r="K117" i="13"/>
  <c r="H107" i="13"/>
  <c r="M107" i="13"/>
  <c r="O107" i="13"/>
  <c r="P107" i="13"/>
  <c r="H77" i="13"/>
  <c r="M77" i="13"/>
  <c r="O77" i="13"/>
  <c r="P77" i="13"/>
  <c r="G69" i="13"/>
  <c r="G26" i="13"/>
  <c r="G10" i="13"/>
  <c r="H10" i="13"/>
  <c r="M10" i="13"/>
  <c r="O10" i="13"/>
  <c r="P10" i="13"/>
  <c r="H60" i="13"/>
  <c r="G71" i="13"/>
  <c r="J97" i="13"/>
  <c r="K97" i="13"/>
  <c r="M26" i="13"/>
  <c r="O26" i="13"/>
  <c r="P26" i="13"/>
  <c r="H47" i="13"/>
  <c r="M47" i="13"/>
  <c r="O47" i="13"/>
  <c r="P47" i="13"/>
  <c r="G121" i="13"/>
  <c r="M5" i="13"/>
  <c r="O5" i="13"/>
  <c r="P5" i="13"/>
  <c r="H50" i="13"/>
  <c r="M50" i="13"/>
  <c r="O50" i="13"/>
  <c r="P50" i="13"/>
  <c r="G5" i="13"/>
  <c r="G115" i="13"/>
  <c r="J41" i="13"/>
  <c r="K41" i="13"/>
  <c r="J68" i="13"/>
  <c r="K68" i="13"/>
  <c r="J78" i="13"/>
  <c r="K78" i="13"/>
  <c r="J111" i="13"/>
  <c r="K111" i="13"/>
  <c r="J103" i="13"/>
  <c r="K103" i="13"/>
  <c r="H123" i="13"/>
  <c r="M123" i="13"/>
  <c r="O123" i="13"/>
  <c r="P123" i="13"/>
  <c r="H43" i="13"/>
  <c r="G37" i="13"/>
  <c r="G41" i="13"/>
  <c r="H54" i="13"/>
  <c r="H94" i="13"/>
  <c r="J19" i="13"/>
  <c r="K19" i="13"/>
  <c r="J48" i="13"/>
  <c r="K48" i="13"/>
  <c r="J69" i="13"/>
  <c r="K69" i="13"/>
  <c r="J90" i="13"/>
  <c r="K90" i="13"/>
  <c r="J114" i="13"/>
  <c r="K114" i="13"/>
  <c r="J85" i="13"/>
  <c r="K85" i="13"/>
  <c r="J119" i="13"/>
  <c r="K119" i="13"/>
  <c r="H81" i="13"/>
  <c r="M81" i="13"/>
  <c r="O81" i="13"/>
  <c r="P81" i="13"/>
  <c r="H58" i="13"/>
  <c r="G97" i="13"/>
  <c r="H63" i="13"/>
  <c r="M63" i="13"/>
  <c r="O63" i="13"/>
  <c r="P63" i="13"/>
  <c r="J87" i="13"/>
  <c r="K87" i="13"/>
  <c r="J109" i="13"/>
  <c r="K109" i="13"/>
  <c r="J105" i="13"/>
  <c r="K105" i="13"/>
  <c r="J23" i="13"/>
  <c r="K23" i="13"/>
  <c r="I61" i="11"/>
  <c r="I45" i="11"/>
  <c r="I56" i="11"/>
  <c r="I106" i="11"/>
  <c r="I31" i="13"/>
  <c r="I131" i="13"/>
  <c r="J65" i="13"/>
  <c r="K65" i="13"/>
  <c r="I31" i="1"/>
  <c r="I67" i="1"/>
  <c r="I76" i="11"/>
  <c r="I123" i="11"/>
  <c r="I11" i="11"/>
  <c r="I36" i="10"/>
  <c r="I54" i="11"/>
  <c r="I97" i="11"/>
  <c r="I100" i="11"/>
  <c r="I4" i="13"/>
  <c r="I129" i="13"/>
  <c r="I94" i="11"/>
  <c r="I101" i="11"/>
  <c r="I28" i="11"/>
  <c r="I65" i="11"/>
  <c r="I116" i="11"/>
  <c r="I74" i="11"/>
  <c r="I70" i="11"/>
  <c r="E45" i="11"/>
  <c r="G81" i="10"/>
  <c r="E112" i="11"/>
  <c r="D76" i="11"/>
  <c r="F72" i="11"/>
  <c r="E24" i="11"/>
  <c r="C19" i="11"/>
  <c r="G111" i="10"/>
  <c r="G64" i="10"/>
  <c r="H40" i="10"/>
  <c r="M40" i="10"/>
  <c r="O40" i="10"/>
  <c r="P40" i="10"/>
  <c r="E104" i="11"/>
  <c r="B29" i="11"/>
  <c r="H24" i="10"/>
  <c r="E17" i="11"/>
  <c r="G91" i="10"/>
  <c r="H88" i="10"/>
  <c r="M88" i="10"/>
  <c r="O88" i="10"/>
  <c r="P88" i="10"/>
  <c r="H25" i="10"/>
  <c r="M25" i="10"/>
  <c r="O25" i="10"/>
  <c r="P25" i="10"/>
  <c r="E105" i="11"/>
  <c r="B118" i="11"/>
  <c r="E94" i="11"/>
  <c r="E75" i="11"/>
  <c r="H39" i="10"/>
  <c r="M39" i="10"/>
  <c r="O39" i="10"/>
  <c r="P39" i="10"/>
  <c r="H134" i="12"/>
  <c r="D61" i="11"/>
  <c r="H73" i="10"/>
  <c r="M73" i="10"/>
  <c r="O73" i="10"/>
  <c r="P73" i="10"/>
  <c r="C130" i="10"/>
  <c r="B95" i="11"/>
  <c r="C94" i="11"/>
  <c r="C69" i="11"/>
  <c r="H125" i="10"/>
  <c r="M125" i="10"/>
  <c r="O125" i="10"/>
  <c r="P125" i="10"/>
  <c r="H34" i="10"/>
  <c r="M34" i="10"/>
  <c r="O34" i="10"/>
  <c r="P34" i="10"/>
  <c r="H8" i="10"/>
  <c r="M8" i="10"/>
  <c r="O8" i="10"/>
  <c r="P8" i="10"/>
  <c r="E96" i="11"/>
  <c r="B76" i="11"/>
  <c r="C75" i="11"/>
  <c r="B70" i="11"/>
  <c r="F62" i="11"/>
  <c r="F48" i="11"/>
  <c r="E33" i="11"/>
  <c r="H104" i="10"/>
  <c r="M104" i="10"/>
  <c r="O104" i="10"/>
  <c r="P104" i="10"/>
  <c r="H114" i="10"/>
  <c r="M114" i="10"/>
  <c r="O114" i="10"/>
  <c r="P114" i="10"/>
  <c r="G103" i="10"/>
  <c r="H95" i="10"/>
  <c r="M95" i="10"/>
  <c r="O95" i="10"/>
  <c r="P95" i="10"/>
  <c r="H90" i="10"/>
  <c r="M90" i="10"/>
  <c r="O90" i="10"/>
  <c r="P90" i="10"/>
  <c r="H28" i="10"/>
  <c r="F38" i="11"/>
  <c r="C117" i="11"/>
  <c r="F65" i="11"/>
  <c r="D65" i="11"/>
  <c r="E55" i="11"/>
  <c r="H67" i="10"/>
  <c r="M67" i="10"/>
  <c r="O67" i="10"/>
  <c r="P67" i="10"/>
  <c r="D123" i="11"/>
  <c r="E106" i="11"/>
  <c r="F99" i="11"/>
  <c r="D99" i="11"/>
  <c r="F61" i="11"/>
  <c r="E60" i="11"/>
  <c r="G124" i="10"/>
  <c r="G108" i="10"/>
  <c r="G100" i="10"/>
  <c r="H92" i="10"/>
  <c r="M92" i="10"/>
  <c r="O92" i="10"/>
  <c r="P92" i="10"/>
  <c r="G53" i="10"/>
  <c r="G95" i="10"/>
  <c r="E90" i="11"/>
  <c r="B78" i="11"/>
  <c r="E77" i="11"/>
  <c r="E73" i="11"/>
  <c r="E66" i="11"/>
  <c r="F42" i="11"/>
  <c r="G31" i="10"/>
  <c r="B119" i="11"/>
  <c r="C116" i="11"/>
  <c r="B109" i="11"/>
  <c r="E108" i="11"/>
  <c r="D106" i="11"/>
  <c r="E102" i="11"/>
  <c r="C102" i="11"/>
  <c r="F101" i="11"/>
  <c r="D101" i="11"/>
  <c r="B100" i="11"/>
  <c r="E99" i="11"/>
  <c r="C99" i="11"/>
  <c r="F96" i="11"/>
  <c r="D96" i="11"/>
  <c r="F91" i="11"/>
  <c r="D91" i="11"/>
  <c r="B90" i="11"/>
  <c r="E89" i="11"/>
  <c r="C89" i="11"/>
  <c r="E84" i="11"/>
  <c r="F82" i="11"/>
  <c r="D82" i="11"/>
  <c r="F78" i="11"/>
  <c r="D78" i="11"/>
  <c r="B68" i="11"/>
  <c r="E62" i="11"/>
  <c r="B57" i="11"/>
  <c r="D48" i="11"/>
  <c r="E42" i="11"/>
  <c r="E37" i="11"/>
  <c r="B37" i="11"/>
  <c r="D29" i="11"/>
  <c r="G85" i="10"/>
  <c r="H72" i="10"/>
  <c r="M72" i="10"/>
  <c r="O72" i="10"/>
  <c r="P72" i="10"/>
  <c r="G87" i="10"/>
  <c r="C131" i="10"/>
  <c r="H30" i="10"/>
  <c r="C103" i="11"/>
  <c r="G36" i="10"/>
  <c r="H106" i="10"/>
  <c r="J106" i="10"/>
  <c r="K106" i="10"/>
  <c r="G18" i="10"/>
  <c r="H5" i="10"/>
  <c r="J5" i="10"/>
  <c r="K5" i="10"/>
  <c r="C90" i="11"/>
  <c r="F83" i="11"/>
  <c r="D83" i="11"/>
  <c r="D74" i="11"/>
  <c r="D63" i="11"/>
  <c r="E54" i="11"/>
  <c r="B54" i="11"/>
  <c r="D51" i="11"/>
  <c r="C50" i="11"/>
  <c r="C47" i="11"/>
  <c r="E28" i="11"/>
  <c r="D26" i="11"/>
  <c r="F23" i="11"/>
  <c r="D23" i="11"/>
  <c r="E20" i="11"/>
  <c r="G107" i="10"/>
  <c r="H99" i="10"/>
  <c r="M99" i="10"/>
  <c r="O99" i="10"/>
  <c r="P99" i="10"/>
  <c r="H91" i="10"/>
  <c r="M91" i="10"/>
  <c r="O91" i="10"/>
  <c r="P91" i="10"/>
  <c r="G77" i="10"/>
  <c r="G57" i="10"/>
  <c r="G41" i="10"/>
  <c r="B88" i="11"/>
  <c r="E119" i="11"/>
  <c r="F110" i="11"/>
  <c r="D110" i="11"/>
  <c r="F86" i="11"/>
  <c r="D86" i="11"/>
  <c r="F63" i="11"/>
  <c r="F21" i="11"/>
  <c r="G118" i="10"/>
  <c r="G110" i="10"/>
  <c r="G94" i="10"/>
  <c r="H83" i="10"/>
  <c r="B63" i="11"/>
  <c r="D57" i="11"/>
  <c r="F45" i="11"/>
  <c r="F33" i="11"/>
  <c r="E26" i="11"/>
  <c r="F20" i="11"/>
  <c r="G82" i="10"/>
  <c r="F124" i="11"/>
  <c r="D112" i="11"/>
  <c r="C110" i="11"/>
  <c r="F108" i="11"/>
  <c r="D108" i="11"/>
  <c r="C106" i="11"/>
  <c r="E101" i="11"/>
  <c r="C101" i="11"/>
  <c r="B98" i="11"/>
  <c r="C96" i="11"/>
  <c r="D94" i="11"/>
  <c r="B92" i="11"/>
  <c r="E91" i="11"/>
  <c r="F84" i="11"/>
  <c r="D84" i="11"/>
  <c r="E82" i="11"/>
  <c r="C82" i="11"/>
  <c r="B79" i="11"/>
  <c r="E78" i="11"/>
  <c r="C73" i="11"/>
  <c r="E70" i="11"/>
  <c r="E64" i="11"/>
  <c r="B52" i="11"/>
  <c r="F50" i="11"/>
  <c r="B44" i="11"/>
  <c r="D43" i="11"/>
  <c r="D42" i="11"/>
  <c r="C41" i="11"/>
  <c r="E40" i="11"/>
  <c r="B40" i="11"/>
  <c r="D39" i="11"/>
  <c r="B32" i="11"/>
  <c r="C29" i="11"/>
  <c r="B26" i="11"/>
  <c r="F24" i="11"/>
  <c r="D24" i="11"/>
  <c r="C21" i="11"/>
  <c r="D19" i="11"/>
  <c r="F7" i="11"/>
  <c r="E5" i="11"/>
  <c r="G117" i="10"/>
  <c r="H86" i="10"/>
  <c r="M86" i="10"/>
  <c r="G56" i="10"/>
  <c r="H55" i="10"/>
  <c r="M55" i="10"/>
  <c r="H54" i="10"/>
  <c r="M54" i="10"/>
  <c r="O54" i="10"/>
  <c r="P54" i="10"/>
  <c r="G52" i="10"/>
  <c r="G51" i="10"/>
  <c r="H50" i="10"/>
  <c r="M50" i="10"/>
  <c r="O50" i="10"/>
  <c r="P50" i="10"/>
  <c r="G48" i="10"/>
  <c r="H47" i="10"/>
  <c r="M47" i="10"/>
  <c r="O47" i="10"/>
  <c r="P47" i="10"/>
  <c r="H46" i="10"/>
  <c r="J46" i="10"/>
  <c r="K46" i="10"/>
  <c r="H45" i="10"/>
  <c r="M45" i="10"/>
  <c r="O45" i="10"/>
  <c r="P45" i="10"/>
  <c r="G44" i="10"/>
  <c r="G40" i="10"/>
  <c r="G23" i="10"/>
  <c r="G7" i="10"/>
  <c r="E56" i="11"/>
  <c r="E53" i="11"/>
  <c r="C67" i="11"/>
  <c r="C31" i="11"/>
  <c r="O9" i="17"/>
  <c r="P9" i="17"/>
  <c r="J28" i="10"/>
  <c r="K28" i="10"/>
  <c r="M28" i="10"/>
  <c r="O28" i="10"/>
  <c r="P28" i="10"/>
  <c r="G65" i="10"/>
  <c r="H34" i="11"/>
  <c r="H57" i="10"/>
  <c r="M57" i="10"/>
  <c r="O57" i="10"/>
  <c r="P57" i="10"/>
  <c r="G60" i="10"/>
  <c r="H59" i="10"/>
  <c r="M59" i="10"/>
  <c r="O59" i="10"/>
  <c r="P59" i="10"/>
  <c r="H11" i="10"/>
  <c r="M11" i="10"/>
  <c r="O11" i="10"/>
  <c r="P11" i="10"/>
  <c r="G11" i="10"/>
  <c r="H7" i="10"/>
  <c r="M7" i="10"/>
  <c r="O7" i="10"/>
  <c r="P7" i="10"/>
  <c r="F73" i="11"/>
  <c r="B60" i="11"/>
  <c r="B48" i="11"/>
  <c r="D7" i="11"/>
  <c r="G121" i="10"/>
  <c r="H107" i="10"/>
  <c r="M107" i="10"/>
  <c r="O107" i="10"/>
  <c r="P107" i="10"/>
  <c r="G97" i="10"/>
  <c r="B97" i="11"/>
  <c r="G93" i="10"/>
  <c r="G89" i="10"/>
  <c r="H87" i="10"/>
  <c r="M87" i="10"/>
  <c r="O87" i="10"/>
  <c r="P87" i="10"/>
  <c r="H62" i="10"/>
  <c r="M62" i="10"/>
  <c r="O62" i="10"/>
  <c r="P62" i="10"/>
  <c r="G61" i="10"/>
  <c r="H20" i="10"/>
  <c r="M20" i="10"/>
  <c r="G19" i="10"/>
  <c r="H16" i="10"/>
  <c r="M16" i="10"/>
  <c r="O16" i="10"/>
  <c r="P16" i="10"/>
  <c r="G13" i="10"/>
  <c r="G12" i="10"/>
  <c r="E11" i="11"/>
  <c r="B11" i="11"/>
  <c r="H6" i="10"/>
  <c r="M6" i="10"/>
  <c r="O6" i="10"/>
  <c r="P6" i="10"/>
  <c r="C84" i="11"/>
  <c r="J34" i="10"/>
  <c r="K34" i="10"/>
  <c r="C14" i="11"/>
  <c r="G6" i="10"/>
  <c r="G46" i="10"/>
  <c r="H48" i="10"/>
  <c r="M48" i="10"/>
  <c r="O48" i="10"/>
  <c r="P48" i="10"/>
  <c r="J24" i="10"/>
  <c r="K24" i="10"/>
  <c r="M24" i="10"/>
  <c r="O24" i="10"/>
  <c r="P24" i="10"/>
  <c r="C86" i="11"/>
  <c r="E74" i="11"/>
  <c r="F66" i="11"/>
  <c r="D15" i="11"/>
  <c r="H123" i="10"/>
  <c r="M123" i="10"/>
  <c r="O123" i="10"/>
  <c r="P123" i="10"/>
  <c r="G122" i="10"/>
  <c r="G49" i="10"/>
  <c r="D50" i="11"/>
  <c r="H125" i="12"/>
  <c r="H136" i="12"/>
  <c r="F107" i="11"/>
  <c r="D107" i="11"/>
  <c r="B101" i="11"/>
  <c r="G101" i="11"/>
  <c r="E100" i="11"/>
  <c r="C77" i="11"/>
  <c r="C62" i="11"/>
  <c r="C20" i="11"/>
  <c r="F13" i="11"/>
  <c r="E10" i="11"/>
  <c r="D6" i="11"/>
  <c r="G80" i="10"/>
  <c r="G63" i="10"/>
  <c r="H42" i="10"/>
  <c r="M42" i="10"/>
  <c r="H41" i="10"/>
  <c r="J41" i="10"/>
  <c r="K41" i="10"/>
  <c r="H37" i="10"/>
  <c r="M37" i="10"/>
  <c r="O37" i="10"/>
  <c r="P37" i="10"/>
  <c r="H33" i="10"/>
  <c r="M33" i="10"/>
  <c r="O33" i="10"/>
  <c r="P33" i="10"/>
  <c r="H32" i="10"/>
  <c r="J32" i="10"/>
  <c r="K32" i="10"/>
  <c r="G28" i="10"/>
  <c r="G24" i="10"/>
  <c r="H23" i="10"/>
  <c r="M23" i="10"/>
  <c r="O23" i="10"/>
  <c r="P23" i="10"/>
  <c r="F52" i="11"/>
  <c r="E47" i="11"/>
  <c r="D44" i="11"/>
  <c r="C43" i="11"/>
  <c r="C39" i="11"/>
  <c r="F29" i="11"/>
  <c r="E19" i="11"/>
  <c r="F12" i="11"/>
  <c r="B10" i="11"/>
  <c r="D5" i="11"/>
  <c r="H120" i="10"/>
  <c r="M120" i="10"/>
  <c r="O120" i="10"/>
  <c r="P120" i="10"/>
  <c r="H117" i="10"/>
  <c r="J117" i="10"/>
  <c r="K117" i="10"/>
  <c r="H109" i="10"/>
  <c r="M109" i="10"/>
  <c r="O109" i="10"/>
  <c r="P109" i="10"/>
  <c r="G106" i="10"/>
  <c r="H103" i="10"/>
  <c r="J103" i="10"/>
  <c r="K103" i="10"/>
  <c r="G102" i="10"/>
  <c r="H98" i="10"/>
  <c r="H96" i="10"/>
  <c r="H93" i="10"/>
  <c r="M93" i="10"/>
  <c r="O93" i="10"/>
  <c r="P93" i="10"/>
  <c r="G92" i="10"/>
  <c r="G88" i="10"/>
  <c r="H84" i="10"/>
  <c r="M84" i="10"/>
  <c r="O84" i="10"/>
  <c r="P84" i="10"/>
  <c r="J36" i="10"/>
  <c r="K36" i="10"/>
  <c r="G84" i="10"/>
  <c r="G104" i="10"/>
  <c r="C60" i="11"/>
  <c r="F40" i="11"/>
  <c r="C40" i="11"/>
  <c r="E39" i="11"/>
  <c r="E32" i="11"/>
  <c r="F28" i="11"/>
  <c r="D20" i="11"/>
  <c r="E13" i="11"/>
  <c r="F10" i="11"/>
  <c r="M5" i="10"/>
  <c r="O5" i="10"/>
  <c r="P5" i="10"/>
  <c r="H79" i="10"/>
  <c r="J79" i="10"/>
  <c r="K79" i="10"/>
  <c r="H74" i="10"/>
  <c r="M74" i="10"/>
  <c r="O74" i="10"/>
  <c r="P74" i="10"/>
  <c r="G69" i="10"/>
  <c r="H69" i="10"/>
  <c r="J69" i="10"/>
  <c r="K69" i="10"/>
  <c r="H68" i="10"/>
  <c r="M68" i="10"/>
  <c r="O68" i="10"/>
  <c r="P68" i="10"/>
  <c r="G68" i="10"/>
  <c r="H64" i="10"/>
  <c r="H63" i="10"/>
  <c r="G39" i="10"/>
  <c r="H29" i="10"/>
  <c r="M29" i="10"/>
  <c r="O29" i="10"/>
  <c r="P29" i="10"/>
  <c r="G29" i="10"/>
  <c r="H17" i="10"/>
  <c r="M17" i="10"/>
  <c r="O17" i="10"/>
  <c r="P17" i="10"/>
  <c r="G17" i="10"/>
  <c r="J25" i="10"/>
  <c r="K25" i="10"/>
  <c r="J114" i="10"/>
  <c r="K114" i="10"/>
  <c r="D55" i="11"/>
  <c r="H53" i="10"/>
  <c r="B123" i="11"/>
  <c r="B75" i="11"/>
  <c r="B71" i="11"/>
  <c r="D45" i="11"/>
  <c r="F25" i="11"/>
  <c r="F5" i="11"/>
  <c r="H118" i="10"/>
  <c r="M118" i="10"/>
  <c r="O118" i="10"/>
  <c r="P118" i="10"/>
  <c r="G123" i="10"/>
  <c r="H82" i="10"/>
  <c r="M82" i="10"/>
  <c r="O82" i="10"/>
  <c r="P82" i="10"/>
  <c r="H77" i="10"/>
  <c r="H76" i="10"/>
  <c r="H75" i="10"/>
  <c r="M75" i="10"/>
  <c r="O75" i="10"/>
  <c r="P75" i="10"/>
  <c r="G73" i="10"/>
  <c r="G71" i="10"/>
  <c r="C70" i="11"/>
  <c r="G70" i="10"/>
  <c r="G66" i="10"/>
  <c r="H58" i="10"/>
  <c r="M58" i="10"/>
  <c r="H43" i="10"/>
  <c r="M43" i="10"/>
  <c r="O43" i="10"/>
  <c r="P43" i="10"/>
  <c r="G43" i="10"/>
  <c r="G38" i="10"/>
  <c r="H38" i="10"/>
  <c r="M38" i="10"/>
  <c r="O38" i="10"/>
  <c r="P38" i="10"/>
  <c r="H26" i="10"/>
  <c r="M26" i="10"/>
  <c r="O26" i="10"/>
  <c r="P26" i="10"/>
  <c r="G26" i="10"/>
  <c r="H21" i="10"/>
  <c r="G21" i="10"/>
  <c r="B58" i="11"/>
  <c r="J15" i="10"/>
  <c r="K15" i="10"/>
  <c r="M46" i="10"/>
  <c r="O46" i="10"/>
  <c r="P46" i="10"/>
  <c r="J6" i="10"/>
  <c r="K6" i="10"/>
  <c r="G42" i="10"/>
  <c r="G79" i="10"/>
  <c r="H12" i="10"/>
  <c r="G59" i="10"/>
  <c r="G32" i="10"/>
  <c r="H66" i="10"/>
  <c r="M66" i="10"/>
  <c r="O66" i="10"/>
  <c r="P66" i="10"/>
  <c r="F123" i="11"/>
  <c r="C120" i="11"/>
  <c r="B77" i="11"/>
  <c r="C74" i="11"/>
  <c r="F64" i="11"/>
  <c r="F60" i="11"/>
  <c r="C59" i="11"/>
  <c r="C24" i="11"/>
  <c r="G116" i="10"/>
  <c r="H115" i="10"/>
  <c r="M115" i="10"/>
  <c r="O115" i="10"/>
  <c r="P115" i="10"/>
  <c r="G114" i="10"/>
  <c r="J19" i="10"/>
  <c r="K19" i="10"/>
  <c r="J73" i="10"/>
  <c r="K73" i="10"/>
  <c r="G16" i="10"/>
  <c r="G75" i="10"/>
  <c r="H13" i="10"/>
  <c r="G33" i="10"/>
  <c r="G5" i="10"/>
  <c r="G55" i="10"/>
  <c r="G37" i="10"/>
  <c r="G20" i="10"/>
  <c r="H70" i="10"/>
  <c r="M70" i="10"/>
  <c r="O70" i="10"/>
  <c r="P70" i="10"/>
  <c r="H112" i="10"/>
  <c r="M112" i="10"/>
  <c r="O112" i="10"/>
  <c r="P112" i="10"/>
  <c r="H111" i="10"/>
  <c r="M111" i="10"/>
  <c r="O111" i="10"/>
  <c r="P111" i="10"/>
  <c r="H110" i="10"/>
  <c r="G101" i="10"/>
  <c r="H100" i="10"/>
  <c r="M100" i="10"/>
  <c r="O100" i="10"/>
  <c r="P100" i="10"/>
  <c r="G99" i="10"/>
  <c r="H89" i="10"/>
  <c r="G86" i="10"/>
  <c r="H85" i="10"/>
  <c r="M85" i="10"/>
  <c r="B110" i="11"/>
  <c r="H102" i="10"/>
  <c r="M102" i="10"/>
  <c r="O102" i="10"/>
  <c r="P102" i="10"/>
  <c r="D125" i="11"/>
  <c r="D121" i="11"/>
  <c r="D120" i="11"/>
  <c r="F115" i="11"/>
  <c r="D115" i="11"/>
  <c r="B115" i="11"/>
  <c r="C113" i="11"/>
  <c r="F111" i="11"/>
  <c r="D111" i="11"/>
  <c r="B106" i="11"/>
  <c r="E103" i="11"/>
  <c r="F98" i="11"/>
  <c r="F92" i="11"/>
  <c r="D92" i="11"/>
  <c r="F88" i="11"/>
  <c r="D88" i="11"/>
  <c r="E85" i="11"/>
  <c r="C85" i="11"/>
  <c r="F79" i="11"/>
  <c r="D79" i="11"/>
  <c r="F75" i="11"/>
  <c r="B73" i="11"/>
  <c r="F71" i="11"/>
  <c r="B66" i="11"/>
  <c r="D64" i="11"/>
  <c r="E61" i="11"/>
  <c r="D60" i="11"/>
  <c r="E48" i="11"/>
  <c r="C42" i="11"/>
  <c r="E41" i="11"/>
  <c r="B41" i="11"/>
  <c r="F39" i="11"/>
  <c r="F37" i="11"/>
  <c r="F26" i="11"/>
  <c r="D17" i="11"/>
  <c r="F6" i="11"/>
  <c r="F87" i="11"/>
  <c r="C87" i="11"/>
  <c r="F58" i="11"/>
  <c r="C53" i="11"/>
  <c r="J82" i="10"/>
  <c r="K82" i="10"/>
  <c r="J120" i="10"/>
  <c r="K120" i="10"/>
  <c r="C124" i="11"/>
  <c r="E120" i="11"/>
  <c r="D118" i="11"/>
  <c r="B116" i="11"/>
  <c r="E115" i="11"/>
  <c r="D113" i="11"/>
  <c r="E111" i="11"/>
  <c r="C111" i="11"/>
  <c r="F109" i="11"/>
  <c r="D109" i="11"/>
  <c r="B108" i="11"/>
  <c r="E107" i="11"/>
  <c r="C107" i="11"/>
  <c r="F103" i="11"/>
  <c r="D103" i="11"/>
  <c r="F100" i="11"/>
  <c r="D100" i="11"/>
  <c r="E98" i="11"/>
  <c r="C98" i="11"/>
  <c r="F95" i="11"/>
  <c r="D95" i="11"/>
  <c r="C92" i="11"/>
  <c r="B89" i="11"/>
  <c r="E88" i="11"/>
  <c r="C88" i="11"/>
  <c r="F85" i="11"/>
  <c r="D85" i="11"/>
  <c r="E83" i="11"/>
  <c r="F80" i="11"/>
  <c r="B80" i="11"/>
  <c r="F77" i="11"/>
  <c r="D77" i="11"/>
  <c r="F76" i="11"/>
  <c r="D75" i="11"/>
  <c r="G75" i="11"/>
  <c r="F74" i="11"/>
  <c r="D73" i="11"/>
  <c r="F70" i="11"/>
  <c r="E69" i="11"/>
  <c r="B69" i="11"/>
  <c r="D68" i="11"/>
  <c r="D62" i="11"/>
  <c r="E59" i="11"/>
  <c r="D54" i="11"/>
  <c r="C48" i="11"/>
  <c r="F44" i="11"/>
  <c r="C44" i="11"/>
  <c r="E43" i="11"/>
  <c r="F41" i="11"/>
  <c r="B39" i="11"/>
  <c r="B33" i="11"/>
  <c r="C32" i="11"/>
  <c r="D28" i="11"/>
  <c r="E23" i="11"/>
  <c r="C23" i="11"/>
  <c r="B19" i="11"/>
  <c r="D16" i="11"/>
  <c r="D10" i="11"/>
  <c r="B7" i="11"/>
  <c r="G50" i="10"/>
  <c r="F46" i="11"/>
  <c r="C46" i="11"/>
  <c r="E38" i="11"/>
  <c r="F97" i="11"/>
  <c r="F93" i="11"/>
  <c r="B93" i="11"/>
  <c r="D105" i="11"/>
  <c r="E87" i="11"/>
  <c r="F56" i="11"/>
  <c r="F53" i="11"/>
  <c r="D53" i="11"/>
  <c r="J62" i="10"/>
  <c r="K62" i="10"/>
  <c r="J92" i="10"/>
  <c r="K92" i="10"/>
  <c r="E46" i="11"/>
  <c r="D38" i="11"/>
  <c r="D104" i="11"/>
  <c r="B122" i="11"/>
  <c r="D87" i="11"/>
  <c r="F114" i="11"/>
  <c r="C114" i="11"/>
  <c r="C56" i="11"/>
  <c r="E65" i="11"/>
  <c r="F55" i="11"/>
  <c r="J7" i="10"/>
  <c r="K7" i="10"/>
  <c r="I189" i="2"/>
  <c r="H5" i="1"/>
  <c r="J5" i="1"/>
  <c r="K5" i="1"/>
  <c r="H53" i="1"/>
  <c r="H77" i="1"/>
  <c r="H86" i="1"/>
  <c r="M86" i="1"/>
  <c r="O86" i="1"/>
  <c r="P86" i="1"/>
  <c r="C35" i="11"/>
  <c r="G35" i="11"/>
  <c r="I178" i="2"/>
  <c r="I184" i="2"/>
  <c r="C83" i="11"/>
  <c r="H83" i="1"/>
  <c r="J83" i="1"/>
  <c r="K83" i="1"/>
  <c r="M4" i="1"/>
  <c r="L4" i="11"/>
  <c r="H4" i="11"/>
  <c r="G102" i="1"/>
  <c r="B94" i="11"/>
  <c r="H94" i="1"/>
  <c r="M94" i="1"/>
  <c r="O94" i="1"/>
  <c r="P94" i="1"/>
  <c r="G78" i="1"/>
  <c r="H74" i="1"/>
  <c r="M74" i="1"/>
  <c r="B72" i="11"/>
  <c r="G72" i="1"/>
  <c r="G65" i="1"/>
  <c r="H30" i="1"/>
  <c r="C30" i="11"/>
  <c r="H183" i="2"/>
  <c r="C18" i="1"/>
  <c r="H18" i="1"/>
  <c r="M18" i="1"/>
  <c r="I183" i="2"/>
  <c r="I190" i="2"/>
  <c r="H35" i="11"/>
  <c r="J35" i="11"/>
  <c r="K35" i="11"/>
  <c r="G35" i="1"/>
  <c r="H13" i="1"/>
  <c r="B85" i="11"/>
  <c r="H85" i="1"/>
  <c r="M85" i="1"/>
  <c r="O85" i="1"/>
  <c r="P85" i="1"/>
  <c r="G85" i="1"/>
  <c r="G84" i="1"/>
  <c r="G82" i="1"/>
  <c r="B114" i="11"/>
  <c r="G114" i="1"/>
  <c r="G53" i="1"/>
  <c r="I186" i="2"/>
  <c r="H89" i="1"/>
  <c r="J89" i="1"/>
  <c r="K89" i="1"/>
  <c r="H72" i="1"/>
  <c r="H15" i="1"/>
  <c r="H15" i="11"/>
  <c r="J15" i="11"/>
  <c r="K15" i="11"/>
  <c r="D114" i="11"/>
  <c r="G58" i="1"/>
  <c r="J74" i="1"/>
  <c r="K74" i="1"/>
  <c r="C108" i="11"/>
  <c r="G108" i="1"/>
  <c r="G77" i="1"/>
  <c r="G87" i="1"/>
  <c r="G98" i="1"/>
  <c r="G88" i="1"/>
  <c r="G107" i="1"/>
  <c r="G34" i="1"/>
  <c r="G111" i="1"/>
  <c r="H111" i="1"/>
  <c r="M111" i="1"/>
  <c r="O111" i="1"/>
  <c r="P111" i="1"/>
  <c r="H100" i="1"/>
  <c r="J100" i="1"/>
  <c r="K100" i="1"/>
  <c r="G91" i="1"/>
  <c r="B91" i="11"/>
  <c r="G76" i="1"/>
  <c r="B12" i="11"/>
  <c r="G12" i="1"/>
  <c r="H104" i="1"/>
  <c r="B104" i="11"/>
  <c r="H117" i="1"/>
  <c r="M117" i="1"/>
  <c r="G90" i="1"/>
  <c r="C36" i="11"/>
  <c r="G36" i="1"/>
  <c r="I181" i="2"/>
  <c r="O35" i="1"/>
  <c r="P35" i="1"/>
  <c r="L35" i="11"/>
  <c r="N35" i="11"/>
  <c r="O35" i="11"/>
  <c r="G104" i="1"/>
  <c r="H113" i="1"/>
  <c r="M113" i="1"/>
  <c r="O113" i="1"/>
  <c r="P113" i="1"/>
  <c r="C100" i="11"/>
  <c r="G23" i="1"/>
  <c r="G116" i="1"/>
  <c r="G109" i="1"/>
  <c r="G96" i="1"/>
  <c r="B96" i="11"/>
  <c r="G48" i="1"/>
  <c r="H191" i="2"/>
  <c r="C49" i="1"/>
  <c r="C49" i="11"/>
  <c r="H134" i="2"/>
  <c r="C18" i="11"/>
  <c r="G118" i="1"/>
  <c r="H180" i="2"/>
  <c r="C8" i="1"/>
  <c r="C8" i="11"/>
  <c r="H125" i="2"/>
  <c r="H70" i="1"/>
  <c r="M70" i="1"/>
  <c r="H32" i="1"/>
  <c r="M32" i="1"/>
  <c r="O32" i="1"/>
  <c r="P32" i="1"/>
  <c r="H28" i="1"/>
  <c r="J28" i="1"/>
  <c r="K28" i="1"/>
  <c r="H26" i="1"/>
  <c r="H20" i="1"/>
  <c r="M20" i="1"/>
  <c r="O20" i="1"/>
  <c r="P20" i="1"/>
  <c r="G5" i="1"/>
  <c r="E117" i="11"/>
  <c r="C93" i="11"/>
  <c r="H93" i="1"/>
  <c r="J93" i="1"/>
  <c r="K93" i="1"/>
  <c r="C131" i="1"/>
  <c r="C4" i="11"/>
  <c r="G4" i="11"/>
  <c r="E3" i="17"/>
  <c r="J3" i="17"/>
  <c r="M34" i="1"/>
  <c r="C133" i="1"/>
  <c r="B5" i="11"/>
  <c r="C118" i="11"/>
  <c r="B103" i="11"/>
  <c r="G103" i="1"/>
  <c r="B84" i="11"/>
  <c r="H84" i="1"/>
  <c r="H80" i="1"/>
  <c r="H11" i="1"/>
  <c r="J11" i="1"/>
  <c r="K11" i="1"/>
  <c r="B38" i="11"/>
  <c r="G38" i="1"/>
  <c r="G105" i="1"/>
  <c r="H44" i="1"/>
  <c r="J44" i="1"/>
  <c r="K44" i="1"/>
  <c r="H120" i="1"/>
  <c r="J120" i="1"/>
  <c r="K120" i="1"/>
  <c r="H112" i="1"/>
  <c r="G95" i="1"/>
  <c r="H88" i="1"/>
  <c r="M88" i="1"/>
  <c r="M13" i="1"/>
  <c r="H105" i="1"/>
  <c r="M105" i="1"/>
  <c r="O105" i="1"/>
  <c r="P105" i="1"/>
  <c r="C65" i="11"/>
  <c r="H65" i="1"/>
  <c r="M5" i="1"/>
  <c r="O5" i="1"/>
  <c r="P5" i="1"/>
  <c r="D11" i="11"/>
  <c r="G25" i="1"/>
  <c r="H24" i="1"/>
  <c r="J24" i="1"/>
  <c r="K24" i="1"/>
  <c r="G24" i="1"/>
  <c r="G21" i="1"/>
  <c r="G19" i="1"/>
  <c r="C12" i="11"/>
  <c r="H12" i="1"/>
  <c r="J12" i="1"/>
  <c r="K12" i="1"/>
  <c r="H97" i="1"/>
  <c r="M97" i="1"/>
  <c r="O97" i="1"/>
  <c r="P97" i="1"/>
  <c r="G97" i="1"/>
  <c r="G93" i="1"/>
  <c r="C58" i="11"/>
  <c r="H58" i="1"/>
  <c r="G56" i="1"/>
  <c r="H23" i="1"/>
  <c r="J23" i="1"/>
  <c r="K23" i="1"/>
  <c r="G32" i="1"/>
  <c r="G117" i="1"/>
  <c r="G10" i="1"/>
  <c r="H29" i="1"/>
  <c r="J29" i="1"/>
  <c r="K29" i="1"/>
  <c r="D117" i="11"/>
  <c r="C25" i="11"/>
  <c r="H19" i="1"/>
  <c r="M19" i="1"/>
  <c r="B56" i="11"/>
  <c r="G20" i="1"/>
  <c r="B24" i="11"/>
  <c r="G112" i="1"/>
  <c r="H118" i="1"/>
  <c r="J118" i="1"/>
  <c r="K118" i="1"/>
  <c r="H10" i="1"/>
  <c r="G6" i="1"/>
  <c r="G123" i="1"/>
  <c r="H48" i="1"/>
  <c r="H114" i="1"/>
  <c r="G46" i="1"/>
  <c r="G29" i="1"/>
  <c r="H115" i="1"/>
  <c r="J115" i="1"/>
  <c r="K115" i="1"/>
  <c r="B53" i="11"/>
  <c r="M83" i="1"/>
  <c r="O83" i="1"/>
  <c r="P83" i="1"/>
  <c r="H46" i="1"/>
  <c r="H38" i="1"/>
  <c r="J38" i="1"/>
  <c r="K38" i="1"/>
  <c r="C55" i="11"/>
  <c r="H55" i="1"/>
  <c r="G11" i="1"/>
  <c r="G122" i="1"/>
  <c r="B105" i="11"/>
  <c r="C17" i="11"/>
  <c r="G17" i="1"/>
  <c r="B16" i="11"/>
  <c r="G16" i="1"/>
  <c r="C15" i="11"/>
  <c r="G15" i="1"/>
  <c r="H7" i="1"/>
  <c r="C7" i="11"/>
  <c r="E114" i="11"/>
  <c r="H122" i="1"/>
  <c r="M122" i="1"/>
  <c r="O122" i="1"/>
  <c r="P122" i="1"/>
  <c r="C122" i="11"/>
  <c r="H87" i="1"/>
  <c r="G55" i="1"/>
  <c r="H56" i="1"/>
  <c r="H116" i="1"/>
  <c r="H110" i="1"/>
  <c r="J110" i="1"/>
  <c r="K110" i="1"/>
  <c r="H109" i="1"/>
  <c r="J109" i="1"/>
  <c r="K109" i="1"/>
  <c r="H102" i="1"/>
  <c r="G100" i="1"/>
  <c r="H96" i="1"/>
  <c r="J96" i="1"/>
  <c r="K96" i="1"/>
  <c r="H123" i="1"/>
  <c r="H99" i="1"/>
  <c r="G94" i="1"/>
  <c r="C91" i="11"/>
  <c r="H91" i="1"/>
  <c r="G89" i="1"/>
  <c r="B83" i="11"/>
  <c r="G83" i="1"/>
  <c r="C79" i="11"/>
  <c r="G79" i="1"/>
  <c r="D70" i="11"/>
  <c r="G70" i="1"/>
  <c r="G69" i="1"/>
  <c r="D69" i="11"/>
  <c r="H73" i="1"/>
  <c r="J73" i="1"/>
  <c r="K73" i="1"/>
  <c r="D124" i="11"/>
  <c r="C123" i="11"/>
  <c r="F122" i="11"/>
  <c r="E121" i="11"/>
  <c r="F120" i="11"/>
  <c r="C119" i="11"/>
  <c r="F118" i="11"/>
  <c r="E113" i="11"/>
  <c r="F112" i="11"/>
  <c r="B112" i="11"/>
  <c r="E109" i="11"/>
  <c r="C109" i="11"/>
  <c r="F106" i="11"/>
  <c r="D102" i="11"/>
  <c r="B102" i="11"/>
  <c r="D98" i="11"/>
  <c r="F90" i="11"/>
  <c r="D90" i="11"/>
  <c r="E72" i="11"/>
  <c r="D58" i="11"/>
  <c r="J86" i="1"/>
  <c r="K86" i="1"/>
  <c r="J26" i="17"/>
  <c r="D28" i="17"/>
  <c r="C8" i="18"/>
  <c r="E29" i="17"/>
  <c r="J23" i="17"/>
  <c r="L23" i="17"/>
  <c r="M23" i="17"/>
  <c r="I23" i="17"/>
  <c r="I24" i="17"/>
  <c r="J24" i="17"/>
  <c r="D29" i="17"/>
  <c r="I67" i="11"/>
  <c r="I14" i="10"/>
  <c r="J14" i="10"/>
  <c r="K14" i="10"/>
  <c r="J16" i="10"/>
  <c r="K16" i="10"/>
  <c r="I86" i="11"/>
  <c r="J6" i="13"/>
  <c r="K6" i="13"/>
  <c r="I38" i="11"/>
  <c r="I31" i="10"/>
  <c r="I31" i="11"/>
  <c r="I93" i="11"/>
  <c r="I81" i="10"/>
  <c r="J81" i="10"/>
  <c r="K81" i="10"/>
  <c r="I4" i="1"/>
  <c r="J4" i="1"/>
  <c r="I22" i="1"/>
  <c r="I122" i="11"/>
  <c r="I118" i="11"/>
  <c r="I114" i="11"/>
  <c r="I12" i="11"/>
  <c r="I55" i="11"/>
  <c r="I59" i="11"/>
  <c r="I68" i="11"/>
  <c r="I85" i="11"/>
  <c r="I9" i="13"/>
  <c r="I130" i="13"/>
  <c r="I14" i="13"/>
  <c r="J15" i="13"/>
  <c r="K15" i="13"/>
  <c r="I18" i="13"/>
  <c r="J18" i="13"/>
  <c r="K18" i="13"/>
  <c r="I81" i="13"/>
  <c r="H6" i="48"/>
  <c r="H11" i="48"/>
  <c r="J13" i="1"/>
  <c r="K13" i="1"/>
  <c r="I27" i="10"/>
  <c r="I22" i="13"/>
  <c r="J22" i="13"/>
  <c r="K22" i="13"/>
  <c r="I105" i="11"/>
  <c r="J72" i="1"/>
  <c r="K72" i="1"/>
  <c r="J74" i="10"/>
  <c r="K74" i="10"/>
  <c r="I79" i="11"/>
  <c r="I6" i="11"/>
  <c r="I19" i="11"/>
  <c r="I24" i="11"/>
  <c r="I41" i="11"/>
  <c r="I83" i="11"/>
  <c r="I84" i="11"/>
  <c r="I36" i="13"/>
  <c r="J36" i="13"/>
  <c r="K36" i="13"/>
  <c r="J37" i="13"/>
  <c r="K37" i="13"/>
  <c r="B130" i="48"/>
  <c r="J43" i="10"/>
  <c r="K43" i="10"/>
  <c r="I67" i="13"/>
  <c r="I29" i="11"/>
  <c r="I81" i="1"/>
  <c r="I81" i="11"/>
  <c r="J40" i="13"/>
  <c r="K40" i="13"/>
  <c r="I104" i="11"/>
  <c r="J104" i="1"/>
  <c r="K104" i="1"/>
  <c r="J32" i="13"/>
  <c r="K32" i="13"/>
  <c r="J98" i="13"/>
  <c r="K98" i="13"/>
  <c r="I21" i="11"/>
  <c r="I26" i="11"/>
  <c r="I32" i="11"/>
  <c r="I58" i="11"/>
  <c r="I71" i="11"/>
  <c r="I75" i="11"/>
  <c r="I92" i="11"/>
  <c r="I124" i="11"/>
  <c r="I120" i="11"/>
  <c r="I108" i="11"/>
  <c r="I57" i="11"/>
  <c r="I63" i="11"/>
  <c r="I119" i="11"/>
  <c r="I117" i="11"/>
  <c r="I89" i="11"/>
  <c r="I27" i="13"/>
  <c r="J26" i="48"/>
  <c r="I26" i="48"/>
  <c r="D29" i="48"/>
  <c r="I34" i="11"/>
  <c r="J34" i="1"/>
  <c r="K34" i="1"/>
  <c r="I17" i="11"/>
  <c r="I23" i="11"/>
  <c r="I22" i="10"/>
  <c r="I22" i="11"/>
  <c r="I33" i="11"/>
  <c r="I46" i="11"/>
  <c r="I42" i="11"/>
  <c r="I51" i="11"/>
  <c r="I49" i="10"/>
  <c r="I78" i="11"/>
  <c r="I112" i="11"/>
  <c r="J125" i="10"/>
  <c r="K125" i="10"/>
  <c r="I125" i="11"/>
  <c r="I88" i="11"/>
  <c r="G29" i="48"/>
  <c r="I28" i="48"/>
  <c r="I9" i="1"/>
  <c r="I16" i="11"/>
  <c r="I14" i="1"/>
  <c r="I37" i="11"/>
  <c r="I36" i="1"/>
  <c r="I36" i="11"/>
  <c r="I50" i="11"/>
  <c r="I49" i="1"/>
  <c r="I133" i="1"/>
  <c r="I4" i="10"/>
  <c r="I127" i="10"/>
  <c r="S127" i="10"/>
  <c r="I9" i="10"/>
  <c r="I18" i="10"/>
  <c r="I40" i="11"/>
  <c r="I109" i="11"/>
  <c r="I103" i="11"/>
  <c r="I87" i="11"/>
  <c r="I80" i="11"/>
  <c r="I72" i="11"/>
  <c r="I95" i="11"/>
  <c r="J95" i="10"/>
  <c r="K95" i="10"/>
  <c r="J27" i="48"/>
  <c r="K6" i="48"/>
  <c r="J59" i="13"/>
  <c r="K59" i="13"/>
  <c r="J40" i="10"/>
  <c r="K40" i="10"/>
  <c r="J57" i="13"/>
  <c r="K57" i="13"/>
  <c r="I10" i="11"/>
  <c r="K10" i="48"/>
  <c r="J28" i="48"/>
  <c r="L28" i="48"/>
  <c r="M28" i="48"/>
  <c r="J25" i="48"/>
  <c r="L25" i="48"/>
  <c r="M25" i="48"/>
  <c r="F6" i="48"/>
  <c r="F11" i="48"/>
  <c r="M120" i="1"/>
  <c r="F4" i="17"/>
  <c r="D27" i="11"/>
  <c r="G27" i="11"/>
  <c r="G27" i="1"/>
  <c r="E119" i="12"/>
  <c r="C125" i="12"/>
  <c r="V125" i="14"/>
  <c r="V136" i="14"/>
  <c r="C121" i="11"/>
  <c r="G121" i="1"/>
  <c r="D119" i="11"/>
  <c r="H119" i="1"/>
  <c r="G71" i="1"/>
  <c r="C71" i="11"/>
  <c r="F68" i="11"/>
  <c r="H68" i="1"/>
  <c r="G68" i="1"/>
  <c r="G66" i="1"/>
  <c r="H66" i="1"/>
  <c r="D59" i="11"/>
  <c r="G59" i="1"/>
  <c r="H59" i="1"/>
  <c r="C54" i="11"/>
  <c r="G54" i="1"/>
  <c r="H54" i="1"/>
  <c r="G42" i="1"/>
  <c r="H42" i="1"/>
  <c r="D40" i="11"/>
  <c r="G40" i="1"/>
  <c r="C37" i="11"/>
  <c r="G37" i="1"/>
  <c r="H37" i="1"/>
  <c r="O4" i="1"/>
  <c r="P4" i="1"/>
  <c r="M59" i="13"/>
  <c r="O59" i="13"/>
  <c r="P59" i="13"/>
  <c r="H36" i="1"/>
  <c r="H36" i="11"/>
  <c r="D36" i="11"/>
  <c r="D67" i="11"/>
  <c r="G67" i="11"/>
  <c r="E8" i="11"/>
  <c r="E132" i="1"/>
  <c r="H60" i="1"/>
  <c r="G39" i="1"/>
  <c r="J122" i="1"/>
  <c r="K122" i="1"/>
  <c r="M52" i="13"/>
  <c r="O52" i="13"/>
  <c r="P52" i="13"/>
  <c r="J52" i="13"/>
  <c r="K52" i="13"/>
  <c r="M25" i="13"/>
  <c r="O25" i="13"/>
  <c r="P25" i="13"/>
  <c r="J86" i="13"/>
  <c r="K86" i="13"/>
  <c r="M86" i="13"/>
  <c r="O86" i="13"/>
  <c r="P86" i="13"/>
  <c r="M122" i="13"/>
  <c r="O122" i="13"/>
  <c r="P122" i="13"/>
  <c r="J122" i="13"/>
  <c r="K122" i="13"/>
  <c r="J115" i="13"/>
  <c r="K115" i="13"/>
  <c r="M115" i="13"/>
  <c r="O115" i="13"/>
  <c r="P115" i="13"/>
  <c r="M69" i="10"/>
  <c r="O125" i="12"/>
  <c r="Q119" i="12"/>
  <c r="AC116" i="12"/>
  <c r="B124" i="11"/>
  <c r="G124" i="1"/>
  <c r="H124" i="1"/>
  <c r="G63" i="1"/>
  <c r="H63" i="1"/>
  <c r="E63" i="11"/>
  <c r="H61" i="1"/>
  <c r="B61" i="11"/>
  <c r="G61" i="1"/>
  <c r="E51" i="11"/>
  <c r="H51" i="1"/>
  <c r="H50" i="1"/>
  <c r="B50" i="11"/>
  <c r="G50" i="1"/>
  <c r="G44" i="1"/>
  <c r="E44" i="11"/>
  <c r="H41" i="1"/>
  <c r="D41" i="11"/>
  <c r="O49" i="10"/>
  <c r="P49" i="10"/>
  <c r="M30" i="1"/>
  <c r="O30" i="1"/>
  <c r="P30" i="1"/>
  <c r="J30" i="1"/>
  <c r="U136" i="14"/>
  <c r="W136" i="14"/>
  <c r="H131" i="1"/>
  <c r="H89" i="11"/>
  <c r="J89" i="11"/>
  <c r="K89" i="11"/>
  <c r="J20" i="13"/>
  <c r="K20" i="13"/>
  <c r="M20" i="13"/>
  <c r="O20" i="13"/>
  <c r="P20" i="13"/>
  <c r="M36" i="10"/>
  <c r="H130" i="10"/>
  <c r="H121" i="1"/>
  <c r="J39" i="10"/>
  <c r="K39" i="10"/>
  <c r="Q127" i="2"/>
  <c r="Q189" i="2"/>
  <c r="O189" i="2"/>
  <c r="O134" i="2"/>
  <c r="W118" i="12"/>
  <c r="U125" i="12"/>
  <c r="P125" i="12"/>
  <c r="P136" i="12"/>
  <c r="G120" i="1"/>
  <c r="B120" i="11"/>
  <c r="C64" i="11"/>
  <c r="G64" i="1"/>
  <c r="G62" i="1"/>
  <c r="B62" i="11"/>
  <c r="H62" i="1"/>
  <c r="F57" i="11"/>
  <c r="G57" i="1"/>
  <c r="H57" i="1"/>
  <c r="C52" i="11"/>
  <c r="G52" i="1"/>
  <c r="H52" i="1"/>
  <c r="G45" i="1"/>
  <c r="C45" i="11"/>
  <c r="H45" i="1"/>
  <c r="G43" i="1"/>
  <c r="B43" i="11"/>
  <c r="H43" i="1"/>
  <c r="D129" i="1"/>
  <c r="M89" i="1"/>
  <c r="H27" i="1"/>
  <c r="M4" i="13"/>
  <c r="D133" i="1"/>
  <c r="G30" i="1"/>
  <c r="D132" i="1"/>
  <c r="D22" i="11"/>
  <c r="D129" i="11"/>
  <c r="J67" i="13"/>
  <c r="K67" i="13"/>
  <c r="E30" i="11"/>
  <c r="H71" i="1"/>
  <c r="H64" i="1"/>
  <c r="J55" i="10"/>
  <c r="K55" i="10"/>
  <c r="C127" i="10"/>
  <c r="G22" i="10"/>
  <c r="W120" i="2"/>
  <c r="W182" i="2"/>
  <c r="U182" i="2"/>
  <c r="G119" i="1"/>
  <c r="K123" i="12"/>
  <c r="I125" i="12"/>
  <c r="G125" i="1"/>
  <c r="H125" i="1"/>
  <c r="B74" i="11"/>
  <c r="G74" i="1"/>
  <c r="Q114" i="2"/>
  <c r="Q176" i="2"/>
  <c r="O176" i="2"/>
  <c r="V125" i="12"/>
  <c r="V136" i="12"/>
  <c r="T187" i="2"/>
  <c r="V136" i="2"/>
  <c r="T196" i="2"/>
  <c r="G115" i="1"/>
  <c r="G113" i="1"/>
  <c r="G110" i="1"/>
  <c r="B107" i="11"/>
  <c r="H107" i="1"/>
  <c r="G106" i="1"/>
  <c r="H106" i="1"/>
  <c r="H103" i="1"/>
  <c r="H101" i="1"/>
  <c r="G101" i="1"/>
  <c r="G99" i="1"/>
  <c r="H98" i="1"/>
  <c r="H95" i="1"/>
  <c r="C95" i="11"/>
  <c r="H92" i="1"/>
  <c r="H92" i="11"/>
  <c r="J92" i="11"/>
  <c r="K92" i="11"/>
  <c r="G92" i="1"/>
  <c r="H90" i="1"/>
  <c r="G86" i="1"/>
  <c r="H82" i="1"/>
  <c r="G80" i="1"/>
  <c r="C80" i="11"/>
  <c r="H79" i="1"/>
  <c r="C78" i="11"/>
  <c r="H78" i="1"/>
  <c r="H69" i="1"/>
  <c r="G60" i="1"/>
  <c r="G41" i="1"/>
  <c r="H40" i="1"/>
  <c r="H33" i="1"/>
  <c r="G33" i="1"/>
  <c r="G28" i="1"/>
  <c r="C26" i="11"/>
  <c r="G26" i="1"/>
  <c r="H25" i="1"/>
  <c r="B25" i="11"/>
  <c r="H21" i="1"/>
  <c r="H17" i="1"/>
  <c r="H16" i="1"/>
  <c r="C13" i="11"/>
  <c r="G13" i="1"/>
  <c r="G7" i="1"/>
  <c r="C6" i="11"/>
  <c r="H6" i="1"/>
  <c r="E125" i="11"/>
  <c r="C125" i="11"/>
  <c r="H124" i="10"/>
  <c r="E123" i="11"/>
  <c r="H122" i="10"/>
  <c r="F116" i="11"/>
  <c r="D116" i="11"/>
  <c r="D127" i="13"/>
  <c r="H31" i="13"/>
  <c r="Z194" i="2"/>
  <c r="AB136" i="2"/>
  <c r="Z196" i="2"/>
  <c r="E127" i="2"/>
  <c r="E189" i="2"/>
  <c r="C189" i="2"/>
  <c r="C134" i="2"/>
  <c r="U185" i="2"/>
  <c r="W123" i="2"/>
  <c r="W185" i="2"/>
  <c r="U178" i="2"/>
  <c r="W116" i="2"/>
  <c r="W178" i="2"/>
  <c r="N127" i="10"/>
  <c r="M4" i="11"/>
  <c r="M129" i="11"/>
  <c r="N9" i="9"/>
  <c r="O9" i="9"/>
  <c r="I180" i="2"/>
  <c r="K118" i="2"/>
  <c r="K180" i="2"/>
  <c r="I125" i="2"/>
  <c r="H76" i="1"/>
  <c r="H75" i="1"/>
  <c r="G75" i="1"/>
  <c r="G73" i="1"/>
  <c r="B51" i="11"/>
  <c r="G51" i="1"/>
  <c r="J76" i="13"/>
  <c r="K76" i="13"/>
  <c r="M76" i="13"/>
  <c r="O76" i="13"/>
  <c r="P76" i="13"/>
  <c r="Z136" i="12"/>
  <c r="AA125" i="2"/>
  <c r="U125" i="2"/>
  <c r="U136" i="2"/>
  <c r="W118" i="2"/>
  <c r="W180" i="2"/>
  <c r="I134" i="12"/>
  <c r="K134" i="12"/>
  <c r="AA125" i="12"/>
  <c r="AC125" i="12"/>
  <c r="J134" i="14"/>
  <c r="AB125" i="14"/>
  <c r="AB136" i="14"/>
  <c r="E118" i="14"/>
  <c r="C125" i="14"/>
  <c r="C180" i="2"/>
  <c r="E118" i="2"/>
  <c r="E180" i="2"/>
  <c r="G127" i="1"/>
  <c r="H127" i="1"/>
  <c r="J76" i="15"/>
  <c r="H47" i="1"/>
  <c r="G47" i="1"/>
  <c r="H39" i="1"/>
  <c r="G110" i="13"/>
  <c r="H110" i="13"/>
  <c r="G112" i="10"/>
  <c r="H105" i="10"/>
  <c r="G105" i="10"/>
  <c r="G119" i="10"/>
  <c r="T136" i="14"/>
  <c r="Q127" i="12"/>
  <c r="P125" i="14"/>
  <c r="P136" i="14"/>
  <c r="O125" i="14"/>
  <c r="F125" i="11"/>
  <c r="B125" i="11"/>
  <c r="G125" i="10"/>
  <c r="F121" i="11"/>
  <c r="B121" i="11"/>
  <c r="H121" i="10"/>
  <c r="H119" i="10"/>
  <c r="E118" i="11"/>
  <c r="E116" i="11"/>
  <c r="G115" i="10"/>
  <c r="B113" i="11"/>
  <c r="H113" i="10"/>
  <c r="G113" i="10"/>
  <c r="C112" i="11"/>
  <c r="G109" i="10"/>
  <c r="E92" i="11"/>
  <c r="C33" i="11"/>
  <c r="H46" i="13"/>
  <c r="G46" i="13"/>
  <c r="G120" i="10"/>
  <c r="H116" i="10"/>
  <c r="C115" i="11"/>
  <c r="H108" i="10"/>
  <c r="H101" i="10"/>
  <c r="G98" i="10"/>
  <c r="C97" i="11"/>
  <c r="H97" i="10"/>
  <c r="G96" i="10"/>
  <c r="E95" i="11"/>
  <c r="F94" i="11"/>
  <c r="H94" i="10"/>
  <c r="G90" i="10"/>
  <c r="B86" i="11"/>
  <c r="G83" i="10"/>
  <c r="B82" i="11"/>
  <c r="E80" i="11"/>
  <c r="H80" i="10"/>
  <c r="H78" i="10"/>
  <c r="G78" i="10"/>
  <c r="G76" i="10"/>
  <c r="G74" i="10"/>
  <c r="G72" i="10"/>
  <c r="C72" i="11"/>
  <c r="H71" i="10"/>
  <c r="F69" i="11"/>
  <c r="E68" i="11"/>
  <c r="C68" i="11"/>
  <c r="H65" i="10"/>
  <c r="B64" i="11"/>
  <c r="C63" i="11"/>
  <c r="G62" i="10"/>
  <c r="C61" i="11"/>
  <c r="H61" i="10"/>
  <c r="H60" i="10"/>
  <c r="G58" i="10"/>
  <c r="E57" i="11"/>
  <c r="C57" i="11"/>
  <c r="H56" i="10"/>
  <c r="D56" i="11"/>
  <c r="F54" i="11"/>
  <c r="D47" i="11"/>
  <c r="G47" i="10"/>
  <c r="G25" i="10"/>
  <c r="B21" i="11"/>
  <c r="B20" i="11"/>
  <c r="F16" i="11"/>
  <c r="F15" i="11"/>
  <c r="G15" i="10"/>
  <c r="E12" i="11"/>
  <c r="H10" i="10"/>
  <c r="G10" i="10"/>
  <c r="G120" i="13"/>
  <c r="H120" i="13"/>
  <c r="H116" i="13"/>
  <c r="F31" i="11"/>
  <c r="F131" i="10"/>
  <c r="Q116" i="2"/>
  <c r="Q178" i="2"/>
  <c r="O178" i="2"/>
  <c r="D134" i="14"/>
  <c r="D136" i="14"/>
  <c r="U6" i="1"/>
  <c r="U7" i="1"/>
  <c r="T6" i="1"/>
  <c r="T7" i="1"/>
  <c r="V7" i="1"/>
  <c r="U134" i="2"/>
  <c r="U189" i="2"/>
  <c r="H108" i="1"/>
  <c r="G54" i="10"/>
  <c r="E52" i="11"/>
  <c r="H52" i="10"/>
  <c r="H51" i="10"/>
  <c r="G45" i="10"/>
  <c r="H44" i="10"/>
  <c r="B42" i="11"/>
  <c r="H118" i="13"/>
  <c r="H21" i="13"/>
  <c r="G21" i="13"/>
  <c r="AB125" i="12"/>
  <c r="AB136" i="12"/>
  <c r="J125" i="14"/>
  <c r="X7" i="1"/>
  <c r="Y7" i="1"/>
  <c r="K8" i="17"/>
  <c r="L8" i="17"/>
  <c r="M8" i="17"/>
  <c r="X8" i="1"/>
  <c r="Y8" i="1"/>
  <c r="K9" i="17"/>
  <c r="L9" i="17"/>
  <c r="M9" i="17"/>
  <c r="X6" i="1"/>
  <c r="Y6" i="1"/>
  <c r="K7" i="17"/>
  <c r="H64" i="13"/>
  <c r="G35" i="10"/>
  <c r="C28" i="11"/>
  <c r="H106" i="13"/>
  <c r="G55" i="13"/>
  <c r="H125" i="14"/>
  <c r="C9" i="13"/>
  <c r="H9" i="13"/>
  <c r="B180" i="2"/>
  <c r="B8" i="1"/>
  <c r="B125" i="2"/>
  <c r="H95" i="13"/>
  <c r="H31" i="10"/>
  <c r="U183" i="2"/>
  <c r="G48" i="13"/>
  <c r="G52" i="13"/>
  <c r="F67" i="11"/>
  <c r="F30" i="11"/>
  <c r="F22" i="11"/>
  <c r="F18" i="11"/>
  <c r="G103" i="13"/>
  <c r="F49" i="11"/>
  <c r="T192" i="2"/>
  <c r="E67" i="1"/>
  <c r="E67" i="11"/>
  <c r="E131" i="10"/>
  <c r="B191" i="2"/>
  <c r="B49" i="1"/>
  <c r="B182" i="2"/>
  <c r="B14" i="1"/>
  <c r="O10" i="48"/>
  <c r="P10" i="48"/>
  <c r="L10" i="48"/>
  <c r="M10" i="48"/>
  <c r="J4" i="48"/>
  <c r="I4" i="48"/>
  <c r="Z193" i="2"/>
  <c r="F81" i="1"/>
  <c r="C34" i="11"/>
  <c r="B193" i="2"/>
  <c r="B81" i="1"/>
  <c r="G30" i="10"/>
  <c r="H45" i="13"/>
  <c r="Z182" i="2"/>
  <c r="F14" i="1"/>
  <c r="T182" i="2"/>
  <c r="E14" i="1"/>
  <c r="E14" i="11"/>
  <c r="T181" i="2"/>
  <c r="E9" i="1"/>
  <c r="H184" i="2"/>
  <c r="C22" i="1"/>
  <c r="R76" i="15"/>
  <c r="H27" i="17"/>
  <c r="O28" i="48"/>
  <c r="P28" i="48"/>
  <c r="B189" i="2"/>
  <c r="B31" i="1"/>
  <c r="I60" i="11"/>
  <c r="I24" i="48"/>
  <c r="F29" i="48"/>
  <c r="J24" i="48"/>
  <c r="I27" i="48"/>
  <c r="I25" i="11"/>
  <c r="I48" i="11"/>
  <c r="J5" i="48"/>
  <c r="I5" i="48"/>
  <c r="J3" i="48"/>
  <c r="D6" i="48"/>
  <c r="D11" i="48"/>
  <c r="I3" i="48"/>
  <c r="I23" i="48"/>
  <c r="J23" i="48"/>
  <c r="H29" i="48"/>
  <c r="G6" i="48"/>
  <c r="G11" i="48"/>
  <c r="J105" i="1"/>
  <c r="K105" i="1"/>
  <c r="H13" i="11"/>
  <c r="J13" i="11"/>
  <c r="K13" i="11"/>
  <c r="H83" i="11"/>
  <c r="J83" i="11"/>
  <c r="K83" i="11"/>
  <c r="G111" i="11"/>
  <c r="G78" i="11"/>
  <c r="J72" i="13"/>
  <c r="K72" i="13"/>
  <c r="J12" i="13"/>
  <c r="K12" i="13"/>
  <c r="J30" i="13"/>
  <c r="K30" i="13"/>
  <c r="J125" i="13"/>
  <c r="K125" i="13"/>
  <c r="J91" i="13"/>
  <c r="K91" i="13"/>
  <c r="J51" i="13"/>
  <c r="K51" i="13"/>
  <c r="J108" i="13"/>
  <c r="K108" i="13"/>
  <c r="J83" i="13"/>
  <c r="K83" i="13"/>
  <c r="J4" i="13"/>
  <c r="J129" i="13"/>
  <c r="J113" i="13"/>
  <c r="K113" i="13"/>
  <c r="J38" i="13"/>
  <c r="K38" i="13"/>
  <c r="J14" i="13"/>
  <c r="K14" i="13"/>
  <c r="J33" i="13"/>
  <c r="K33" i="13"/>
  <c r="J80" i="13"/>
  <c r="K80" i="13"/>
  <c r="J101" i="13"/>
  <c r="K101" i="13"/>
  <c r="M88" i="13"/>
  <c r="O88" i="13"/>
  <c r="P88" i="13"/>
  <c r="J88" i="13"/>
  <c r="K88" i="13"/>
  <c r="J61" i="13"/>
  <c r="K61" i="13"/>
  <c r="M44" i="13"/>
  <c r="O44" i="13"/>
  <c r="P44" i="13"/>
  <c r="J99" i="13"/>
  <c r="K99" i="13"/>
  <c r="J13" i="13"/>
  <c r="K13" i="13"/>
  <c r="J112" i="13"/>
  <c r="K112" i="13"/>
  <c r="J89" i="13"/>
  <c r="K89" i="13"/>
  <c r="J17" i="13"/>
  <c r="K17" i="13"/>
  <c r="J63" i="13"/>
  <c r="K63" i="13"/>
  <c r="M29" i="13"/>
  <c r="O29" i="13"/>
  <c r="P29" i="13"/>
  <c r="J29" i="13"/>
  <c r="K29" i="13"/>
  <c r="J42" i="13"/>
  <c r="K42" i="13"/>
  <c r="M42" i="13"/>
  <c r="O42" i="13"/>
  <c r="P42" i="13"/>
  <c r="M66" i="13"/>
  <c r="O66" i="13"/>
  <c r="P66" i="13"/>
  <c r="J66" i="13"/>
  <c r="K66" i="13"/>
  <c r="J50" i="13"/>
  <c r="K50" i="13"/>
  <c r="J47" i="13"/>
  <c r="K47" i="13"/>
  <c r="J102" i="13"/>
  <c r="K102" i="13"/>
  <c r="J73" i="13"/>
  <c r="K73" i="13"/>
  <c r="J16" i="13"/>
  <c r="K16" i="13"/>
  <c r="J34" i="13"/>
  <c r="K34" i="13"/>
  <c r="J49" i="13"/>
  <c r="K49" i="13"/>
  <c r="H136" i="14"/>
  <c r="M100" i="13"/>
  <c r="O100" i="13"/>
  <c r="P100" i="13"/>
  <c r="J100" i="13"/>
  <c r="K100" i="13"/>
  <c r="J107" i="13"/>
  <c r="K107" i="13"/>
  <c r="J27" i="13"/>
  <c r="K27" i="13"/>
  <c r="J39" i="13"/>
  <c r="K39" i="13"/>
  <c r="J77" i="13"/>
  <c r="K77" i="13"/>
  <c r="J24" i="13"/>
  <c r="K24" i="13"/>
  <c r="J11" i="13"/>
  <c r="K11" i="13"/>
  <c r="M11" i="13"/>
  <c r="O11" i="13"/>
  <c r="P11" i="13"/>
  <c r="J8" i="13"/>
  <c r="K8" i="13"/>
  <c r="J58" i="13"/>
  <c r="K58" i="13"/>
  <c r="M58" i="13"/>
  <c r="O58" i="13"/>
  <c r="P58" i="13"/>
  <c r="M54" i="13"/>
  <c r="O54" i="13"/>
  <c r="P54" i="13"/>
  <c r="J54" i="13"/>
  <c r="K54" i="13"/>
  <c r="J10" i="13"/>
  <c r="K10" i="13"/>
  <c r="J75" i="13"/>
  <c r="K75" i="13"/>
  <c r="J82" i="13"/>
  <c r="K82" i="13"/>
  <c r="M82" i="13"/>
  <c r="O82" i="13"/>
  <c r="P82" i="13"/>
  <c r="J53" i="13"/>
  <c r="K53" i="13"/>
  <c r="M53" i="13"/>
  <c r="O53" i="13"/>
  <c r="P53" i="13"/>
  <c r="J81" i="13"/>
  <c r="K81" i="13"/>
  <c r="J94" i="13"/>
  <c r="K94" i="13"/>
  <c r="M94" i="13"/>
  <c r="O94" i="13"/>
  <c r="P94" i="13"/>
  <c r="M43" i="13"/>
  <c r="O43" i="13"/>
  <c r="P43" i="13"/>
  <c r="J43" i="13"/>
  <c r="K43" i="13"/>
  <c r="J123" i="13"/>
  <c r="K123" i="13"/>
  <c r="J60" i="13"/>
  <c r="K60" i="13"/>
  <c r="M60" i="13"/>
  <c r="O60" i="13"/>
  <c r="P60" i="13"/>
  <c r="I127" i="13"/>
  <c r="R67" i="13"/>
  <c r="G66" i="11"/>
  <c r="G17" i="11"/>
  <c r="H55" i="11"/>
  <c r="J55" i="11"/>
  <c r="K55" i="11"/>
  <c r="H88" i="11"/>
  <c r="J88" i="11"/>
  <c r="K88" i="11"/>
  <c r="G76" i="11"/>
  <c r="G48" i="11"/>
  <c r="J88" i="10"/>
  <c r="K88" i="10"/>
  <c r="J37" i="10"/>
  <c r="K37" i="10"/>
  <c r="J50" i="10"/>
  <c r="K50" i="10"/>
  <c r="G32" i="11"/>
  <c r="J45" i="10"/>
  <c r="K45" i="10"/>
  <c r="G29" i="11"/>
  <c r="G77" i="11"/>
  <c r="J8" i="10"/>
  <c r="K8" i="10"/>
  <c r="G6" i="11"/>
  <c r="H104" i="11"/>
  <c r="J104" i="11"/>
  <c r="K104" i="11"/>
  <c r="J104" i="10"/>
  <c r="K104" i="10"/>
  <c r="G110" i="11"/>
  <c r="J90" i="10"/>
  <c r="K90" i="10"/>
  <c r="G39" i="11"/>
  <c r="J70" i="10"/>
  <c r="K70" i="10"/>
  <c r="J72" i="10"/>
  <c r="K72" i="10"/>
  <c r="G91" i="11"/>
  <c r="H53" i="11"/>
  <c r="J53" i="11"/>
  <c r="K53" i="11"/>
  <c r="G19" i="11"/>
  <c r="G89" i="11"/>
  <c r="G13" i="11"/>
  <c r="J58" i="10"/>
  <c r="K58" i="10"/>
  <c r="G106" i="11"/>
  <c r="G20" i="11"/>
  <c r="G47" i="11"/>
  <c r="G86" i="11"/>
  <c r="G33" i="11"/>
  <c r="H86" i="11"/>
  <c r="J86" i="11"/>
  <c r="K86" i="11"/>
  <c r="J87" i="10"/>
  <c r="K87" i="10"/>
  <c r="J23" i="10"/>
  <c r="K23" i="10"/>
  <c r="J67" i="10"/>
  <c r="K67" i="10"/>
  <c r="J54" i="10"/>
  <c r="K54" i="10"/>
  <c r="G117" i="11"/>
  <c r="J102" i="10"/>
  <c r="K102" i="10"/>
  <c r="M41" i="10"/>
  <c r="O41" i="10"/>
  <c r="P41" i="10"/>
  <c r="J42" i="10"/>
  <c r="K42" i="10"/>
  <c r="H58" i="11"/>
  <c r="J58" i="11"/>
  <c r="K58" i="11"/>
  <c r="J38" i="10"/>
  <c r="K38" i="10"/>
  <c r="M117" i="10"/>
  <c r="O117" i="10"/>
  <c r="P117" i="10"/>
  <c r="G21" i="11"/>
  <c r="G50" i="11"/>
  <c r="J100" i="10"/>
  <c r="K100" i="10"/>
  <c r="G84" i="11"/>
  <c r="G5" i="11"/>
  <c r="H72" i="11"/>
  <c r="J72" i="11"/>
  <c r="K72" i="11"/>
  <c r="J86" i="10"/>
  <c r="K86" i="10"/>
  <c r="J93" i="10"/>
  <c r="K93" i="10"/>
  <c r="M30" i="10"/>
  <c r="O30" i="10"/>
  <c r="P30" i="10"/>
  <c r="J30" i="10"/>
  <c r="K30" i="10"/>
  <c r="G82" i="11"/>
  <c r="G43" i="11"/>
  <c r="G62" i="11"/>
  <c r="G120" i="11"/>
  <c r="G37" i="11"/>
  <c r="G71" i="11"/>
  <c r="J99" i="10"/>
  <c r="K99" i="10"/>
  <c r="J20" i="10"/>
  <c r="K20" i="10"/>
  <c r="J11" i="10"/>
  <c r="K11" i="10"/>
  <c r="J84" i="10"/>
  <c r="K84" i="10"/>
  <c r="G7" i="11"/>
  <c r="H30" i="11"/>
  <c r="J30" i="11"/>
  <c r="K30" i="11"/>
  <c r="G46" i="11"/>
  <c r="G88" i="11"/>
  <c r="M106" i="10"/>
  <c r="O106" i="10"/>
  <c r="P106" i="10"/>
  <c r="G73" i="11"/>
  <c r="J57" i="10"/>
  <c r="K57" i="10"/>
  <c r="J17" i="10"/>
  <c r="K17" i="10"/>
  <c r="G11" i="11"/>
  <c r="M83" i="10"/>
  <c r="J83" i="10"/>
  <c r="K83" i="10"/>
  <c r="G30" i="11"/>
  <c r="J34" i="11"/>
  <c r="K34" i="11"/>
  <c r="J47" i="10"/>
  <c r="K47" i="10"/>
  <c r="J107" i="10"/>
  <c r="K107" i="10"/>
  <c r="J118" i="10"/>
  <c r="K118" i="10"/>
  <c r="G79" i="11"/>
  <c r="G96" i="11"/>
  <c r="H77" i="11"/>
  <c r="J77" i="11"/>
  <c r="K77" i="11"/>
  <c r="J91" i="10"/>
  <c r="K91" i="10"/>
  <c r="M103" i="10"/>
  <c r="O103" i="10"/>
  <c r="P103" i="10"/>
  <c r="M98" i="10"/>
  <c r="O98" i="10"/>
  <c r="P98" i="10"/>
  <c r="J98" i="10"/>
  <c r="K98" i="10"/>
  <c r="G92" i="11"/>
  <c r="G23" i="11"/>
  <c r="G97" i="11"/>
  <c r="J33" i="10"/>
  <c r="K33" i="10"/>
  <c r="J66" i="10"/>
  <c r="K66" i="10"/>
  <c r="G98" i="11"/>
  <c r="H26" i="11"/>
  <c r="J26" i="11"/>
  <c r="K26" i="11"/>
  <c r="J26" i="10"/>
  <c r="K26" i="10"/>
  <c r="G87" i="11"/>
  <c r="G60" i="11"/>
  <c r="J48" i="10"/>
  <c r="K48" i="10"/>
  <c r="J96" i="10"/>
  <c r="K96" i="10"/>
  <c r="M96" i="10"/>
  <c r="O96" i="10"/>
  <c r="P96" i="10"/>
  <c r="M79" i="10"/>
  <c r="J59" i="10"/>
  <c r="K59" i="10"/>
  <c r="G105" i="11"/>
  <c r="H112" i="11"/>
  <c r="J112" i="11"/>
  <c r="K112" i="11"/>
  <c r="G10" i="11"/>
  <c r="G131" i="10"/>
  <c r="G42" i="11"/>
  <c r="J85" i="10"/>
  <c r="K85" i="10"/>
  <c r="H33" i="11"/>
  <c r="J33" i="11"/>
  <c r="K33" i="11"/>
  <c r="H69" i="11"/>
  <c r="J69" i="11"/>
  <c r="K69" i="11"/>
  <c r="M32" i="10"/>
  <c r="O32" i="10"/>
  <c r="P32" i="10"/>
  <c r="G40" i="11"/>
  <c r="G59" i="11"/>
  <c r="J109" i="10"/>
  <c r="K109" i="10"/>
  <c r="G53" i="11"/>
  <c r="G24" i="11"/>
  <c r="G103" i="11"/>
  <c r="G104" i="11"/>
  <c r="J123" i="10"/>
  <c r="K123" i="10"/>
  <c r="J13" i="10"/>
  <c r="K13" i="10"/>
  <c r="M13" i="10"/>
  <c r="O13" i="10"/>
  <c r="P13" i="10"/>
  <c r="G41" i="11"/>
  <c r="G38" i="11"/>
  <c r="J53" i="10"/>
  <c r="K53" i="10"/>
  <c r="M53" i="10"/>
  <c r="O53" i="10"/>
  <c r="P53" i="10"/>
  <c r="J115" i="10"/>
  <c r="K115" i="10"/>
  <c r="M76" i="10"/>
  <c r="O76" i="10"/>
  <c r="P76" i="10"/>
  <c r="J76" i="10"/>
  <c r="K76" i="10"/>
  <c r="M63" i="10"/>
  <c r="O63" i="10"/>
  <c r="P63" i="10"/>
  <c r="J63" i="10"/>
  <c r="K63" i="10"/>
  <c r="M21" i="10"/>
  <c r="O21" i="10"/>
  <c r="P21" i="10"/>
  <c r="J21" i="10"/>
  <c r="K21" i="10"/>
  <c r="G93" i="11"/>
  <c r="G85" i="11"/>
  <c r="J111" i="10"/>
  <c r="K111" i="10"/>
  <c r="J29" i="10"/>
  <c r="K29" i="10"/>
  <c r="J12" i="10"/>
  <c r="K12" i="10"/>
  <c r="M12" i="10"/>
  <c r="O12" i="10"/>
  <c r="P12" i="10"/>
  <c r="G28" i="11"/>
  <c r="G115" i="11"/>
  <c r="G51" i="11"/>
  <c r="J68" i="10"/>
  <c r="K68" i="10"/>
  <c r="G55" i="11"/>
  <c r="G65" i="11"/>
  <c r="H74" i="11"/>
  <c r="J74" i="11"/>
  <c r="K74" i="11"/>
  <c r="G69" i="11"/>
  <c r="G26" i="11"/>
  <c r="G107" i="11"/>
  <c r="G74" i="11"/>
  <c r="G45" i="11"/>
  <c r="G44" i="11"/>
  <c r="G70" i="11"/>
  <c r="G83" i="11"/>
  <c r="G100" i="11"/>
  <c r="G108" i="11"/>
  <c r="J112" i="10"/>
  <c r="K112" i="10"/>
  <c r="J75" i="10"/>
  <c r="K75" i="10"/>
  <c r="J89" i="10"/>
  <c r="K89" i="10"/>
  <c r="M89" i="10"/>
  <c r="O89" i="10"/>
  <c r="P89" i="10"/>
  <c r="M110" i="10"/>
  <c r="O110" i="10"/>
  <c r="P110" i="10"/>
  <c r="J110" i="10"/>
  <c r="K110" i="10"/>
  <c r="J77" i="10"/>
  <c r="K77" i="10"/>
  <c r="M77" i="10"/>
  <c r="O77" i="10"/>
  <c r="P77" i="10"/>
  <c r="J64" i="10"/>
  <c r="K64" i="10"/>
  <c r="M64" i="10"/>
  <c r="O64" i="10"/>
  <c r="P64" i="10"/>
  <c r="M77" i="1"/>
  <c r="L5" i="11"/>
  <c r="N5" i="11"/>
  <c r="O5" i="11"/>
  <c r="M26" i="1"/>
  <c r="L26" i="11"/>
  <c r="N26" i="11"/>
  <c r="O26" i="11"/>
  <c r="H115" i="11"/>
  <c r="J115" i="11"/>
  <c r="K115" i="11"/>
  <c r="H120" i="11"/>
  <c r="J120" i="11"/>
  <c r="K120" i="11"/>
  <c r="G94" i="11"/>
  <c r="H20" i="11"/>
  <c r="J20" i="11"/>
  <c r="K20" i="11"/>
  <c r="L111" i="11"/>
  <c r="N111" i="11"/>
  <c r="O111" i="11"/>
  <c r="J70" i="1"/>
  <c r="K70" i="1"/>
  <c r="H5" i="11"/>
  <c r="J5" i="11"/>
  <c r="K5" i="11"/>
  <c r="H28" i="11"/>
  <c r="J28" i="11"/>
  <c r="K28" i="11"/>
  <c r="J113" i="1"/>
  <c r="K113" i="1"/>
  <c r="G64" i="11"/>
  <c r="G121" i="11"/>
  <c r="J53" i="1"/>
  <c r="K53" i="1"/>
  <c r="G25" i="11"/>
  <c r="M53" i="1"/>
  <c r="O53" i="1"/>
  <c r="P53" i="1"/>
  <c r="J77" i="1"/>
  <c r="K77" i="1"/>
  <c r="G12" i="11"/>
  <c r="J32" i="1"/>
  <c r="K32" i="1"/>
  <c r="M55" i="1"/>
  <c r="O55" i="1"/>
  <c r="P55" i="1"/>
  <c r="H117" i="11"/>
  <c r="G18" i="11"/>
  <c r="O117" i="1"/>
  <c r="P117" i="1"/>
  <c r="G56" i="11"/>
  <c r="G114" i="11"/>
  <c r="G18" i="1"/>
  <c r="J85" i="1"/>
  <c r="K85" i="1"/>
  <c r="G15" i="11"/>
  <c r="H70" i="11"/>
  <c r="J70" i="11"/>
  <c r="K70" i="11"/>
  <c r="H32" i="11"/>
  <c r="J32" i="11"/>
  <c r="K32" i="11"/>
  <c r="H18" i="11"/>
  <c r="M44" i="1"/>
  <c r="O44" i="1"/>
  <c r="P44" i="1"/>
  <c r="J117" i="11"/>
  <c r="K117" i="11"/>
  <c r="M11" i="1"/>
  <c r="O11" i="1"/>
  <c r="P11" i="1"/>
  <c r="J112" i="1"/>
  <c r="K112" i="1"/>
  <c r="J20" i="1"/>
  <c r="K20" i="1"/>
  <c r="M112" i="1"/>
  <c r="L112" i="11"/>
  <c r="N112" i="11"/>
  <c r="O112" i="11"/>
  <c r="J18" i="1"/>
  <c r="K18" i="1"/>
  <c r="M72" i="1"/>
  <c r="O72" i="1"/>
  <c r="P72" i="1"/>
  <c r="M15" i="1"/>
  <c r="O15" i="1"/>
  <c r="P15" i="1"/>
  <c r="G63" i="11"/>
  <c r="J94" i="1"/>
  <c r="K94" i="1"/>
  <c r="G102" i="11"/>
  <c r="J97" i="1"/>
  <c r="K97" i="1"/>
  <c r="H11" i="11"/>
  <c r="J11" i="11"/>
  <c r="K11" i="11"/>
  <c r="J15" i="1"/>
  <c r="K15" i="1"/>
  <c r="H85" i="11"/>
  <c r="J85" i="11"/>
  <c r="K85" i="11"/>
  <c r="L3" i="17"/>
  <c r="M3" i="17"/>
  <c r="O3" i="17"/>
  <c r="P3" i="17"/>
  <c r="J88" i="1"/>
  <c r="K88" i="1"/>
  <c r="J26" i="1"/>
  <c r="K26" i="1"/>
  <c r="G36" i="11"/>
  <c r="H19" i="11"/>
  <c r="J19" i="11"/>
  <c r="K19" i="11"/>
  <c r="G122" i="11"/>
  <c r="H111" i="11"/>
  <c r="J111" i="11"/>
  <c r="K111" i="11"/>
  <c r="I194" i="2"/>
  <c r="H194" i="2"/>
  <c r="I3" i="17"/>
  <c r="G68" i="11"/>
  <c r="G113" i="11"/>
  <c r="M28" i="1"/>
  <c r="L28" i="11"/>
  <c r="N28" i="11"/>
  <c r="O28" i="11"/>
  <c r="J111" i="1"/>
  <c r="K111" i="1"/>
  <c r="G90" i="11"/>
  <c r="M104" i="1"/>
  <c r="L104" i="11"/>
  <c r="N104" i="11"/>
  <c r="O104" i="11"/>
  <c r="J117" i="1"/>
  <c r="K117" i="1"/>
  <c r="H187" i="2"/>
  <c r="H136" i="2"/>
  <c r="H196" i="2"/>
  <c r="G58" i="11"/>
  <c r="M84" i="1"/>
  <c r="J84" i="1"/>
  <c r="K84" i="1"/>
  <c r="H84" i="11"/>
  <c r="J84" i="11"/>
  <c r="K84" i="11"/>
  <c r="M80" i="1"/>
  <c r="O80" i="1"/>
  <c r="P80" i="1"/>
  <c r="J80" i="1"/>
  <c r="K80" i="1"/>
  <c r="L34" i="11"/>
  <c r="N34" i="11"/>
  <c r="O34" i="11"/>
  <c r="O34" i="1"/>
  <c r="P34" i="1"/>
  <c r="M93" i="1"/>
  <c r="H93" i="11"/>
  <c r="J93" i="11"/>
  <c r="K93" i="11"/>
  <c r="O77" i="1"/>
  <c r="P77" i="1"/>
  <c r="M100" i="1"/>
  <c r="H100" i="11"/>
  <c r="J100" i="11"/>
  <c r="K100" i="11"/>
  <c r="M116" i="1"/>
  <c r="O116" i="1"/>
  <c r="P116" i="1"/>
  <c r="J116" i="1"/>
  <c r="K116" i="1"/>
  <c r="M7" i="1"/>
  <c r="H7" i="11"/>
  <c r="J7" i="11"/>
  <c r="K7" i="11"/>
  <c r="M114" i="1"/>
  <c r="H114" i="11"/>
  <c r="J114" i="11"/>
  <c r="K114" i="11"/>
  <c r="M65" i="1"/>
  <c r="O65" i="1"/>
  <c r="P65" i="1"/>
  <c r="J65" i="1"/>
  <c r="K65" i="1"/>
  <c r="O13" i="1"/>
  <c r="P13" i="1"/>
  <c r="G118" i="11"/>
  <c r="J55" i="1"/>
  <c r="K55" i="1"/>
  <c r="M102" i="1"/>
  <c r="H102" i="11"/>
  <c r="J102" i="11"/>
  <c r="K102" i="11"/>
  <c r="O70" i="1"/>
  <c r="P70" i="1"/>
  <c r="L70" i="11"/>
  <c r="N70" i="11"/>
  <c r="O70" i="11"/>
  <c r="J10" i="1"/>
  <c r="K10" i="1"/>
  <c r="M10" i="1"/>
  <c r="O10" i="1"/>
  <c r="P10" i="1"/>
  <c r="H29" i="11"/>
  <c r="J29" i="11"/>
  <c r="K29" i="11"/>
  <c r="M29" i="1"/>
  <c r="J58" i="1"/>
  <c r="K58" i="1"/>
  <c r="M58" i="1"/>
  <c r="O58" i="1"/>
  <c r="P58" i="1"/>
  <c r="G16" i="11"/>
  <c r="G112" i="11"/>
  <c r="G123" i="11"/>
  <c r="G124" i="11"/>
  <c r="M115" i="1"/>
  <c r="O115" i="1"/>
  <c r="P115" i="1"/>
  <c r="G109" i="11"/>
  <c r="J102" i="1"/>
  <c r="K102" i="1"/>
  <c r="H73" i="11"/>
  <c r="J73" i="11"/>
  <c r="K73" i="11"/>
  <c r="M73" i="1"/>
  <c r="M123" i="1"/>
  <c r="J123" i="1"/>
  <c r="K123" i="1"/>
  <c r="H123" i="11"/>
  <c r="J123" i="11"/>
  <c r="K123" i="11"/>
  <c r="H110" i="11"/>
  <c r="J110" i="11"/>
  <c r="K110" i="11"/>
  <c r="M110" i="1"/>
  <c r="H87" i="11"/>
  <c r="J87" i="11"/>
  <c r="K87" i="11"/>
  <c r="M87" i="1"/>
  <c r="J87" i="1"/>
  <c r="K87" i="1"/>
  <c r="J46" i="1"/>
  <c r="K46" i="1"/>
  <c r="M46" i="1"/>
  <c r="H46" i="11"/>
  <c r="J46" i="11"/>
  <c r="K46" i="11"/>
  <c r="H118" i="11"/>
  <c r="J118" i="11"/>
  <c r="K118" i="11"/>
  <c r="M118" i="1"/>
  <c r="H12" i="11"/>
  <c r="J12" i="11"/>
  <c r="K12" i="11"/>
  <c r="M12" i="1"/>
  <c r="J56" i="1"/>
  <c r="K56" i="1"/>
  <c r="M56" i="1"/>
  <c r="O56" i="1"/>
  <c r="P56" i="1"/>
  <c r="O19" i="1"/>
  <c r="P19" i="1"/>
  <c r="L19" i="11"/>
  <c r="N19" i="11"/>
  <c r="O19" i="11"/>
  <c r="M24" i="1"/>
  <c r="H24" i="11"/>
  <c r="J24" i="11"/>
  <c r="K24" i="11"/>
  <c r="O112" i="1"/>
  <c r="P112" i="1"/>
  <c r="J114" i="1"/>
  <c r="K114" i="1"/>
  <c r="M99" i="1"/>
  <c r="J99" i="1"/>
  <c r="K99" i="1"/>
  <c r="H99" i="11"/>
  <c r="J99" i="11"/>
  <c r="K99" i="11"/>
  <c r="M48" i="1"/>
  <c r="J48" i="1"/>
  <c r="K48" i="1"/>
  <c r="H48" i="11"/>
  <c r="J48" i="11"/>
  <c r="K48" i="11"/>
  <c r="M23" i="1"/>
  <c r="H23" i="11"/>
  <c r="J23" i="11"/>
  <c r="K23" i="11"/>
  <c r="G72" i="11"/>
  <c r="G119" i="11"/>
  <c r="J19" i="1"/>
  <c r="K19" i="1"/>
  <c r="J7" i="1"/>
  <c r="K7" i="1"/>
  <c r="M91" i="1"/>
  <c r="H91" i="11"/>
  <c r="J91" i="11"/>
  <c r="K91" i="11"/>
  <c r="J91" i="1"/>
  <c r="K91" i="1"/>
  <c r="M96" i="1"/>
  <c r="H96" i="11"/>
  <c r="J96" i="11"/>
  <c r="K96" i="11"/>
  <c r="H109" i="11"/>
  <c r="J109" i="11"/>
  <c r="K109" i="11"/>
  <c r="M109" i="1"/>
  <c r="H38" i="11"/>
  <c r="J38" i="11"/>
  <c r="K38" i="11"/>
  <c r="M38" i="1"/>
  <c r="O74" i="1"/>
  <c r="P74" i="1"/>
  <c r="L74" i="11"/>
  <c r="N74" i="11"/>
  <c r="O74" i="11"/>
  <c r="I28" i="17"/>
  <c r="J28" i="17"/>
  <c r="O23" i="17"/>
  <c r="P23" i="17"/>
  <c r="L24" i="17"/>
  <c r="O24" i="17"/>
  <c r="P24" i="17"/>
  <c r="R22" i="13"/>
  <c r="R30" i="13"/>
  <c r="R81" i="13"/>
  <c r="R8" i="13"/>
  <c r="J131" i="1"/>
  <c r="K4" i="1"/>
  <c r="K131" i="1"/>
  <c r="J36" i="11"/>
  <c r="K36" i="11"/>
  <c r="I131" i="1"/>
  <c r="I14" i="11"/>
  <c r="O25" i="48"/>
  <c r="P25" i="48"/>
  <c r="I129" i="1"/>
  <c r="I136" i="1"/>
  <c r="K11" i="48"/>
  <c r="I27" i="11"/>
  <c r="J27" i="10"/>
  <c r="K27" i="10"/>
  <c r="S8" i="13"/>
  <c r="J22" i="10"/>
  <c r="K22" i="10"/>
  <c r="R18" i="13"/>
  <c r="J9" i="10"/>
  <c r="I130" i="10"/>
  <c r="I9" i="11"/>
  <c r="I132" i="1"/>
  <c r="J49" i="10"/>
  <c r="K49" i="10"/>
  <c r="I49" i="11"/>
  <c r="I131" i="10"/>
  <c r="S30" i="13"/>
  <c r="I129" i="10"/>
  <c r="I4" i="11"/>
  <c r="J4" i="10"/>
  <c r="R31" i="13"/>
  <c r="S31" i="13"/>
  <c r="S127" i="13"/>
  <c r="R36" i="13"/>
  <c r="S36" i="13"/>
  <c r="R9" i="13"/>
  <c r="S9" i="13"/>
  <c r="R49" i="13"/>
  <c r="S49" i="13"/>
  <c r="R27" i="13"/>
  <c r="S27" i="13"/>
  <c r="L26" i="48"/>
  <c r="M26" i="48"/>
  <c r="O26" i="48"/>
  <c r="P26" i="48"/>
  <c r="I6" i="48"/>
  <c r="I11" i="48"/>
  <c r="R14" i="13"/>
  <c r="S14" i="13"/>
  <c r="O27" i="48"/>
  <c r="P27" i="48"/>
  <c r="L27" i="48"/>
  <c r="M27" i="48"/>
  <c r="I18" i="11"/>
  <c r="J18" i="11"/>
  <c r="K18" i="11"/>
  <c r="J18" i="10"/>
  <c r="K18" i="10"/>
  <c r="R4" i="13"/>
  <c r="S4" i="13"/>
  <c r="W136" i="2"/>
  <c r="W196" i="2"/>
  <c r="U196" i="2"/>
  <c r="O23" i="48"/>
  <c r="J29" i="48"/>
  <c r="L23" i="48"/>
  <c r="H29" i="17"/>
  <c r="J27" i="17"/>
  <c r="M31" i="10"/>
  <c r="J31" i="10"/>
  <c r="H131" i="10"/>
  <c r="H127" i="10"/>
  <c r="J127" i="10"/>
  <c r="K127" i="10"/>
  <c r="J52" i="10"/>
  <c r="K52" i="10"/>
  <c r="M52" i="10"/>
  <c r="H52" i="11"/>
  <c r="J52" i="11"/>
  <c r="K52" i="11"/>
  <c r="M97" i="10"/>
  <c r="H97" i="11"/>
  <c r="J97" i="11"/>
  <c r="K97" i="11"/>
  <c r="J97" i="10"/>
  <c r="K97" i="10"/>
  <c r="K125" i="2"/>
  <c r="K187" i="2"/>
  <c r="I187" i="2"/>
  <c r="I136" i="2"/>
  <c r="M106" i="1"/>
  <c r="H106" i="11"/>
  <c r="J106" i="11"/>
  <c r="K106" i="11"/>
  <c r="J106" i="1"/>
  <c r="K106" i="1"/>
  <c r="G130" i="10"/>
  <c r="G127" i="10"/>
  <c r="O194" i="2"/>
  <c r="O136" i="2"/>
  <c r="Q134" i="2"/>
  <c r="Q194" i="2"/>
  <c r="M61" i="1"/>
  <c r="O61" i="1"/>
  <c r="P61" i="1"/>
  <c r="J61" i="1"/>
  <c r="K61" i="1"/>
  <c r="M68" i="1"/>
  <c r="H68" i="11"/>
  <c r="J68" i="11"/>
  <c r="K68" i="11"/>
  <c r="J68" i="1"/>
  <c r="K68" i="1"/>
  <c r="F5" i="17"/>
  <c r="B81" i="11"/>
  <c r="G81" i="1"/>
  <c r="H81" i="1"/>
  <c r="O4" i="48"/>
  <c r="P4" i="48"/>
  <c r="L4" i="48"/>
  <c r="M4" i="48"/>
  <c r="G49" i="1"/>
  <c r="H49" i="1"/>
  <c r="B49" i="11"/>
  <c r="G49" i="11"/>
  <c r="B8" i="11"/>
  <c r="B132" i="1"/>
  <c r="B129" i="1"/>
  <c r="G8" i="1"/>
  <c r="H8" i="1"/>
  <c r="M106" i="13"/>
  <c r="O106" i="13"/>
  <c r="P106" i="13"/>
  <c r="J106" i="13"/>
  <c r="K106" i="13"/>
  <c r="J64" i="13"/>
  <c r="K64" i="13"/>
  <c r="M64" i="13"/>
  <c r="O64" i="13"/>
  <c r="P64" i="13"/>
  <c r="J136" i="14"/>
  <c r="M118" i="13"/>
  <c r="O118" i="13"/>
  <c r="P118" i="13"/>
  <c r="J118" i="13"/>
  <c r="K118" i="13"/>
  <c r="M51" i="10"/>
  <c r="J51" i="10"/>
  <c r="K51" i="10"/>
  <c r="H51" i="11"/>
  <c r="J51" i="11"/>
  <c r="K51" i="11"/>
  <c r="M108" i="1"/>
  <c r="O108" i="1"/>
  <c r="P108" i="1"/>
  <c r="J108" i="1"/>
  <c r="K108" i="1"/>
  <c r="J65" i="10"/>
  <c r="K65" i="10"/>
  <c r="M65" i="10"/>
  <c r="H65" i="11"/>
  <c r="J65" i="11"/>
  <c r="K65" i="11"/>
  <c r="H71" i="11"/>
  <c r="J71" i="11"/>
  <c r="K71" i="11"/>
  <c r="M71" i="10"/>
  <c r="J71" i="10"/>
  <c r="K71" i="10"/>
  <c r="M101" i="10"/>
  <c r="J101" i="10"/>
  <c r="K101" i="10"/>
  <c r="H101" i="11"/>
  <c r="J101" i="11"/>
  <c r="K101" i="11"/>
  <c r="M113" i="10"/>
  <c r="H113" i="11"/>
  <c r="J113" i="11"/>
  <c r="K113" i="11"/>
  <c r="J113" i="10"/>
  <c r="K113" i="10"/>
  <c r="Q125" i="14"/>
  <c r="O136" i="14"/>
  <c r="Q136" i="14"/>
  <c r="M110" i="13"/>
  <c r="O110" i="13"/>
  <c r="P110" i="13"/>
  <c r="J110" i="13"/>
  <c r="K110" i="13"/>
  <c r="H47" i="11"/>
  <c r="J47" i="11"/>
  <c r="K47" i="11"/>
  <c r="M47" i="1"/>
  <c r="J47" i="1"/>
  <c r="K47" i="1"/>
  <c r="J76" i="1"/>
  <c r="K76" i="1"/>
  <c r="H76" i="11"/>
  <c r="J76" i="11"/>
  <c r="K76" i="11"/>
  <c r="M76" i="1"/>
  <c r="J31" i="13"/>
  <c r="M31" i="13"/>
  <c r="O31" i="13"/>
  <c r="P31" i="13"/>
  <c r="H131" i="13"/>
  <c r="M122" i="10"/>
  <c r="H122" i="11"/>
  <c r="J122" i="11"/>
  <c r="K122" i="11"/>
  <c r="J122" i="10"/>
  <c r="K122" i="10"/>
  <c r="M21" i="1"/>
  <c r="J21" i="1"/>
  <c r="K21" i="1"/>
  <c r="H21" i="11"/>
  <c r="J21" i="11"/>
  <c r="K21" i="11"/>
  <c r="M40" i="1"/>
  <c r="H40" i="11"/>
  <c r="J40" i="11"/>
  <c r="K40" i="11"/>
  <c r="J40" i="1"/>
  <c r="K40" i="1"/>
  <c r="M78" i="1"/>
  <c r="O78" i="1"/>
  <c r="P78" i="1"/>
  <c r="J78" i="1"/>
  <c r="K78" i="1"/>
  <c r="J98" i="1"/>
  <c r="K98" i="1"/>
  <c r="M98" i="1"/>
  <c r="H98" i="11"/>
  <c r="J98" i="11"/>
  <c r="K98" i="11"/>
  <c r="M103" i="1"/>
  <c r="J103" i="1"/>
  <c r="K103" i="1"/>
  <c r="H103" i="11"/>
  <c r="J103" i="11"/>
  <c r="K103" i="11"/>
  <c r="O55" i="10"/>
  <c r="P55" i="10"/>
  <c r="L55" i="11"/>
  <c r="N55" i="11"/>
  <c r="O55" i="11"/>
  <c r="O88" i="1"/>
  <c r="P88" i="1"/>
  <c r="L88" i="11"/>
  <c r="N88" i="11"/>
  <c r="O88" i="11"/>
  <c r="E133" i="1"/>
  <c r="J52" i="1"/>
  <c r="K52" i="1"/>
  <c r="M52" i="1"/>
  <c r="O52" i="1"/>
  <c r="P52" i="1"/>
  <c r="H50" i="11"/>
  <c r="J50" i="11"/>
  <c r="K50" i="11"/>
  <c r="M50" i="1"/>
  <c r="J50" i="1"/>
  <c r="K50" i="1"/>
  <c r="G61" i="11"/>
  <c r="AA136" i="12"/>
  <c r="AC136" i="12"/>
  <c r="O69" i="10"/>
  <c r="P69" i="10"/>
  <c r="O79" i="10"/>
  <c r="P79" i="10"/>
  <c r="M60" i="1"/>
  <c r="O60" i="1"/>
  <c r="P60" i="1"/>
  <c r="J60" i="1"/>
  <c r="K60" i="1"/>
  <c r="G67" i="1"/>
  <c r="J36" i="1"/>
  <c r="K36" i="1"/>
  <c r="M36" i="1"/>
  <c r="O36" i="1"/>
  <c r="P36" i="1"/>
  <c r="M54" i="1"/>
  <c r="H54" i="11"/>
  <c r="J54" i="11"/>
  <c r="K54" i="11"/>
  <c r="J54" i="1"/>
  <c r="K54" i="1"/>
  <c r="N4" i="11"/>
  <c r="O4" i="11"/>
  <c r="M9" i="13"/>
  <c r="O9" i="13"/>
  <c r="P9" i="13"/>
  <c r="J9" i="13"/>
  <c r="H127" i="13"/>
  <c r="J127" i="13"/>
  <c r="K127" i="13"/>
  <c r="H130" i="13"/>
  <c r="G34" i="11"/>
  <c r="E5" i="17"/>
  <c r="G9" i="13"/>
  <c r="C127" i="13"/>
  <c r="C130" i="13"/>
  <c r="J108" i="10"/>
  <c r="K108" i="10"/>
  <c r="M108" i="10"/>
  <c r="H108" i="11"/>
  <c r="J108" i="11"/>
  <c r="K108" i="11"/>
  <c r="H6" i="11"/>
  <c r="J6" i="11"/>
  <c r="K6" i="11"/>
  <c r="J6" i="1"/>
  <c r="K6" i="1"/>
  <c r="M6" i="1"/>
  <c r="H82" i="11"/>
  <c r="J82" i="11"/>
  <c r="K82" i="11"/>
  <c r="J82" i="1"/>
  <c r="K82" i="1"/>
  <c r="M82" i="1"/>
  <c r="M45" i="1"/>
  <c r="H45" i="11"/>
  <c r="J45" i="11"/>
  <c r="K45" i="11"/>
  <c r="J45" i="1"/>
  <c r="K45" i="1"/>
  <c r="J51" i="1"/>
  <c r="K51" i="1"/>
  <c r="M51" i="1"/>
  <c r="O51" i="1"/>
  <c r="P51" i="1"/>
  <c r="J37" i="1"/>
  <c r="K37" i="1"/>
  <c r="M37" i="1"/>
  <c r="H37" i="11"/>
  <c r="J37" i="11"/>
  <c r="K37" i="11"/>
  <c r="F6" i="17"/>
  <c r="F11" i="17"/>
  <c r="O120" i="1"/>
  <c r="P120" i="1"/>
  <c r="L120" i="11"/>
  <c r="N120" i="11"/>
  <c r="O120" i="11"/>
  <c r="I29" i="48"/>
  <c r="B133" i="1"/>
  <c r="B31" i="11"/>
  <c r="H31" i="1"/>
  <c r="G31" i="1"/>
  <c r="C132" i="1"/>
  <c r="C22" i="11"/>
  <c r="C129" i="1"/>
  <c r="G22" i="1"/>
  <c r="H22" i="1"/>
  <c r="J45" i="13"/>
  <c r="K45" i="13"/>
  <c r="M45" i="13"/>
  <c r="O45" i="13"/>
  <c r="P45" i="13"/>
  <c r="F81" i="11"/>
  <c r="F133" i="1"/>
  <c r="M95" i="13"/>
  <c r="O95" i="13"/>
  <c r="P95" i="13"/>
  <c r="J95" i="13"/>
  <c r="K95" i="13"/>
  <c r="J44" i="10"/>
  <c r="K44" i="10"/>
  <c r="M44" i="10"/>
  <c r="H44" i="11"/>
  <c r="J44" i="11"/>
  <c r="K44" i="11"/>
  <c r="W134" i="2"/>
  <c r="W194" i="2"/>
  <c r="U194" i="2"/>
  <c r="J116" i="13"/>
  <c r="K116" i="13"/>
  <c r="M116" i="13"/>
  <c r="O116" i="13"/>
  <c r="P116" i="13"/>
  <c r="M10" i="10"/>
  <c r="J10" i="10"/>
  <c r="K10" i="10"/>
  <c r="H10" i="11"/>
  <c r="J10" i="11"/>
  <c r="K10" i="11"/>
  <c r="M56" i="10"/>
  <c r="J56" i="10"/>
  <c r="K56" i="10"/>
  <c r="H56" i="11"/>
  <c r="J56" i="11"/>
  <c r="K56" i="11"/>
  <c r="H60" i="11"/>
  <c r="J60" i="11"/>
  <c r="K60" i="11"/>
  <c r="M60" i="10"/>
  <c r="J60" i="10"/>
  <c r="K60" i="10"/>
  <c r="J78" i="10"/>
  <c r="K78" i="10"/>
  <c r="M78" i="10"/>
  <c r="H78" i="11"/>
  <c r="J78" i="11"/>
  <c r="K78" i="11"/>
  <c r="M46" i="13"/>
  <c r="O46" i="13"/>
  <c r="P46" i="13"/>
  <c r="J46" i="13"/>
  <c r="K46" i="13"/>
  <c r="M121" i="10"/>
  <c r="J121" i="10"/>
  <c r="K121" i="10"/>
  <c r="H121" i="11"/>
  <c r="J121" i="11"/>
  <c r="K121" i="11"/>
  <c r="G125" i="11"/>
  <c r="M105" i="10"/>
  <c r="J105" i="10"/>
  <c r="K105" i="10"/>
  <c r="H105" i="11"/>
  <c r="J105" i="11"/>
  <c r="K105" i="11"/>
  <c r="J39" i="1"/>
  <c r="K39" i="1"/>
  <c r="M39" i="1"/>
  <c r="H127" i="11"/>
  <c r="J127" i="11"/>
  <c r="K127" i="11"/>
  <c r="J127" i="1"/>
  <c r="K127" i="1"/>
  <c r="M127" i="1"/>
  <c r="C136" i="14"/>
  <c r="E136" i="14"/>
  <c r="E125" i="14"/>
  <c r="AC125" i="2"/>
  <c r="AC187" i="2"/>
  <c r="AA187" i="2"/>
  <c r="AA136" i="2"/>
  <c r="E134" i="2"/>
  <c r="E194" i="2"/>
  <c r="C136" i="2"/>
  <c r="C194" i="2"/>
  <c r="G116" i="11"/>
  <c r="J124" i="10"/>
  <c r="K124" i="10"/>
  <c r="M124" i="10"/>
  <c r="H124" i="11"/>
  <c r="J124" i="11"/>
  <c r="K124" i="11"/>
  <c r="J16" i="1"/>
  <c r="K16" i="1"/>
  <c r="H16" i="11"/>
  <c r="J16" i="11"/>
  <c r="K16" i="11"/>
  <c r="M16" i="1"/>
  <c r="J25" i="1"/>
  <c r="K25" i="1"/>
  <c r="M25" i="1"/>
  <c r="H25" i="11"/>
  <c r="J25" i="11"/>
  <c r="K25" i="11"/>
  <c r="M79" i="1"/>
  <c r="O79" i="1"/>
  <c r="P79" i="1"/>
  <c r="J79" i="1"/>
  <c r="K79" i="1"/>
  <c r="G95" i="11"/>
  <c r="K125" i="12"/>
  <c r="I136" i="12"/>
  <c r="K136" i="12"/>
  <c r="M64" i="1"/>
  <c r="J64" i="1"/>
  <c r="K64" i="1"/>
  <c r="H64" i="11"/>
  <c r="J64" i="11"/>
  <c r="K64" i="11"/>
  <c r="H43" i="11"/>
  <c r="J43" i="11"/>
  <c r="K43" i="11"/>
  <c r="M43" i="1"/>
  <c r="J43" i="1"/>
  <c r="K43" i="1"/>
  <c r="G52" i="11"/>
  <c r="M62" i="1"/>
  <c r="J62" i="1"/>
  <c r="K62" i="1"/>
  <c r="H62" i="11"/>
  <c r="J62" i="11"/>
  <c r="K62" i="11"/>
  <c r="H39" i="11"/>
  <c r="J39" i="11"/>
  <c r="K39" i="11"/>
  <c r="O36" i="10"/>
  <c r="P36" i="10"/>
  <c r="H67" i="1"/>
  <c r="O18" i="1"/>
  <c r="P18" i="1"/>
  <c r="L18" i="11"/>
  <c r="N18" i="11"/>
  <c r="O18" i="11"/>
  <c r="J42" i="1"/>
  <c r="K42" i="1"/>
  <c r="H42" i="11"/>
  <c r="J42" i="11"/>
  <c r="K42" i="11"/>
  <c r="M42" i="1"/>
  <c r="O42" i="1"/>
  <c r="P42" i="1"/>
  <c r="G54" i="11"/>
  <c r="M66" i="1"/>
  <c r="J66" i="1"/>
  <c r="K66" i="1"/>
  <c r="H66" i="11"/>
  <c r="J66" i="11"/>
  <c r="K66" i="11"/>
  <c r="E125" i="12"/>
  <c r="C136" i="12"/>
  <c r="E136" i="12"/>
  <c r="O3" i="48"/>
  <c r="L3" i="48"/>
  <c r="J6" i="48"/>
  <c r="J11" i="48"/>
  <c r="F132" i="1"/>
  <c r="F14" i="11"/>
  <c r="L7" i="17"/>
  <c r="M7" i="17"/>
  <c r="K10" i="17"/>
  <c r="J94" i="10"/>
  <c r="K94" i="10"/>
  <c r="M94" i="10"/>
  <c r="H94" i="11"/>
  <c r="J94" i="11"/>
  <c r="K94" i="11"/>
  <c r="J119" i="10"/>
  <c r="K119" i="10"/>
  <c r="M119" i="10"/>
  <c r="H119" i="11"/>
  <c r="J119" i="11"/>
  <c r="K119" i="11"/>
  <c r="W125" i="2"/>
  <c r="W187" i="2"/>
  <c r="U187" i="2"/>
  <c r="J92" i="1"/>
  <c r="K92" i="1"/>
  <c r="M92" i="1"/>
  <c r="L42" i="11"/>
  <c r="N42" i="11"/>
  <c r="O42" i="11"/>
  <c r="O42" i="10"/>
  <c r="P42" i="10"/>
  <c r="J27" i="1"/>
  <c r="K27" i="1"/>
  <c r="M27" i="1"/>
  <c r="H27" i="11"/>
  <c r="J27" i="11"/>
  <c r="K27" i="11"/>
  <c r="J124" i="1"/>
  <c r="K124" i="1"/>
  <c r="M124" i="1"/>
  <c r="O124" i="1"/>
  <c r="P124" i="1"/>
  <c r="O86" i="10"/>
  <c r="P86" i="10"/>
  <c r="L86" i="11"/>
  <c r="N86" i="11"/>
  <c r="O86" i="11"/>
  <c r="M119" i="1"/>
  <c r="O119" i="1"/>
  <c r="P119" i="1"/>
  <c r="J119" i="1"/>
  <c r="K119" i="1"/>
  <c r="O58" i="10"/>
  <c r="P58" i="10"/>
  <c r="O5" i="48"/>
  <c r="P5" i="48"/>
  <c r="L5" i="48"/>
  <c r="M5" i="48"/>
  <c r="O24" i="48"/>
  <c r="P24" i="48"/>
  <c r="L24" i="48"/>
  <c r="M24" i="48"/>
  <c r="I27" i="17"/>
  <c r="I29" i="17"/>
  <c r="E9" i="11"/>
  <c r="G9" i="11"/>
  <c r="G9" i="1"/>
  <c r="H9" i="1"/>
  <c r="H14" i="1"/>
  <c r="G14" i="1"/>
  <c r="B14" i="11"/>
  <c r="H5" i="17"/>
  <c r="B187" i="2"/>
  <c r="B136" i="2"/>
  <c r="B196" i="2"/>
  <c r="C187" i="2"/>
  <c r="F129" i="1"/>
  <c r="J21" i="13"/>
  <c r="K21" i="13"/>
  <c r="M21" i="13"/>
  <c r="O21" i="13"/>
  <c r="P21" i="13"/>
  <c r="J120" i="13"/>
  <c r="K120" i="13"/>
  <c r="M120" i="13"/>
  <c r="O120" i="13"/>
  <c r="P120" i="13"/>
  <c r="G57" i="11"/>
  <c r="H61" i="11"/>
  <c r="J61" i="11"/>
  <c r="K61" i="11"/>
  <c r="M61" i="10"/>
  <c r="J61" i="10"/>
  <c r="K61" i="10"/>
  <c r="M80" i="10"/>
  <c r="J80" i="10"/>
  <c r="K80" i="10"/>
  <c r="H80" i="11"/>
  <c r="J80" i="11"/>
  <c r="K80" i="11"/>
  <c r="M116" i="10"/>
  <c r="J116" i="10"/>
  <c r="K116" i="10"/>
  <c r="H116" i="11"/>
  <c r="J116" i="11"/>
  <c r="K116" i="11"/>
  <c r="O85" i="10"/>
  <c r="P85" i="10"/>
  <c r="L85" i="11"/>
  <c r="N85" i="11"/>
  <c r="O85" i="11"/>
  <c r="H75" i="11"/>
  <c r="J75" i="11"/>
  <c r="K75" i="11"/>
  <c r="J75" i="1"/>
  <c r="K75" i="1"/>
  <c r="M75" i="1"/>
  <c r="E129" i="1"/>
  <c r="H17" i="11"/>
  <c r="J17" i="11"/>
  <c r="K17" i="11"/>
  <c r="M17" i="1"/>
  <c r="J17" i="1"/>
  <c r="K17" i="1"/>
  <c r="M33" i="1"/>
  <c r="J33" i="1"/>
  <c r="K33" i="1"/>
  <c r="M69" i="1"/>
  <c r="O69" i="1"/>
  <c r="P69" i="1"/>
  <c r="J69" i="1"/>
  <c r="K69" i="1"/>
  <c r="G80" i="11"/>
  <c r="J90" i="1"/>
  <c r="K90" i="1"/>
  <c r="H90" i="11"/>
  <c r="J90" i="11"/>
  <c r="K90" i="11"/>
  <c r="M90" i="1"/>
  <c r="J95" i="1"/>
  <c r="K95" i="1"/>
  <c r="H95" i="11"/>
  <c r="J95" i="11"/>
  <c r="K95" i="11"/>
  <c r="M95" i="1"/>
  <c r="M101" i="1"/>
  <c r="O101" i="1"/>
  <c r="P101" i="1"/>
  <c r="J101" i="1"/>
  <c r="K101" i="1"/>
  <c r="M107" i="1"/>
  <c r="J107" i="1"/>
  <c r="K107" i="1"/>
  <c r="H107" i="11"/>
  <c r="J107" i="11"/>
  <c r="K107" i="11"/>
  <c r="H125" i="11"/>
  <c r="J125" i="11"/>
  <c r="K125" i="11"/>
  <c r="M125" i="1"/>
  <c r="J125" i="1"/>
  <c r="K125" i="1"/>
  <c r="O20" i="10"/>
  <c r="P20" i="10"/>
  <c r="L20" i="11"/>
  <c r="N20" i="11"/>
  <c r="O20" i="11"/>
  <c r="M71" i="1"/>
  <c r="O71" i="1"/>
  <c r="P71" i="1"/>
  <c r="J71" i="1"/>
  <c r="K71" i="1"/>
  <c r="G5" i="17"/>
  <c r="O4" i="13"/>
  <c r="P4" i="13"/>
  <c r="O89" i="1"/>
  <c r="P89" i="1"/>
  <c r="H57" i="11"/>
  <c r="J57" i="11"/>
  <c r="K57" i="11"/>
  <c r="J57" i="1"/>
  <c r="K57" i="1"/>
  <c r="M57" i="1"/>
  <c r="W125" i="12"/>
  <c r="U136" i="12"/>
  <c r="W136" i="12"/>
  <c r="M121" i="1"/>
  <c r="O121" i="1"/>
  <c r="P121" i="1"/>
  <c r="J121" i="1"/>
  <c r="K121" i="1"/>
  <c r="S30" i="10"/>
  <c r="S14" i="10"/>
  <c r="S27" i="10"/>
  <c r="S49" i="10"/>
  <c r="S9" i="10"/>
  <c r="S36" i="10"/>
  <c r="S8" i="10"/>
  <c r="S81" i="10"/>
  <c r="S4" i="10"/>
  <c r="S22" i="10"/>
  <c r="S31" i="10"/>
  <c r="S67" i="10"/>
  <c r="S18" i="10"/>
  <c r="K30" i="1"/>
  <c r="H41" i="11"/>
  <c r="J41" i="11"/>
  <c r="K41" i="11"/>
  <c r="M41" i="1"/>
  <c r="J41" i="1"/>
  <c r="K41" i="1"/>
  <c r="J63" i="1"/>
  <c r="K63" i="1"/>
  <c r="M63" i="1"/>
  <c r="H63" i="11"/>
  <c r="J63" i="11"/>
  <c r="K63" i="11"/>
  <c r="Q125" i="12"/>
  <c r="O136" i="12"/>
  <c r="Q136" i="12"/>
  <c r="H79" i="11"/>
  <c r="J79" i="11"/>
  <c r="K79" i="11"/>
  <c r="M59" i="1"/>
  <c r="H59" i="11"/>
  <c r="J59" i="11"/>
  <c r="K59" i="11"/>
  <c r="J59" i="1"/>
  <c r="K59" i="1"/>
  <c r="O26" i="1"/>
  <c r="P26" i="1"/>
  <c r="K4" i="13"/>
  <c r="K129" i="13"/>
  <c r="S67" i="13"/>
  <c r="L117" i="11"/>
  <c r="N117" i="11"/>
  <c r="O117" i="11"/>
  <c r="O83" i="10"/>
  <c r="P83" i="10"/>
  <c r="L83" i="11"/>
  <c r="N83" i="11"/>
  <c r="O83" i="11"/>
  <c r="L30" i="11"/>
  <c r="N30" i="11"/>
  <c r="O30" i="11"/>
  <c r="L53" i="11"/>
  <c r="N53" i="11"/>
  <c r="O53" i="11"/>
  <c r="L13" i="11"/>
  <c r="N13" i="11"/>
  <c r="O13" i="11"/>
  <c r="L32" i="11"/>
  <c r="N32" i="11"/>
  <c r="O32" i="11"/>
  <c r="L89" i="11"/>
  <c r="N89" i="11"/>
  <c r="O89" i="11"/>
  <c r="L77" i="11"/>
  <c r="N77" i="11"/>
  <c r="O77" i="11"/>
  <c r="L15" i="11"/>
  <c r="N15" i="11"/>
  <c r="O15" i="11"/>
  <c r="O28" i="1"/>
  <c r="P28" i="1"/>
  <c r="L115" i="11"/>
  <c r="N115" i="11"/>
  <c r="O115" i="11"/>
  <c r="L72" i="11"/>
  <c r="N72" i="11"/>
  <c r="O72" i="11"/>
  <c r="O104" i="1"/>
  <c r="P104" i="1"/>
  <c r="G133" i="1"/>
  <c r="L11" i="11"/>
  <c r="N11" i="11"/>
  <c r="O11" i="11"/>
  <c r="L84" i="11"/>
  <c r="N84" i="11"/>
  <c r="O84" i="11"/>
  <c r="O84" i="1"/>
  <c r="P84" i="1"/>
  <c r="L36" i="11"/>
  <c r="N36" i="11"/>
  <c r="O36" i="11"/>
  <c r="L100" i="11"/>
  <c r="N100" i="11"/>
  <c r="O100" i="11"/>
  <c r="O100" i="1"/>
  <c r="P100" i="1"/>
  <c r="L93" i="11"/>
  <c r="N93" i="11"/>
  <c r="O93" i="11"/>
  <c r="O93" i="1"/>
  <c r="P93" i="1"/>
  <c r="O46" i="1"/>
  <c r="P46" i="1"/>
  <c r="L46" i="11"/>
  <c r="N46" i="11"/>
  <c r="O46" i="11"/>
  <c r="O102" i="1"/>
  <c r="P102" i="1"/>
  <c r="L102" i="11"/>
  <c r="N102" i="11"/>
  <c r="O102" i="11"/>
  <c r="O114" i="1"/>
  <c r="P114" i="1"/>
  <c r="L114" i="11"/>
  <c r="N114" i="11"/>
  <c r="O114" i="11"/>
  <c r="O109" i="1"/>
  <c r="P109" i="1"/>
  <c r="L109" i="11"/>
  <c r="N109" i="11"/>
  <c r="O109" i="11"/>
  <c r="O23" i="1"/>
  <c r="P23" i="1"/>
  <c r="L23" i="11"/>
  <c r="N23" i="11"/>
  <c r="O23" i="11"/>
  <c r="O12" i="1"/>
  <c r="P12" i="1"/>
  <c r="L12" i="11"/>
  <c r="N12" i="11"/>
  <c r="O12" i="11"/>
  <c r="L87" i="11"/>
  <c r="N87" i="11"/>
  <c r="O87" i="11"/>
  <c r="O87" i="1"/>
  <c r="P87" i="1"/>
  <c r="O110" i="1"/>
  <c r="P110" i="1"/>
  <c r="L110" i="11"/>
  <c r="N110" i="11"/>
  <c r="O110" i="11"/>
  <c r="O123" i="1"/>
  <c r="P123" i="1"/>
  <c r="L123" i="11"/>
  <c r="N123" i="11"/>
  <c r="O123" i="11"/>
  <c r="O7" i="1"/>
  <c r="P7" i="1"/>
  <c r="L7" i="11"/>
  <c r="N7" i="11"/>
  <c r="O7" i="11"/>
  <c r="L73" i="11"/>
  <c r="N73" i="11"/>
  <c r="O73" i="11"/>
  <c r="O73" i="1"/>
  <c r="P73" i="1"/>
  <c r="O38" i="1"/>
  <c r="P38" i="1"/>
  <c r="L38" i="11"/>
  <c r="N38" i="11"/>
  <c r="O38" i="11"/>
  <c r="O91" i="1"/>
  <c r="P91" i="1"/>
  <c r="L91" i="11"/>
  <c r="N91" i="11"/>
  <c r="O91" i="11"/>
  <c r="L99" i="11"/>
  <c r="N99" i="11"/>
  <c r="O99" i="11"/>
  <c r="O99" i="1"/>
  <c r="P99" i="1"/>
  <c r="O118" i="1"/>
  <c r="P118" i="1"/>
  <c r="L118" i="11"/>
  <c r="N118" i="11"/>
  <c r="O118" i="11"/>
  <c r="L58" i="11"/>
  <c r="N58" i="11"/>
  <c r="O58" i="11"/>
  <c r="O96" i="1"/>
  <c r="P96" i="1"/>
  <c r="L96" i="11"/>
  <c r="N96" i="11"/>
  <c r="O96" i="11"/>
  <c r="O48" i="1"/>
  <c r="P48" i="1"/>
  <c r="L48" i="11"/>
  <c r="N48" i="11"/>
  <c r="O48" i="11"/>
  <c r="L24" i="11"/>
  <c r="N24" i="11"/>
  <c r="O24" i="11"/>
  <c r="O24" i="1"/>
  <c r="P24" i="1"/>
  <c r="L29" i="11"/>
  <c r="N29" i="11"/>
  <c r="O29" i="11"/>
  <c r="O29" i="1"/>
  <c r="P29" i="1"/>
  <c r="J29" i="17"/>
  <c r="L28" i="17"/>
  <c r="M28" i="17"/>
  <c r="O28" i="17"/>
  <c r="P28" i="17"/>
  <c r="M24" i="17"/>
  <c r="K4" i="10"/>
  <c r="K129" i="10"/>
  <c r="J129" i="10"/>
  <c r="S18" i="13"/>
  <c r="S81" i="13"/>
  <c r="S22" i="13"/>
  <c r="I129" i="11"/>
  <c r="J4" i="11"/>
  <c r="K4" i="11"/>
  <c r="K9" i="10"/>
  <c r="K130" i="10"/>
  <c r="J130" i="10"/>
  <c r="L63" i="11"/>
  <c r="N63" i="11"/>
  <c r="O63" i="11"/>
  <c r="O63" i="1"/>
  <c r="P63" i="1"/>
  <c r="F129" i="11"/>
  <c r="H4" i="17"/>
  <c r="H6" i="17"/>
  <c r="H11" i="17"/>
  <c r="P3" i="48"/>
  <c r="O6" i="48"/>
  <c r="O56" i="10"/>
  <c r="P56" i="10"/>
  <c r="L56" i="11"/>
  <c r="N56" i="11"/>
  <c r="O56" i="11"/>
  <c r="O37" i="1"/>
  <c r="P37" i="1"/>
  <c r="L37" i="11"/>
  <c r="N37" i="11"/>
  <c r="O37" i="11"/>
  <c r="O54" i="1"/>
  <c r="P54" i="1"/>
  <c r="L54" i="11"/>
  <c r="N54" i="11"/>
  <c r="O54" i="11"/>
  <c r="L21" i="11"/>
  <c r="N21" i="11"/>
  <c r="O21" i="11"/>
  <c r="O21" i="1"/>
  <c r="P21" i="1"/>
  <c r="L71" i="11"/>
  <c r="N71" i="11"/>
  <c r="O71" i="11"/>
  <c r="O71" i="10"/>
  <c r="P71" i="10"/>
  <c r="O59" i="1"/>
  <c r="P59" i="1"/>
  <c r="L59" i="11"/>
  <c r="N59" i="11"/>
  <c r="O59" i="11"/>
  <c r="O41" i="1"/>
  <c r="P41" i="1"/>
  <c r="L41" i="11"/>
  <c r="N41" i="11"/>
  <c r="O41" i="11"/>
  <c r="L90" i="11"/>
  <c r="N90" i="11"/>
  <c r="O90" i="11"/>
  <c r="O90" i="1"/>
  <c r="P90" i="1"/>
  <c r="O75" i="1"/>
  <c r="P75" i="1"/>
  <c r="L75" i="11"/>
  <c r="N75" i="11"/>
  <c r="O75" i="11"/>
  <c r="O61" i="10"/>
  <c r="P61" i="10"/>
  <c r="L61" i="11"/>
  <c r="N61" i="11"/>
  <c r="O61" i="11"/>
  <c r="G14" i="11"/>
  <c r="L6" i="48"/>
  <c r="M3" i="48"/>
  <c r="O43" i="1"/>
  <c r="P43" i="1"/>
  <c r="L43" i="11"/>
  <c r="N43" i="11"/>
  <c r="O43" i="11"/>
  <c r="O16" i="1"/>
  <c r="P16" i="1"/>
  <c r="L16" i="11"/>
  <c r="N16" i="11"/>
  <c r="O16" i="11"/>
  <c r="O124" i="10"/>
  <c r="P124" i="10"/>
  <c r="L124" i="11"/>
  <c r="N124" i="11"/>
  <c r="O124" i="11"/>
  <c r="C196" i="2"/>
  <c r="E136" i="2"/>
  <c r="E196" i="2"/>
  <c r="O10" i="10"/>
  <c r="P10" i="10"/>
  <c r="L10" i="11"/>
  <c r="N10" i="11"/>
  <c r="O10" i="11"/>
  <c r="M31" i="1"/>
  <c r="O31" i="1"/>
  <c r="P31" i="1"/>
  <c r="J31" i="1"/>
  <c r="H133" i="1"/>
  <c r="O82" i="1"/>
  <c r="P82" i="1"/>
  <c r="L82" i="11"/>
  <c r="N82" i="11"/>
  <c r="O82" i="11"/>
  <c r="K9" i="13"/>
  <c r="K130" i="13"/>
  <c r="J130" i="13"/>
  <c r="L79" i="11"/>
  <c r="N79" i="11"/>
  <c r="O79" i="11"/>
  <c r="L98" i="11"/>
  <c r="N98" i="11"/>
  <c r="O98" i="11"/>
  <c r="O98" i="1"/>
  <c r="P98" i="1"/>
  <c r="O122" i="10"/>
  <c r="P122" i="10"/>
  <c r="L122" i="11"/>
  <c r="N122" i="11"/>
  <c r="O122" i="11"/>
  <c r="L76" i="11"/>
  <c r="N76" i="11"/>
  <c r="O76" i="11"/>
  <c r="O76" i="1"/>
  <c r="P76" i="1"/>
  <c r="O47" i="1"/>
  <c r="P47" i="1"/>
  <c r="L47" i="11"/>
  <c r="N47" i="11"/>
  <c r="O47" i="11"/>
  <c r="O113" i="10"/>
  <c r="P113" i="10"/>
  <c r="L113" i="11"/>
  <c r="N113" i="11"/>
  <c r="O113" i="11"/>
  <c r="L65" i="11"/>
  <c r="N65" i="11"/>
  <c r="O65" i="11"/>
  <c r="O65" i="10"/>
  <c r="P65" i="10"/>
  <c r="M49" i="1"/>
  <c r="H49" i="11"/>
  <c r="J49" i="11"/>
  <c r="K49" i="11"/>
  <c r="J49" i="1"/>
  <c r="K49" i="1"/>
  <c r="M81" i="1"/>
  <c r="J81" i="1"/>
  <c r="K81" i="1"/>
  <c r="H81" i="11"/>
  <c r="J81" i="11"/>
  <c r="L106" i="11"/>
  <c r="N106" i="11"/>
  <c r="O106" i="11"/>
  <c r="O106" i="1"/>
  <c r="P106" i="1"/>
  <c r="L52" i="11"/>
  <c r="N52" i="11"/>
  <c r="O52" i="11"/>
  <c r="O52" i="10"/>
  <c r="P52" i="10"/>
  <c r="H31" i="11"/>
  <c r="J31" i="11"/>
  <c r="K31" i="11"/>
  <c r="O17" i="1"/>
  <c r="P17" i="1"/>
  <c r="L17" i="11"/>
  <c r="N17" i="11"/>
  <c r="O17" i="11"/>
  <c r="O27" i="1"/>
  <c r="P27" i="1"/>
  <c r="L27" i="11"/>
  <c r="N27" i="11"/>
  <c r="O27" i="11"/>
  <c r="O92" i="1"/>
  <c r="P92" i="1"/>
  <c r="L92" i="11"/>
  <c r="N92" i="11"/>
  <c r="O92" i="11"/>
  <c r="O94" i="10"/>
  <c r="P94" i="10"/>
  <c r="L94" i="11"/>
  <c r="N94" i="11"/>
  <c r="O94" i="11"/>
  <c r="L62" i="11"/>
  <c r="N62" i="11"/>
  <c r="O62" i="11"/>
  <c r="O62" i="1"/>
  <c r="P62" i="1"/>
  <c r="O60" i="10"/>
  <c r="P60" i="10"/>
  <c r="L60" i="11"/>
  <c r="N60" i="11"/>
  <c r="O60" i="11"/>
  <c r="G31" i="11"/>
  <c r="D5" i="17"/>
  <c r="I196" i="2"/>
  <c r="K136" i="2"/>
  <c r="K196" i="2"/>
  <c r="M127" i="13"/>
  <c r="O127" i="13"/>
  <c r="P127" i="13"/>
  <c r="O125" i="1"/>
  <c r="P125" i="1"/>
  <c r="L125" i="11"/>
  <c r="N125" i="11"/>
  <c r="O125" i="11"/>
  <c r="L107" i="11"/>
  <c r="N107" i="11"/>
  <c r="O107" i="11"/>
  <c r="O107" i="1"/>
  <c r="P107" i="1"/>
  <c r="O80" i="10"/>
  <c r="P80" i="10"/>
  <c r="L80" i="11"/>
  <c r="N80" i="11"/>
  <c r="O80" i="11"/>
  <c r="J14" i="1"/>
  <c r="K14" i="1"/>
  <c r="H14" i="11"/>
  <c r="J14" i="11"/>
  <c r="K14" i="11"/>
  <c r="M14" i="1"/>
  <c r="O119" i="10"/>
  <c r="P119" i="10"/>
  <c r="L119" i="11"/>
  <c r="N119" i="11"/>
  <c r="O119" i="11"/>
  <c r="O66" i="1"/>
  <c r="P66" i="1"/>
  <c r="L66" i="11"/>
  <c r="N66" i="11"/>
  <c r="O66" i="11"/>
  <c r="G4" i="17"/>
  <c r="G6" i="17"/>
  <c r="G11" i="17"/>
  <c r="L25" i="11"/>
  <c r="N25" i="11"/>
  <c r="O25" i="11"/>
  <c r="O25" i="1"/>
  <c r="P25" i="1"/>
  <c r="AA196" i="2"/>
  <c r="AC136" i="2"/>
  <c r="AC196" i="2"/>
  <c r="L39" i="11"/>
  <c r="N39" i="11"/>
  <c r="O39" i="11"/>
  <c r="O39" i="1"/>
  <c r="P39" i="1"/>
  <c r="O105" i="10"/>
  <c r="P105" i="10"/>
  <c r="L105" i="11"/>
  <c r="N105" i="11"/>
  <c r="O105" i="11"/>
  <c r="L121" i="11"/>
  <c r="N121" i="11"/>
  <c r="O121" i="11"/>
  <c r="O121" i="10"/>
  <c r="P121" i="10"/>
  <c r="O78" i="10"/>
  <c r="P78" i="10"/>
  <c r="L78" i="11"/>
  <c r="N78" i="11"/>
  <c r="O78" i="11"/>
  <c r="O44" i="10"/>
  <c r="P44" i="10"/>
  <c r="L44" i="11"/>
  <c r="N44" i="11"/>
  <c r="O44" i="11"/>
  <c r="J22" i="1"/>
  <c r="K22" i="1"/>
  <c r="H22" i="11"/>
  <c r="J22" i="11"/>
  <c r="K22" i="11"/>
  <c r="M22" i="1"/>
  <c r="L69" i="11"/>
  <c r="N69" i="11"/>
  <c r="O69" i="11"/>
  <c r="O103" i="1"/>
  <c r="P103" i="1"/>
  <c r="L103" i="11"/>
  <c r="N103" i="11"/>
  <c r="O103" i="11"/>
  <c r="O40" i="1"/>
  <c r="P40" i="1"/>
  <c r="L40" i="11"/>
  <c r="N40" i="11"/>
  <c r="O40" i="11"/>
  <c r="O51" i="10"/>
  <c r="P51" i="10"/>
  <c r="L51" i="11"/>
  <c r="N51" i="11"/>
  <c r="O51" i="11"/>
  <c r="H8" i="11"/>
  <c r="H132" i="1"/>
  <c r="J8" i="1"/>
  <c r="M8" i="1"/>
  <c r="H129" i="1"/>
  <c r="J129" i="1"/>
  <c r="K129" i="1"/>
  <c r="B129" i="11"/>
  <c r="G8" i="11"/>
  <c r="D4" i="17"/>
  <c r="G81" i="11"/>
  <c r="O68" i="1"/>
  <c r="P68" i="1"/>
  <c r="L68" i="11"/>
  <c r="N68" i="11"/>
  <c r="O68" i="11"/>
  <c r="Q136" i="2"/>
  <c r="Q196" i="2"/>
  <c r="O196" i="2"/>
  <c r="O97" i="10"/>
  <c r="P97" i="10"/>
  <c r="L97" i="11"/>
  <c r="N97" i="11"/>
  <c r="O97" i="11"/>
  <c r="O31" i="10"/>
  <c r="P31" i="10"/>
  <c r="M127" i="10"/>
  <c r="O127" i="10"/>
  <c r="P127" i="10"/>
  <c r="O57" i="1"/>
  <c r="P57" i="1"/>
  <c r="L57" i="11"/>
  <c r="N57" i="11"/>
  <c r="O57" i="11"/>
  <c r="O95" i="1"/>
  <c r="P95" i="1"/>
  <c r="L95" i="11"/>
  <c r="N95" i="11"/>
  <c r="O95" i="11"/>
  <c r="H67" i="11"/>
  <c r="J67" i="11"/>
  <c r="K67" i="11"/>
  <c r="J67" i="1"/>
  <c r="K67" i="1"/>
  <c r="M67" i="1"/>
  <c r="G22" i="11"/>
  <c r="C129" i="11"/>
  <c r="E4" i="17"/>
  <c r="E6" i="17"/>
  <c r="E11" i="17"/>
  <c r="K31" i="10"/>
  <c r="K131" i="10"/>
  <c r="J131" i="10"/>
  <c r="L29" i="48"/>
  <c r="M29" i="48"/>
  <c r="M23" i="48"/>
  <c r="O33" i="1"/>
  <c r="P33" i="1"/>
  <c r="L33" i="11"/>
  <c r="N33" i="11"/>
  <c r="O33" i="11"/>
  <c r="O116" i="10"/>
  <c r="P116" i="10"/>
  <c r="L116" i="11"/>
  <c r="N116" i="11"/>
  <c r="O116" i="11"/>
  <c r="M9" i="1"/>
  <c r="H9" i="11"/>
  <c r="J9" i="11"/>
  <c r="K9" i="11"/>
  <c r="J9" i="1"/>
  <c r="K9" i="1"/>
  <c r="L10" i="17"/>
  <c r="M10" i="17"/>
  <c r="K11" i="17"/>
  <c r="E129" i="11"/>
  <c r="O64" i="1"/>
  <c r="P64" i="1"/>
  <c r="L64" i="11"/>
  <c r="N64" i="11"/>
  <c r="O64" i="11"/>
  <c r="L127" i="11"/>
  <c r="N127" i="11"/>
  <c r="O127" i="11"/>
  <c r="O127" i="1"/>
  <c r="P127" i="1"/>
  <c r="O45" i="1"/>
  <c r="P45" i="1"/>
  <c r="L45" i="11"/>
  <c r="N45" i="11"/>
  <c r="O45" i="11"/>
  <c r="O6" i="1"/>
  <c r="P6" i="1"/>
  <c r="L6" i="11"/>
  <c r="N6" i="11"/>
  <c r="O6" i="11"/>
  <c r="O108" i="10"/>
  <c r="P108" i="10"/>
  <c r="L108" i="11"/>
  <c r="N108" i="11"/>
  <c r="O108" i="11"/>
  <c r="G127" i="13"/>
  <c r="G130" i="13"/>
  <c r="L50" i="11"/>
  <c r="N50" i="11"/>
  <c r="O50" i="11"/>
  <c r="O50" i="1"/>
  <c r="P50" i="1"/>
  <c r="K31" i="13"/>
  <c r="K131" i="13"/>
  <c r="J131" i="13"/>
  <c r="O101" i="10"/>
  <c r="P101" i="10"/>
  <c r="L101" i="11"/>
  <c r="N101" i="11"/>
  <c r="O101" i="11"/>
  <c r="G129" i="1"/>
  <c r="G132" i="1"/>
  <c r="P23" i="48"/>
  <c r="O29" i="48"/>
  <c r="P29" i="48"/>
  <c r="L31" i="11"/>
  <c r="N31" i="11"/>
  <c r="O31" i="11"/>
  <c r="L29" i="17"/>
  <c r="M29" i="17"/>
  <c r="O29" i="17"/>
  <c r="P29" i="17"/>
  <c r="O9" i="1"/>
  <c r="P9" i="1"/>
  <c r="L9" i="11"/>
  <c r="N9" i="11"/>
  <c r="O9" i="11"/>
  <c r="L81" i="11"/>
  <c r="N81" i="11"/>
  <c r="O81" i="11"/>
  <c r="O81" i="1"/>
  <c r="P81" i="1"/>
  <c r="G129" i="11"/>
  <c r="J132" i="1"/>
  <c r="K8" i="1"/>
  <c r="K132" i="1"/>
  <c r="L14" i="11"/>
  <c r="N14" i="11"/>
  <c r="O14" i="11"/>
  <c r="O14" i="1"/>
  <c r="P14" i="1"/>
  <c r="J5" i="17"/>
  <c r="I5" i="17"/>
  <c r="O49" i="1"/>
  <c r="P49" i="1"/>
  <c r="L49" i="11"/>
  <c r="N49" i="11"/>
  <c r="O49" i="11"/>
  <c r="M6" i="48"/>
  <c r="L11" i="48"/>
  <c r="M11" i="48"/>
  <c r="L67" i="11"/>
  <c r="N67" i="11"/>
  <c r="O67" i="11"/>
  <c r="O67" i="1"/>
  <c r="P67" i="1"/>
  <c r="J8" i="11"/>
  <c r="K8" i="11"/>
  <c r="H129" i="11"/>
  <c r="J129" i="11"/>
  <c r="K129" i="11"/>
  <c r="O22" i="1"/>
  <c r="P22" i="1"/>
  <c r="L22" i="11"/>
  <c r="N22" i="11"/>
  <c r="O22" i="11"/>
  <c r="P6" i="48"/>
  <c r="O11" i="48"/>
  <c r="P11" i="48"/>
  <c r="J4" i="17"/>
  <c r="I4" i="17"/>
  <c r="D6" i="17"/>
  <c r="D11" i="17"/>
  <c r="O8" i="1"/>
  <c r="P8" i="1"/>
  <c r="L8" i="11"/>
  <c r="M129" i="1"/>
  <c r="O129" i="1"/>
  <c r="P129" i="1"/>
  <c r="K31" i="1"/>
  <c r="K133" i="1"/>
  <c r="J133" i="1"/>
  <c r="O4" i="17"/>
  <c r="L4" i="17"/>
  <c r="J6" i="17"/>
  <c r="J11" i="17"/>
  <c r="I6" i="17"/>
  <c r="I11" i="17"/>
  <c r="L5" i="17"/>
  <c r="M5" i="17"/>
  <c r="O5" i="17"/>
  <c r="P5" i="17"/>
  <c r="N8" i="11"/>
  <c r="O8" i="11"/>
  <c r="L129" i="11"/>
  <c r="N129" i="11"/>
  <c r="O129" i="11"/>
  <c r="M4" i="17"/>
  <c r="L6" i="17"/>
  <c r="P4" i="17"/>
  <c r="O6" i="17"/>
  <c r="P6" i="17"/>
  <c r="O11" i="17"/>
  <c r="P11" i="17"/>
  <c r="M6" i="17"/>
  <c r="L11" i="17"/>
  <c r="M11" i="17"/>
</calcChain>
</file>

<file path=xl/sharedStrings.xml><?xml version="1.0" encoding="utf-8"?>
<sst xmlns="http://schemas.openxmlformats.org/spreadsheetml/2006/main" count="9769" uniqueCount="1397">
  <si>
    <t>Territory</t>
  </si>
  <si>
    <t>Week 1</t>
  </si>
  <si>
    <t>Week 2</t>
  </si>
  <si>
    <t>Week 3</t>
  </si>
  <si>
    <t>Week 4</t>
  </si>
  <si>
    <t>Week 5</t>
  </si>
  <si>
    <t>Month to Date</t>
  </si>
  <si>
    <t>Month Projection</t>
  </si>
  <si>
    <t>iTunes</t>
  </si>
  <si>
    <t>North America</t>
  </si>
  <si>
    <t>UK</t>
  </si>
  <si>
    <t>Italy</t>
  </si>
  <si>
    <t>Rest of Europe</t>
  </si>
  <si>
    <t>Japan</t>
  </si>
  <si>
    <t>Australia &amp; NZ</t>
  </si>
  <si>
    <t>iTunes Total</t>
  </si>
  <si>
    <t>WEEK 1</t>
  </si>
  <si>
    <t>WEEK 2</t>
  </si>
  <si>
    <t>WEEK 3</t>
  </si>
  <si>
    <t>WEEK 4</t>
  </si>
  <si>
    <t>WEEK 5</t>
  </si>
  <si>
    <t>Total</t>
  </si>
  <si>
    <t>TOTAL</t>
  </si>
  <si>
    <t xml:space="preserve">-- UK   </t>
  </si>
  <si>
    <t>Europe</t>
  </si>
  <si>
    <t>-- Japan</t>
  </si>
  <si>
    <t>ROW</t>
  </si>
  <si>
    <t>WEEK 1 TOTAL</t>
  </si>
  <si>
    <t>WEEK 2 TOTAL</t>
  </si>
  <si>
    <t>WEEK 3 TOTAL</t>
  </si>
  <si>
    <t>WEEK 4 TOTAL</t>
  </si>
  <si>
    <t>WEEK 5 TOTAL</t>
  </si>
  <si>
    <t>INCLUDING REJECTS:</t>
  </si>
  <si>
    <t>Australia</t>
  </si>
  <si>
    <t>Austria</t>
  </si>
  <si>
    <t>Belgium</t>
  </si>
  <si>
    <t>Canada</t>
  </si>
  <si>
    <t>Denmark</t>
  </si>
  <si>
    <t>Finland</t>
  </si>
  <si>
    <t>France</t>
  </si>
  <si>
    <t>Germany</t>
  </si>
  <si>
    <t>Greece</t>
  </si>
  <si>
    <t>Ireland</t>
  </si>
  <si>
    <t>Luxembourg</t>
  </si>
  <si>
    <t>Netherlands</t>
  </si>
  <si>
    <t>New Zealand</t>
  </si>
  <si>
    <t>Norway</t>
  </si>
  <si>
    <t>Portugal</t>
  </si>
  <si>
    <t>Spain</t>
  </si>
  <si>
    <t>Sweden</t>
  </si>
  <si>
    <t>Switzerland</t>
  </si>
  <si>
    <t>US</t>
  </si>
  <si>
    <t>Slovakia</t>
  </si>
  <si>
    <t>Romania</t>
  </si>
  <si>
    <t>Poland</t>
  </si>
  <si>
    <t>Malta</t>
  </si>
  <si>
    <t>Lithuania</t>
  </si>
  <si>
    <t>Latvia</t>
  </si>
  <si>
    <t>Hungary</t>
  </si>
  <si>
    <t>Estonia</t>
  </si>
  <si>
    <t>Czech Republic</t>
  </si>
  <si>
    <t>Cyprus</t>
  </si>
  <si>
    <t>Bulgaria</t>
  </si>
  <si>
    <t>-- Spain, Portugal</t>
  </si>
  <si>
    <t>-- Rest of EU</t>
  </si>
  <si>
    <t xml:space="preserve">-- Australia &amp; NZ </t>
  </si>
  <si>
    <t>-- Australia &amp; NZ</t>
  </si>
  <si>
    <t>Label</t>
  </si>
  <si>
    <t>Artist</t>
  </si>
  <si>
    <t>Track</t>
  </si>
  <si>
    <t>Cleopatra Records</t>
  </si>
  <si>
    <t>Rank</t>
  </si>
  <si>
    <t>United Kingdom</t>
  </si>
  <si>
    <t>Mexico</t>
  </si>
  <si>
    <t>Monaco</t>
  </si>
  <si>
    <t>-- SP, PT, IT</t>
  </si>
  <si>
    <t>SP, PT, IT</t>
  </si>
  <si>
    <t>Album</t>
  </si>
  <si>
    <t>Video</t>
  </si>
  <si>
    <t>Andorra</t>
  </si>
  <si>
    <t>Variance to Plan ($)</t>
  </si>
  <si>
    <t>Variance to Plan (%)</t>
  </si>
  <si>
    <t>Month Plan</t>
  </si>
  <si>
    <t>YouTube Music</t>
  </si>
  <si>
    <t>YouTube Film/TV</t>
  </si>
  <si>
    <t>GSA</t>
  </si>
  <si>
    <t>Scandinavia</t>
  </si>
  <si>
    <t>-- GSA</t>
  </si>
  <si>
    <t>Eastern EU</t>
  </si>
  <si>
    <t>-- Eastern EU</t>
  </si>
  <si>
    <t>Slovenia</t>
  </si>
  <si>
    <t xml:space="preserve"> </t>
  </si>
  <si>
    <t>FR, Bel, Lux, NE</t>
  </si>
  <si>
    <t>-- Fr, Bel, Lux, NE</t>
  </si>
  <si>
    <t>NA</t>
  </si>
  <si>
    <t>LATAM</t>
  </si>
  <si>
    <t>-- LATAM</t>
  </si>
  <si>
    <t>-- Scandinavia</t>
  </si>
  <si>
    <t>Orchard Video</t>
  </si>
  <si>
    <t>-- Pan-Asia</t>
  </si>
  <si>
    <t>Pan-Asia</t>
  </si>
  <si>
    <t>Spotify Austria</t>
  </si>
  <si>
    <t>Spotify Belgium</t>
  </si>
  <si>
    <t>Spotify Denmark</t>
  </si>
  <si>
    <t>Spotify Finland</t>
  </si>
  <si>
    <t>Spotify France</t>
  </si>
  <si>
    <t>Spotify Germany</t>
  </si>
  <si>
    <t>Spotify Netherlands</t>
  </si>
  <si>
    <t>Spotify Norway</t>
  </si>
  <si>
    <t>Spotify Spain</t>
  </si>
  <si>
    <t>Spotify Sweden</t>
  </si>
  <si>
    <t>Spotify Switzerland</t>
  </si>
  <si>
    <t>Spotify United Kingdom</t>
  </si>
  <si>
    <t>Spotify USA</t>
  </si>
  <si>
    <t>EU</t>
  </si>
  <si>
    <t>Amazon US</t>
  </si>
  <si>
    <t>September</t>
  </si>
  <si>
    <t>October</t>
  </si>
  <si>
    <t>Spotify Andorra</t>
  </si>
  <si>
    <t>Spotify Ireland</t>
  </si>
  <si>
    <t>Spotify Liechtenstein</t>
  </si>
  <si>
    <t>Spotify Luxembourg</t>
  </si>
  <si>
    <t>Spotify Monaco</t>
  </si>
  <si>
    <t>November</t>
  </si>
  <si>
    <t>Anguilla</t>
  </si>
  <si>
    <t>Antigua and Barbuda</t>
  </si>
  <si>
    <t>Argentina</t>
  </si>
  <si>
    <t>Armenia</t>
  </si>
  <si>
    <t>Azerbaijan</t>
  </si>
  <si>
    <t>Bahamas</t>
  </si>
  <si>
    <t>Barbados</t>
  </si>
  <si>
    <t>Belarus</t>
  </si>
  <si>
    <t>Belize</t>
  </si>
  <si>
    <t>Bermuda</t>
  </si>
  <si>
    <t>Bolivia</t>
  </si>
  <si>
    <t>Botswana</t>
  </si>
  <si>
    <t>Brazil</t>
  </si>
  <si>
    <t>Brunei Darussalam</t>
  </si>
  <si>
    <t>Burkina Faso</t>
  </si>
  <si>
    <t>Cambodia</t>
  </si>
  <si>
    <t>Cape Verde</t>
  </si>
  <si>
    <t>Cayman Islands</t>
  </si>
  <si>
    <t>Chile</t>
  </si>
  <si>
    <t>Colombia</t>
  </si>
  <si>
    <t>Costa Rica</t>
  </si>
  <si>
    <t>Dominica</t>
  </si>
  <si>
    <t>Dominican Republic</t>
  </si>
  <si>
    <t>Ecuador</t>
  </si>
  <si>
    <t>El Salvador</t>
  </si>
  <si>
    <t>Fiji</t>
  </si>
  <si>
    <t>Gambia</t>
  </si>
  <si>
    <t>Ghana</t>
  </si>
  <si>
    <t>Grenada</t>
  </si>
  <si>
    <t>Guatemala</t>
  </si>
  <si>
    <t>Guinea-Bissau</t>
  </si>
  <si>
    <t>Honduras</t>
  </si>
  <si>
    <t>Hong Kong</t>
  </si>
  <si>
    <t>India</t>
  </si>
  <si>
    <t>Indonesia</t>
  </si>
  <si>
    <t>Israel</t>
  </si>
  <si>
    <t>Kazakhstan</t>
  </si>
  <si>
    <t>Kenya</t>
  </si>
  <si>
    <t>Kyrgyzstan</t>
  </si>
  <si>
    <t>Macao</t>
  </si>
  <si>
    <t>Malaysia</t>
  </si>
  <si>
    <t>Mauritius</t>
  </si>
  <si>
    <t>Micronesia</t>
  </si>
  <si>
    <t>Moldova</t>
  </si>
  <si>
    <t>Mongolia</t>
  </si>
  <si>
    <t>Mozambique</t>
  </si>
  <si>
    <t>Namibia</t>
  </si>
  <si>
    <t>Nepal</t>
  </si>
  <si>
    <t>Nicaragua</t>
  </si>
  <si>
    <t>Niger</t>
  </si>
  <si>
    <t>Nigeria</t>
  </si>
  <si>
    <t>Panama</t>
  </si>
  <si>
    <t>Papua New Guinea</t>
  </si>
  <si>
    <t>Paraguay</t>
  </si>
  <si>
    <t>Peru</t>
  </si>
  <si>
    <t>Philippines</t>
  </si>
  <si>
    <t>Russia</t>
  </si>
  <si>
    <t>Saint Kitts and Nevis</t>
  </si>
  <si>
    <t>Singapore</t>
  </si>
  <si>
    <t>South Africa</t>
  </si>
  <si>
    <t>Sri Lanka</t>
  </si>
  <si>
    <t>Swaziland</t>
  </si>
  <si>
    <t>Taiwan</t>
  </si>
  <si>
    <t>Tajikistan</t>
  </si>
  <si>
    <t>Thailand</t>
  </si>
  <si>
    <t>Trinidad and Tobago</t>
  </si>
  <si>
    <t>Turkey</t>
  </si>
  <si>
    <t>Turkmenistan</t>
  </si>
  <si>
    <t>Uganda</t>
  </si>
  <si>
    <t>Ukraine</t>
  </si>
  <si>
    <t>Uzbekistan</t>
  </si>
  <si>
    <t>Venezuela</t>
  </si>
  <si>
    <t>Viet Nam</t>
  </si>
  <si>
    <t>Virgin Islands, British</t>
  </si>
  <si>
    <t>Zimbabwe</t>
  </si>
  <si>
    <t>United States</t>
  </si>
  <si>
    <t>-- ROW</t>
  </si>
  <si>
    <t>Laos</t>
  </si>
  <si>
    <t>Montenegro</t>
  </si>
  <si>
    <t>AI</t>
  </si>
  <si>
    <t>AG</t>
  </si>
  <si>
    <t>AR</t>
  </si>
  <si>
    <t>AM</t>
  </si>
  <si>
    <t>AU</t>
  </si>
  <si>
    <t>AT</t>
  </si>
  <si>
    <t>AZ</t>
  </si>
  <si>
    <t>BS</t>
  </si>
  <si>
    <t>BB</t>
  </si>
  <si>
    <t>BY</t>
  </si>
  <si>
    <t>BE</t>
  </si>
  <si>
    <t>BZ</t>
  </si>
  <si>
    <t>BM</t>
  </si>
  <si>
    <t>BO</t>
  </si>
  <si>
    <t>BW</t>
  </si>
  <si>
    <t>BR</t>
  </si>
  <si>
    <t>BN</t>
  </si>
  <si>
    <t>BG</t>
  </si>
  <si>
    <t>BF</t>
  </si>
  <si>
    <t>KH</t>
  </si>
  <si>
    <t>CA</t>
  </si>
  <si>
    <t>CV</t>
  </si>
  <si>
    <t>KY</t>
  </si>
  <si>
    <t>CL</t>
  </si>
  <si>
    <t>CO</t>
  </si>
  <si>
    <t>CR</t>
  </si>
  <si>
    <t>CY</t>
  </si>
  <si>
    <t>CZ</t>
  </si>
  <si>
    <t>DK</t>
  </si>
  <si>
    <t>DM</t>
  </si>
  <si>
    <t>DO</t>
  </si>
  <si>
    <t>EC</t>
  </si>
  <si>
    <t>SV</t>
  </si>
  <si>
    <t>EE</t>
  </si>
  <si>
    <t>FJ</t>
  </si>
  <si>
    <t>FI</t>
  </si>
  <si>
    <t>FR</t>
  </si>
  <si>
    <t>GM</t>
  </si>
  <si>
    <t>DE</t>
  </si>
  <si>
    <t>GH</t>
  </si>
  <si>
    <t>GR</t>
  </si>
  <si>
    <t>GD</t>
  </si>
  <si>
    <t>GT</t>
  </si>
  <si>
    <t>GW</t>
  </si>
  <si>
    <t>HN</t>
  </si>
  <si>
    <t>HK</t>
  </si>
  <si>
    <t>HU</t>
  </si>
  <si>
    <t>IN</t>
  </si>
  <si>
    <t>ID</t>
  </si>
  <si>
    <t>IE</t>
  </si>
  <si>
    <t>IL</t>
  </si>
  <si>
    <t>IT</t>
  </si>
  <si>
    <t>JP</t>
  </si>
  <si>
    <t>KZ</t>
  </si>
  <si>
    <t>KE</t>
  </si>
  <si>
    <t>KG</t>
  </si>
  <si>
    <t>LV</t>
  </si>
  <si>
    <t>LT</t>
  </si>
  <si>
    <t>LU</t>
  </si>
  <si>
    <t>MO</t>
  </si>
  <si>
    <t>MY</t>
  </si>
  <si>
    <t>MT</t>
  </si>
  <si>
    <t>MU</t>
  </si>
  <si>
    <t>MX</t>
  </si>
  <si>
    <t>FM</t>
  </si>
  <si>
    <t>MN</t>
  </si>
  <si>
    <t>MZ</t>
  </si>
  <si>
    <t>NP</t>
  </si>
  <si>
    <t>NL</t>
  </si>
  <si>
    <t>NZ</t>
  </si>
  <si>
    <t>NI</t>
  </si>
  <si>
    <t>NE</t>
  </si>
  <si>
    <t>NG</t>
  </si>
  <si>
    <t>NO</t>
  </si>
  <si>
    <t>PA</t>
  </si>
  <si>
    <t>PG</t>
  </si>
  <si>
    <t>PY</t>
  </si>
  <si>
    <t>PE</t>
  </si>
  <si>
    <t>PH</t>
  </si>
  <si>
    <t>PL</t>
  </si>
  <si>
    <t>PT</t>
  </si>
  <si>
    <t>RO</t>
  </si>
  <si>
    <t>KN</t>
  </si>
  <si>
    <t>SG</t>
  </si>
  <si>
    <t>SK</t>
  </si>
  <si>
    <t>SI</t>
  </si>
  <si>
    <t>ZA</t>
  </si>
  <si>
    <t>ES</t>
  </si>
  <si>
    <t>LK</t>
  </si>
  <si>
    <t>SZ</t>
  </si>
  <si>
    <t>SE</t>
  </si>
  <si>
    <t>CH</t>
  </si>
  <si>
    <t>TW</t>
  </si>
  <si>
    <t>TJ</t>
  </si>
  <si>
    <t>TH</t>
  </si>
  <si>
    <t>TT</t>
  </si>
  <si>
    <t>TR</t>
  </si>
  <si>
    <t>TM</t>
  </si>
  <si>
    <t>UG</t>
  </si>
  <si>
    <t>UA</t>
  </si>
  <si>
    <t>GB</t>
  </si>
  <si>
    <t>UZ</t>
  </si>
  <si>
    <t>VE</t>
  </si>
  <si>
    <t>VN</t>
  </si>
  <si>
    <t>ZW</t>
  </si>
  <si>
    <t>VG</t>
  </si>
  <si>
    <t>RU</t>
  </si>
  <si>
    <t>CS</t>
  </si>
  <si>
    <t>MD</t>
  </si>
  <si>
    <t>LA</t>
  </si>
  <si>
    <t>Cricket</t>
  </si>
  <si>
    <t>Store</t>
  </si>
  <si>
    <t>TRACK INGESTION</t>
  </si>
  <si>
    <t>Top 20 Track Downloads</t>
  </si>
  <si>
    <t>Top 20 Album Downloads</t>
  </si>
  <si>
    <t>Cricket^</t>
  </si>
  <si>
    <t>Repertoire</t>
  </si>
  <si>
    <t>ORCH</t>
  </si>
  <si>
    <t>IODA</t>
  </si>
  <si>
    <t>Classic Recordings</t>
  </si>
  <si>
    <t>Get Low Digital</t>
  </si>
  <si>
    <t>Australian Broadcasting Corporation</t>
  </si>
  <si>
    <t>Proper Music Distribution Ltd.</t>
  </si>
  <si>
    <t>Burnside Distribution</t>
  </si>
  <si>
    <t>RuCo, Inc</t>
  </si>
  <si>
    <t>Amazon Austria</t>
  </si>
  <si>
    <t>Amazon France</t>
  </si>
  <si>
    <t>Amazon Germany</t>
  </si>
  <si>
    <t>Amazon Italy</t>
  </si>
  <si>
    <t>Amazon Japan</t>
  </si>
  <si>
    <t>Amazon Spain</t>
  </si>
  <si>
    <t>Amazon United Kingdom</t>
  </si>
  <si>
    <t>Spotify Italy</t>
  </si>
  <si>
    <t>Spotify Poland</t>
  </si>
  <si>
    <t>Spotify Portugal</t>
  </si>
  <si>
    <t>24 Hour Service Station Distribution</t>
  </si>
  <si>
    <t>Allegro</t>
  </si>
  <si>
    <t>Orchard</t>
  </si>
  <si>
    <t># of Releases</t>
  </si>
  <si>
    <t>Seba Dolimont</t>
  </si>
  <si>
    <t>Neowiz Bugs Corporation</t>
  </si>
  <si>
    <t>Nuclear Blast</t>
  </si>
  <si>
    <t>Starmedia AV LAB LLP (Studio Soyuz LLC)</t>
  </si>
  <si>
    <t>Bomb Hip Hop</t>
  </si>
  <si>
    <t>CMH Records</t>
  </si>
  <si>
    <t>TVT</t>
  </si>
  <si>
    <t>ABB Records</t>
  </si>
  <si>
    <t>Easy Street Records</t>
  </si>
  <si>
    <t>Tourmaline Media</t>
  </si>
  <si>
    <t>The Humble Empire LLC</t>
  </si>
  <si>
    <t>World Music Network</t>
  </si>
  <si>
    <t>Kult Records</t>
  </si>
  <si>
    <t>Domination Distribution, LLC</t>
  </si>
  <si>
    <t>Kjer.com ApS</t>
  </si>
  <si>
    <t>Indie Pool</t>
  </si>
  <si>
    <t>AK Press</t>
  </si>
  <si>
    <t>Black Market Transit</t>
  </si>
  <si>
    <t>SPG Music</t>
  </si>
  <si>
    <t>ObliqSound</t>
  </si>
  <si>
    <t>Ultraviolet Productions</t>
  </si>
  <si>
    <t>Challenge Records International BV</t>
  </si>
  <si>
    <t>Perspective Music, Inc.</t>
  </si>
  <si>
    <t>Digital Delivery Services</t>
  </si>
  <si>
    <t>Sonic Rendezvous DCM BV</t>
  </si>
  <si>
    <t>Street Anthem Records</t>
  </si>
  <si>
    <t>Azucar Entertainment Inc.</t>
  </si>
  <si>
    <t>Defend Music Inc.</t>
  </si>
  <si>
    <t>The Corrupt Conglomerate</t>
  </si>
  <si>
    <t>Uproar Entertainment</t>
  </si>
  <si>
    <t>YOYO USA, Inc.</t>
  </si>
  <si>
    <t>WKW Familienmusik GmbH</t>
  </si>
  <si>
    <t>His Production USA, Inc.</t>
  </si>
  <si>
    <t>Inside Sounds</t>
  </si>
  <si>
    <t>Sickbay Records, Inc.</t>
  </si>
  <si>
    <t>Shellshock</t>
  </si>
  <si>
    <t>LRC Ltd.</t>
  </si>
  <si>
    <t>China Media Ventures, Inc.</t>
  </si>
  <si>
    <t>Santa Fe Music Group</t>
  </si>
  <si>
    <t>Universal Childrens Audio (UCA) Ltd</t>
  </si>
  <si>
    <t>KEM Enterprises, Inc.</t>
  </si>
  <si>
    <t>Cargo Records UK</t>
  </si>
  <si>
    <t>Independent Entertainment Group Snc</t>
  </si>
  <si>
    <t>CineVu</t>
  </si>
  <si>
    <t>Global Journey Ltd</t>
  </si>
  <si>
    <t>Electrofunk Records, Inc. dba Submerge Recordings</t>
  </si>
  <si>
    <t>Janet Kuypers</t>
  </si>
  <si>
    <t>The Sound Corporation</t>
  </si>
  <si>
    <t>Reggae Lounge</t>
  </si>
  <si>
    <t>iMusician</t>
  </si>
  <si>
    <t>DEDALO SOUND</t>
  </si>
  <si>
    <t>Everest Record Group</t>
  </si>
  <si>
    <t>Angel Eyes Music Group LLC</t>
  </si>
  <si>
    <t>Edition Turicaphon AG</t>
  </si>
  <si>
    <t>Rubber Music Pty Ltd</t>
  </si>
  <si>
    <t>Disques Atma, Inc.</t>
  </si>
  <si>
    <t>RaCheer Media Ltd.</t>
  </si>
  <si>
    <t>Albany Music Distributors</t>
  </si>
  <si>
    <t>Smut Peddlers</t>
  </si>
  <si>
    <t>David Evans</t>
  </si>
  <si>
    <t>Hi-Bias Records Inc.</t>
  </si>
  <si>
    <t>New Gold Music Ltd</t>
  </si>
  <si>
    <t>Money Tree Ent.</t>
  </si>
  <si>
    <t>Datta Yoga Center USA</t>
  </si>
  <si>
    <t>Essential Media Group</t>
  </si>
  <si>
    <t>DawgRecords Ltd</t>
  </si>
  <si>
    <t>Aspirion Records</t>
  </si>
  <si>
    <t>Mass Audios</t>
  </si>
  <si>
    <t>A. Rostom</t>
  </si>
  <si>
    <t>Stranamente Music S.A.S</t>
  </si>
  <si>
    <t>Adagio Music Inc.</t>
  </si>
  <si>
    <t>Bug Music, Inc.</t>
  </si>
  <si>
    <t>Bright Antenna Distribution, LLC</t>
  </si>
  <si>
    <t>Nicholas Didkovsky</t>
  </si>
  <si>
    <t>Discograph</t>
  </si>
  <si>
    <t>Jober Entertainment</t>
  </si>
  <si>
    <t>Dickie Goodman Productions LLC</t>
  </si>
  <si>
    <t>Supraphon a.s.</t>
  </si>
  <si>
    <t>Room 40</t>
  </si>
  <si>
    <t>7 Arts Entertainment</t>
  </si>
  <si>
    <t>Musical Concepts Inc.</t>
  </si>
  <si>
    <t>Space Shower Networks Inc.</t>
  </si>
  <si>
    <t>Spectra Records</t>
  </si>
  <si>
    <t>Carlos Giffoni</t>
  </si>
  <si>
    <t>Hoot / Wisdom Recordings LLC</t>
  </si>
  <si>
    <t>BMX Entertainment</t>
  </si>
  <si>
    <t>Upstairs Recordings</t>
  </si>
  <si>
    <t>Cyberwerks</t>
  </si>
  <si>
    <t>Fresh Sound Records</t>
  </si>
  <si>
    <t>Def Digital</t>
  </si>
  <si>
    <t>M.S. Distributing Company</t>
  </si>
  <si>
    <t>Cherry Red Records</t>
  </si>
  <si>
    <t>Eastside Records (Uploader)</t>
  </si>
  <si>
    <t>Plastic Head Media Ltd.</t>
  </si>
  <si>
    <t>Nova Sales and Distribution Ltd.</t>
  </si>
  <si>
    <t>Megabop</t>
  </si>
  <si>
    <t>Andrew Missingham</t>
  </si>
  <si>
    <t>NJC Music</t>
  </si>
  <si>
    <t>Silver Mine Inc</t>
  </si>
  <si>
    <t>Backpages Ltd</t>
  </si>
  <si>
    <t>Saland Investments</t>
  </si>
  <si>
    <t>Mardi Gras Records</t>
  </si>
  <si>
    <t>Independent Digital Format Distribution S.L.</t>
  </si>
  <si>
    <t>Demon Music Group Limited</t>
  </si>
  <si>
    <t>ASI Music</t>
  </si>
  <si>
    <t>Memphis Recording Service</t>
  </si>
  <si>
    <t>Petros Tabouris</t>
  </si>
  <si>
    <t>Blaricum CD Company (B.C.D.) B.V.</t>
  </si>
  <si>
    <t>CSH Partners</t>
  </si>
  <si>
    <t>MAYO RECORDS</t>
  </si>
  <si>
    <t>Andrew A. Melzer</t>
  </si>
  <si>
    <t>Digital Multimedia Group</t>
  </si>
  <si>
    <t>Taraneh Enterprises Inc</t>
  </si>
  <si>
    <t>Afrikool Entertainment</t>
  </si>
  <si>
    <t>Tee's Freeze Project Inc.</t>
  </si>
  <si>
    <t>Nathan Vinall</t>
  </si>
  <si>
    <t>Grand  Entertainment Group</t>
  </si>
  <si>
    <t>The Hit Music Company</t>
  </si>
  <si>
    <t>Hustlin' Records, Inc.</t>
  </si>
  <si>
    <t>Transport Recordings, LLC</t>
  </si>
  <si>
    <t>Perennial Music</t>
  </si>
  <si>
    <t>Instyle Records LLC</t>
  </si>
  <si>
    <t>Zekrayat El Fan</t>
  </si>
  <si>
    <t>Matthew Smith d/b/a Illegal Art</t>
  </si>
  <si>
    <t>Dolores Scott as Guardian for Edward Ramon Burke</t>
  </si>
  <si>
    <t>Margate Entertainment LLC</t>
  </si>
  <si>
    <t>Rise Sport Entertainment</t>
  </si>
  <si>
    <t>Regis Records</t>
  </si>
  <si>
    <t>The Digital Gramophone Ltd</t>
  </si>
  <si>
    <t>Made Records</t>
  </si>
  <si>
    <t>Diginet Digital Distribution Network</t>
  </si>
  <si>
    <t>Select O Hits Ringtone</t>
  </si>
  <si>
    <t>Megabop Admin</t>
  </si>
  <si>
    <t>MAT Music Theme Licensing LTD</t>
  </si>
  <si>
    <t>Steady Mobbin Productions</t>
  </si>
  <si>
    <t>Dope Den Productions LLC</t>
  </si>
  <si>
    <t>MAFY, Inc.</t>
  </si>
  <si>
    <t>OVC Media Limited</t>
  </si>
  <si>
    <t>Paper Bag Records</t>
  </si>
  <si>
    <t>Label ID</t>
  </si>
  <si>
    <t>TUTM</t>
  </si>
  <si>
    <t>EMM Entertainment Limited Liability Company</t>
  </si>
  <si>
    <t>Bobby Jones Media Inc</t>
  </si>
  <si>
    <t>EVENADAM MEDIA a division of Renegade Media Networ</t>
  </si>
  <si>
    <t>Bizzlebell Music</t>
  </si>
  <si>
    <t>Projectivity Movement LLC</t>
  </si>
  <si>
    <t>Allbeat</t>
  </si>
  <si>
    <t>SingSongs Music Limited</t>
  </si>
  <si>
    <t>Anonymous Music</t>
  </si>
  <si>
    <t>Electric Feel Music Group</t>
  </si>
  <si>
    <t>One Media Publishing Ltd.</t>
  </si>
  <si>
    <t>ALEXA</t>
  </si>
  <si>
    <t>Discos Cada SL</t>
  </si>
  <si>
    <t>Artisan MM Ltd.</t>
  </si>
  <si>
    <t>Meta Network (Efort)</t>
  </si>
  <si>
    <t>Elemental Music SLU</t>
  </si>
  <si>
    <t>Entertain Me Europe LTD</t>
  </si>
  <si>
    <t>AVID Entertainment</t>
  </si>
  <si>
    <t>Twilight 76 Records</t>
  </si>
  <si>
    <t>Open Records (AR)</t>
  </si>
  <si>
    <t>LICENSEMUSIC.COM</t>
  </si>
  <si>
    <t>CGH Ventures Inc.</t>
  </si>
  <si>
    <t>Procom</t>
  </si>
  <si>
    <t>Monstar Lab, Inc.</t>
  </si>
  <si>
    <t>Seyffert Production GmbH</t>
  </si>
  <si>
    <t>WRTALENT</t>
  </si>
  <si>
    <t>KZoo Music, S.L. (Disconforme)</t>
  </si>
  <si>
    <t>Chrome Dreams Media Ltd</t>
  </si>
  <si>
    <t>Rock America Inc.</t>
  </si>
  <si>
    <t>Producciones AR</t>
  </si>
  <si>
    <t>Musical Heritage Society</t>
  </si>
  <si>
    <t>JL Musik</t>
  </si>
  <si>
    <t>Ameritz Music Ltd</t>
  </si>
  <si>
    <t>One Media Publishing (CARINCO Catalogue)</t>
  </si>
  <si>
    <t>impressions</t>
  </si>
  <si>
    <t>Future Noise Music Limited</t>
  </si>
  <si>
    <t>Stingray Music USA Inc.</t>
  </si>
  <si>
    <t>HHO Multimedia Ltd (audio)</t>
  </si>
  <si>
    <t>Woddish Ltd T/A Landfall</t>
  </si>
  <si>
    <t>Nuova Canaria</t>
  </si>
  <si>
    <t>Tam Tam Media</t>
  </si>
  <si>
    <t>Membran Ltd.</t>
  </si>
  <si>
    <t>Boheme Music</t>
  </si>
  <si>
    <t>Pattaya</t>
  </si>
  <si>
    <t>Rendez-Vous Digital</t>
  </si>
  <si>
    <t>Picap / Actual</t>
  </si>
  <si>
    <t>John Harris</t>
  </si>
  <si>
    <t>Digiline 2012, SL (fka Vintage Music)</t>
  </si>
  <si>
    <t>BUTTERFLY</t>
  </si>
  <si>
    <t>BGM Industrias del Disco S.A.  (Magenta Discos)</t>
  </si>
  <si>
    <t>STKM Records</t>
  </si>
  <si>
    <t>Media Touch Limited</t>
  </si>
  <si>
    <t>Entertainment Supplies S.A.</t>
  </si>
  <si>
    <t>On-The-Go Music</t>
  </si>
  <si>
    <t>MHF (Oldies Sounds)</t>
  </si>
  <si>
    <t>Digital Natives</t>
  </si>
  <si>
    <t>Alhambra Web Service S.L.N.E.</t>
  </si>
  <si>
    <t>JSP Records</t>
  </si>
  <si>
    <t>Executive Music Distribution, LLC</t>
  </si>
  <si>
    <t>ROCK CITY</t>
  </si>
  <si>
    <t>Sam Sam Music</t>
  </si>
  <si>
    <t>Rymatica</t>
  </si>
  <si>
    <t>Dance Plant # 3</t>
  </si>
  <si>
    <t>Electric Lemon Records Co.</t>
  </si>
  <si>
    <t>Platinum Groove Entertainment</t>
  </si>
  <si>
    <t>Wonder Boy Records</t>
  </si>
  <si>
    <t>Musicom</t>
  </si>
  <si>
    <t>Margate Entertainment (WW)</t>
  </si>
  <si>
    <t>Plaza Mayor Company, Ltd.</t>
  </si>
  <si>
    <t>Jazzpoint Records</t>
  </si>
  <si>
    <t>Memoir Records Ltd.</t>
  </si>
  <si>
    <t>wyld pytch rekords/51 lexington street</t>
  </si>
  <si>
    <t>D&amp;D Producciones Fonograficas SA</t>
  </si>
  <si>
    <t>Acrobat Music Limited</t>
  </si>
  <si>
    <t>Times Music (Times of India)</t>
  </si>
  <si>
    <t>Music Brokers</t>
  </si>
  <si>
    <t>Amathus Music</t>
  </si>
  <si>
    <t>Snapper Music</t>
  </si>
  <si>
    <t>The Copyright Group Ltd. / Maverick (ROW)</t>
  </si>
  <si>
    <t>SG productions Editions</t>
  </si>
  <si>
    <t>KZoo Music, S.L.</t>
  </si>
  <si>
    <t>Emmtee Music Ltd./Folk Heritage</t>
  </si>
  <si>
    <t>Salmon Records</t>
  </si>
  <si>
    <t>Warwick Records</t>
  </si>
  <si>
    <t>Leader Music S.A.</t>
  </si>
  <si>
    <t>The Copyright Group Ltd. / Maverick (WW)</t>
  </si>
  <si>
    <t>Ediciones Tacuabe S.R.L.</t>
  </si>
  <si>
    <t>Air Music and Media Copyright Limited</t>
  </si>
  <si>
    <t>TCB - The Montreux Jazz Label™</t>
  </si>
  <si>
    <t>TVI RECORDS</t>
  </si>
  <si>
    <t>Azzurra Music SRL</t>
  </si>
  <si>
    <t>Open Records</t>
  </si>
  <si>
    <t>undamaris</t>
  </si>
  <si>
    <t>Bohemian Music Service (B.M.S)</t>
  </si>
  <si>
    <t>Femme Sutil S.L.</t>
  </si>
  <si>
    <t>Laika</t>
  </si>
  <si>
    <t>Executive Entertainment Services</t>
  </si>
  <si>
    <t>Music By Appointment, Inc.</t>
  </si>
  <si>
    <t>Proper Records Ltd</t>
  </si>
  <si>
    <t>Equinoxe Records</t>
  </si>
  <si>
    <t>Maestro Entertainment, Corp. (fka Park South)</t>
  </si>
  <si>
    <t>Ma iou Tobé</t>
  </si>
  <si>
    <t>POTENZA MUSIC PUB</t>
  </si>
  <si>
    <t>Ada Yayincilik</t>
  </si>
  <si>
    <t>Disques VDE-GALLO</t>
  </si>
  <si>
    <t>Achord Recordings LLC</t>
  </si>
  <si>
    <t>Star 69 Records</t>
  </si>
  <si>
    <t>Yeni Dünya Müzik</t>
  </si>
  <si>
    <t>ISIS Sarl</t>
  </si>
  <si>
    <t>Twilight Music</t>
  </si>
  <si>
    <t>HaHaas Comedy LLC</t>
  </si>
  <si>
    <t>Go Entertainment Group Ltd.</t>
  </si>
  <si>
    <t>Discoloco</t>
  </si>
  <si>
    <t>Storyville Records</t>
  </si>
  <si>
    <t>Hindsight Records</t>
  </si>
  <si>
    <t>Ringtone Records</t>
  </si>
  <si>
    <t>Alchemy Werks LLC (fka Reality Entertainment)</t>
  </si>
  <si>
    <t>BCD Music Group</t>
  </si>
  <si>
    <t>IML Irish Music Licensing Ltd.</t>
  </si>
  <si>
    <t>Base Point Media (Phonofile)</t>
  </si>
  <si>
    <t>Music Factory Entertainment Group</t>
  </si>
  <si>
    <t>Rajshri Media (P) Limited</t>
  </si>
  <si>
    <t>The Copyright Group (DMGI)</t>
  </si>
  <si>
    <t>World WIDE Recordings</t>
  </si>
  <si>
    <t>Body &amp; Soul SARL</t>
  </si>
  <si>
    <t>KZoo Music, S.L. (OK Records)</t>
  </si>
  <si>
    <t>Wu Music Group</t>
  </si>
  <si>
    <t>Body &amp; Soul SARL (Complete Jazz Series)</t>
  </si>
  <si>
    <t>BMXE</t>
  </si>
  <si>
    <t>The Hitbreakers.com d/b/a HSM Entertainment</t>
  </si>
  <si>
    <t>Chance Records (Bela Records Catalog)</t>
  </si>
  <si>
    <t>Deep Distribution Worldwide, Inc.</t>
  </si>
  <si>
    <t>Wellington Beck Music Group</t>
  </si>
  <si>
    <t>Stevan Pasero d/b/a Solea Group</t>
  </si>
  <si>
    <t>Krik Music</t>
  </si>
  <si>
    <t>Media Songs SRL</t>
  </si>
  <si>
    <t>Stretto Productions Inc.</t>
  </si>
  <si>
    <t>Rainbow Productions (Sussex) Ltd.</t>
  </si>
  <si>
    <t>KZoo Music, S.L. (Brisa)</t>
  </si>
  <si>
    <t>Sleeping Giant Music Limited</t>
  </si>
  <si>
    <t>Ten12 Entertainment</t>
  </si>
  <si>
    <t>Karma Music Ltd.</t>
  </si>
  <si>
    <t>Store Van Music Ltd.</t>
  </si>
  <si>
    <t>Dance Plant #1</t>
  </si>
  <si>
    <t>Firefly Entertainment (PD)</t>
  </si>
  <si>
    <t>Duke Marketing Ltd</t>
  </si>
  <si>
    <t>ThinkClouds</t>
  </si>
  <si>
    <t>Smith Show Media Group Inc</t>
  </si>
  <si>
    <t>MasterCorp Pty Ltd</t>
  </si>
  <si>
    <t>Beyond Blond Productions</t>
  </si>
  <si>
    <t>Ibiza Entertainment</t>
  </si>
  <si>
    <t>Elusive Sounds LLC</t>
  </si>
  <si>
    <t>Playbak Records</t>
  </si>
  <si>
    <t>ORAL</t>
  </si>
  <si>
    <t>Artist/Label Relations</t>
  </si>
  <si>
    <t>Chris Duncan</t>
  </si>
  <si>
    <t>Ray Lin</t>
  </si>
  <si>
    <t>Philippe Giard</t>
  </si>
  <si>
    <t>Ben South</t>
  </si>
  <si>
    <t>Chris Manning</t>
  </si>
  <si>
    <t>Catonia Whalen</t>
  </si>
  <si>
    <t>Jeremy Sponder</t>
  </si>
  <si>
    <t>Liz Eve</t>
  </si>
  <si>
    <t>Eulalia Rafols</t>
  </si>
  <si>
    <t>EPSA EPSA</t>
  </si>
  <si>
    <t>Katie Leeds</t>
  </si>
  <si>
    <t>Giacomo Coveri</t>
  </si>
  <si>
    <t>Anna Ibarzabal</t>
  </si>
  <si>
    <t>Riker Griffiths</t>
  </si>
  <si>
    <t>Priyanka Dewan</t>
  </si>
  <si>
    <t>Jason Jones</t>
  </si>
  <si>
    <t>Corey Sheridan</t>
  </si>
  <si>
    <t>Metin Uzelli</t>
  </si>
  <si>
    <t>Andy Hsueh</t>
  </si>
  <si>
    <t>Emilie Snellman</t>
  </si>
  <si>
    <t>Richard Pattison</t>
  </si>
  <si>
    <t>Clint Cabral</t>
  </si>
  <si>
    <t>Hemal Dalal</t>
  </si>
  <si>
    <t>Katie Ferguson</t>
  </si>
  <si>
    <t>iTunes Hidden Summary*</t>
  </si>
  <si>
    <t>Sammy_Executive Music Distribution (EMD), LLC</t>
  </si>
  <si>
    <t>Meta Network (Countdown)</t>
  </si>
  <si>
    <t>Ringtone Records [IRIS]</t>
  </si>
  <si>
    <t># of Releases Hidden</t>
  </si>
  <si>
    <t>Previous Week</t>
  </si>
  <si>
    <t>Desi Vach</t>
  </si>
  <si>
    <t>Pennrose Media</t>
  </si>
  <si>
    <t>Open Records (Countdown)</t>
  </si>
  <si>
    <t>Digital Natives (Countdown)</t>
  </si>
  <si>
    <t>Kramer Reality Tours, Inc</t>
  </si>
  <si>
    <t>Rotana Audio Video (Mobile North America)</t>
  </si>
  <si>
    <t>HKO Records</t>
  </si>
  <si>
    <t>Ozgur Okter</t>
  </si>
  <si>
    <t>Nathalia Vieira</t>
  </si>
  <si>
    <t>Peter Arensdorf</t>
  </si>
  <si>
    <t>Erol Cichowski</t>
  </si>
  <si>
    <t>The Indian Record Manufacturing Company</t>
  </si>
  <si>
    <t>SAAR Srl</t>
  </si>
  <si>
    <t>Relapse Records</t>
  </si>
  <si>
    <t>Starmedia AV Lab LLP (Nikitin)</t>
  </si>
  <si>
    <t>Priddis Music, Inc. (Licensed Content)</t>
  </si>
  <si>
    <t>The Copyright Group Ltd. / IODA Content</t>
  </si>
  <si>
    <t>Blue Music</t>
  </si>
  <si>
    <t>Silva Screen Records (IODA)</t>
  </si>
  <si>
    <t>H&amp;H Music Ltd.</t>
  </si>
  <si>
    <t>Smith &amp; Co. Sound B.V.</t>
  </si>
  <si>
    <t>Alan Howarth Inc</t>
  </si>
  <si>
    <t>Cda Distribution</t>
  </si>
  <si>
    <t>MyOwnDistribution.com, LLC</t>
  </si>
  <si>
    <t>Digital Tracks Units</t>
  </si>
  <si>
    <t>Digital Album Units</t>
  </si>
  <si>
    <t>% Change</t>
  </si>
  <si>
    <t>Soundscan Report (US only)</t>
  </si>
  <si>
    <t>Orchard Unit Sales</t>
  </si>
  <si>
    <t>Album Units</t>
  </si>
  <si>
    <t>Track Units</t>
  </si>
  <si>
    <t>*Includes IODA; excludes RED</t>
  </si>
  <si>
    <t>Spotify Estonia</t>
  </si>
  <si>
    <t>Spotify Hong Kong</t>
  </si>
  <si>
    <t>Spotify Iceland</t>
  </si>
  <si>
    <t>Spotify Lithuania</t>
  </si>
  <si>
    <t>Spotify Malaysia</t>
  </si>
  <si>
    <t>Spotify Mexico</t>
  </si>
  <si>
    <t>Spotify Singapore</t>
  </si>
  <si>
    <t>Spotify Latvia</t>
  </si>
  <si>
    <t>Spotify Australia</t>
  </si>
  <si>
    <t>Spotify New Zealand</t>
  </si>
  <si>
    <t>Asia</t>
  </si>
  <si>
    <t>Saregama India Limited</t>
  </si>
  <si>
    <t>Almighty Records Ltd</t>
  </si>
  <si>
    <t>Sammy_Cadenza Records</t>
  </si>
  <si>
    <t>Autarc Media GmbH</t>
  </si>
  <si>
    <t>Supreme Media Ltd.</t>
  </si>
  <si>
    <t>Magnasound USA Inc</t>
  </si>
  <si>
    <t>Susu Music</t>
  </si>
  <si>
    <t>CASCADE MEDIEN PRODUCTIONS UND-VERTRIEBSGMBH</t>
  </si>
  <si>
    <t>Starmedia AV Lab LLP (First Music Publishing)</t>
  </si>
  <si>
    <t>Mojito / Pimienta Digital Content Management Corp.</t>
  </si>
  <si>
    <t>Amazon Switzerland</t>
  </si>
  <si>
    <t>In-Tune Music Group</t>
  </si>
  <si>
    <t>Renk Africa</t>
  </si>
  <si>
    <t>RED</t>
  </si>
  <si>
    <t>Q3 2013</t>
  </si>
  <si>
    <t>Jul Actual</t>
  </si>
  <si>
    <t>B &amp; G Records</t>
  </si>
  <si>
    <t>Cabeza de raton Music Entertainment S.A.S.</t>
  </si>
  <si>
    <t>Elm Street Media Productions LTD</t>
  </si>
  <si>
    <t>União Lisboa</t>
  </si>
  <si>
    <t>Jul + Aug Actual + Sep Projection</t>
  </si>
  <si>
    <t>Q3 13
Plan</t>
  </si>
  <si>
    <t>Q3 13 Variance to Plan ($)</t>
  </si>
  <si>
    <t>Jul + Aug Actual</t>
  </si>
  <si>
    <t>Q3 13 Variance to Plan (%)</t>
  </si>
  <si>
    <t>VENUS WORLDWIDE ENTERTAINMENTS PRIVATE LIMITED</t>
  </si>
  <si>
    <t>Olya Moldavskaya</t>
  </si>
  <si>
    <t>Executive Music Group</t>
  </si>
  <si>
    <t>Oleh Zaychenko</t>
  </si>
  <si>
    <t>Floating World Records</t>
  </si>
  <si>
    <t>Blue Melon Records</t>
  </si>
  <si>
    <t>Volume Music Group Limited</t>
  </si>
  <si>
    <t>Top 20 Films</t>
  </si>
  <si>
    <t>Top 20 Music Videos</t>
  </si>
  <si>
    <t>Top 20 TV Shows</t>
  </si>
  <si>
    <t>TV Show</t>
  </si>
  <si>
    <t>Movie</t>
  </si>
  <si>
    <t>Music Video</t>
  </si>
  <si>
    <t>Film</t>
  </si>
  <si>
    <t>Episode</t>
  </si>
  <si>
    <t>G Records</t>
  </si>
  <si>
    <t>One Trybal</t>
  </si>
  <si>
    <t>Monthly Video Plan</t>
  </si>
  <si>
    <t>% Music Video</t>
  </si>
  <si>
    <t>% TV Show</t>
  </si>
  <si>
    <t>Video Total</t>
  </si>
  <si>
    <t>Notes:</t>
  </si>
  <si>
    <t>for "Other stores"…the month projection is always 4 weeks!</t>
  </si>
  <si>
    <t>121st Street Records</t>
  </si>
  <si>
    <t>Drive35 Productions, LLC</t>
  </si>
  <si>
    <t>TAUCHER Kft</t>
  </si>
  <si>
    <t>Distrophonix</t>
  </si>
  <si>
    <t xml:space="preserve">October </t>
  </si>
  <si>
    <t>Krik Music (Novoson)</t>
  </si>
  <si>
    <t>The Tyrone Berkeley Company Ltd.</t>
  </si>
  <si>
    <t>Open Natives</t>
  </si>
  <si>
    <t>Paradise Music Ltd</t>
  </si>
  <si>
    <t>KZoo Music, S.L. (Satelite K)</t>
  </si>
  <si>
    <t>D.O.C Digital Old Collection (f/k/a Duck Record)</t>
  </si>
  <si>
    <t>PT Music</t>
  </si>
  <si>
    <t>NextMusic NextMusic</t>
  </si>
  <si>
    <t>Pocket Watch Productions Ltd.</t>
  </si>
  <si>
    <t>KZoo Music S.L. (Like Music)</t>
  </si>
  <si>
    <t>KZoo Music S.L. (Tres14)</t>
  </si>
  <si>
    <t>Marketing Musical, S.A. de C.V.</t>
  </si>
  <si>
    <t>Pickwick Group Ltd</t>
  </si>
  <si>
    <t># Units</t>
  </si>
  <si>
    <t># DT</t>
  </si>
  <si>
    <t># DA</t>
  </si>
  <si>
    <t>Espacial</t>
  </si>
  <si>
    <t>% Movie</t>
  </si>
  <si>
    <t>Average Revenue of Top 100:</t>
  </si>
  <si>
    <t>Stray J Productions</t>
  </si>
  <si>
    <t>Sintez Productions</t>
  </si>
  <si>
    <t>Musical Creations</t>
  </si>
  <si>
    <t>Kunduru Music Inc.</t>
  </si>
  <si>
    <t>Rotana Audio Video</t>
  </si>
  <si>
    <t>Unisound by J.W.</t>
  </si>
  <si>
    <t xml:space="preserve">November </t>
  </si>
  <si>
    <t>Compilations (Inter-label)</t>
  </si>
  <si>
    <t>Meta Network (Vocación Musical)</t>
  </si>
  <si>
    <t>Montuno Records, Inc.</t>
  </si>
  <si>
    <t>Play di Giampaolo Pasquile</t>
  </si>
  <si>
    <t>**IFERROR((((D3+E3+F3+G3+H3))/COUNTIF(D3, "&gt;0")/0.22),0)</t>
  </si>
  <si>
    <t>Equation</t>
  </si>
  <si>
    <t>Wk1</t>
  </si>
  <si>
    <t>Wk 2</t>
  </si>
  <si>
    <t>Wk 3</t>
  </si>
  <si>
    <t>Wk 4</t>
  </si>
  <si>
    <t>* every week, add in the COUNTIF part of the equation, week 2,3,etc., and add the percentage to the total, to get the projection. Add each week at a time</t>
  </si>
  <si>
    <t>Audio Total</t>
  </si>
  <si>
    <t>Shamrock-n-Roll, Inc. (Distributed Content)</t>
  </si>
  <si>
    <t>Matthew Dell</t>
  </si>
  <si>
    <t>Maestro Entertainment, Corp</t>
  </si>
  <si>
    <t>Life Music &amp; Company Inc</t>
  </si>
  <si>
    <t>MoviePlay do Brasil Industria E Comercio LTDA</t>
  </si>
  <si>
    <t>Liana Brauer</t>
  </si>
  <si>
    <t>December</t>
  </si>
  <si>
    <t>TVT Records</t>
  </si>
  <si>
    <t>Various Artists</t>
  </si>
  <si>
    <t>Happy Together</t>
  </si>
  <si>
    <t>Som Livre</t>
  </si>
  <si>
    <t>The Assignment, Inc.</t>
  </si>
  <si>
    <t>The Assignment Inc</t>
  </si>
  <si>
    <t>Moto 5: The Movie</t>
  </si>
  <si>
    <t>(RED) RED Distribution (Long Form Video)</t>
  </si>
  <si>
    <t>Pierce The Veil</t>
  </si>
  <si>
    <t>This Is a Wasteland</t>
  </si>
  <si>
    <t>Rocky Mountain Sherpas Inc</t>
  </si>
  <si>
    <t>Sherpas Cinema</t>
  </si>
  <si>
    <t>Into the Mind</t>
  </si>
  <si>
    <t>Field Productions</t>
  </si>
  <si>
    <t>Supervention</t>
  </si>
  <si>
    <t>Sony Music (Long Form Music Films)</t>
  </si>
  <si>
    <t>Beyoncé</t>
  </si>
  <si>
    <t>Life Is but a Dream</t>
  </si>
  <si>
    <t>Slednecks INC</t>
  </si>
  <si>
    <t>Slednecks Inc</t>
  </si>
  <si>
    <t>Slednecks 16</t>
  </si>
  <si>
    <t>Sweetgrass Productions</t>
  </si>
  <si>
    <t>Sweetgrass</t>
  </si>
  <si>
    <t>Valhalla</t>
  </si>
  <si>
    <t>SecondBase Films</t>
  </si>
  <si>
    <t>Arrival</t>
  </si>
  <si>
    <t>Michael Jackson: Spike Lee Bad 25</t>
  </si>
  <si>
    <t>London Festival Orchestra</t>
  </si>
  <si>
    <t>Mozart For Brain Power</t>
  </si>
  <si>
    <t>Open Records (Alhambra)</t>
  </si>
  <si>
    <t>Newport Music</t>
  </si>
  <si>
    <t>Greber Prod</t>
  </si>
  <si>
    <t>Menart</t>
  </si>
  <si>
    <t>2013 iTunes Revenue</t>
  </si>
  <si>
    <t>Ne'astra Music Inc.</t>
  </si>
  <si>
    <t>Mandatory Digital</t>
  </si>
  <si>
    <t>Valeri Travagliante</t>
  </si>
  <si>
    <t>ORCH + IODA</t>
  </si>
  <si>
    <t>Spotify US*</t>
  </si>
  <si>
    <t>Radikal Records</t>
  </si>
  <si>
    <t>Gummibär</t>
  </si>
  <si>
    <t>I Am A Gummy Bear (The Gummy Bear Song)</t>
  </si>
  <si>
    <t>Григорий Лепс и Ани Лорак</t>
  </si>
  <si>
    <t>Зеркала (Video)</t>
  </si>
  <si>
    <t>Thompson Music P/L</t>
  </si>
  <si>
    <t>Deep Purple</t>
  </si>
  <si>
    <t>Smoke On the Water</t>
  </si>
  <si>
    <t>We Are The World Foundation</t>
  </si>
  <si>
    <t>Artists for Haiti</t>
  </si>
  <si>
    <t>We Are the World 25 for Haiti</t>
  </si>
  <si>
    <t>Average Joes Entertainment Group, LLC</t>
  </si>
  <si>
    <t>Colt Ford</t>
  </si>
  <si>
    <t>Drivin' Around Song</t>
  </si>
  <si>
    <t>Sesame Workshop (US &amp; Canada)</t>
  </si>
  <si>
    <t>Sesame Street</t>
  </si>
  <si>
    <t>Elmo's Ducks</t>
  </si>
  <si>
    <t>Elmo's Song</t>
  </si>
  <si>
    <t>Non-US</t>
  </si>
  <si>
    <t>AS + S</t>
  </si>
  <si>
    <t>as + s</t>
  </si>
  <si>
    <t>Amazon Ex-US</t>
  </si>
  <si>
    <t>Spotify Ex-US*</t>
  </si>
  <si>
    <t>Spotify ex-USA</t>
  </si>
  <si>
    <t>Fonotrón</t>
  </si>
  <si>
    <t>SME India Pvt. Ltd</t>
  </si>
  <si>
    <t>21 Vision Ltd.</t>
  </si>
  <si>
    <t>Malory Ltd.</t>
  </si>
  <si>
    <t>Metacom Music, Inc (Exegan)</t>
  </si>
  <si>
    <t>Donville Davis</t>
  </si>
  <si>
    <t>RGS Music</t>
  </si>
  <si>
    <t>Mahjong Music LTD</t>
  </si>
  <si>
    <t xml:space="preserve">January </t>
  </si>
  <si>
    <t>Nuclear Blast Entertainment</t>
  </si>
  <si>
    <t>Within Temptation</t>
  </si>
  <si>
    <t>Fivestar Productions LLC</t>
  </si>
  <si>
    <t>Fivestar Productions</t>
  </si>
  <si>
    <t>The Book of Lone Peak</t>
  </si>
  <si>
    <t>Marissa Putney</t>
  </si>
  <si>
    <t>Cookie Pryce</t>
  </si>
  <si>
    <t>Henry Compton</t>
  </si>
  <si>
    <t>Sarah Sandusky</t>
  </si>
  <si>
    <t>Dim Mak</t>
  </si>
  <si>
    <t>Lil Jon &amp; The East Side Boyz</t>
  </si>
  <si>
    <t>Get Low</t>
  </si>
  <si>
    <t>Tobias Wilner</t>
  </si>
  <si>
    <t>Blue Foundation</t>
  </si>
  <si>
    <t>Eyes on Fire</t>
  </si>
  <si>
    <t>Shoot to Kill Music, Inc.</t>
  </si>
  <si>
    <t>The Glitch Mob</t>
  </si>
  <si>
    <t>Fortune Days</t>
  </si>
  <si>
    <t>Sleeping At Last</t>
  </si>
  <si>
    <t>Turning Page</t>
  </si>
  <si>
    <t>Norman Greenbaum</t>
  </si>
  <si>
    <t>Spirit In The Sky</t>
  </si>
  <si>
    <t>Flo &amp; Eddie, Inc</t>
  </si>
  <si>
    <t>The Turtles</t>
  </si>
  <si>
    <t>Various Artists - Garth Brooks Tribute</t>
  </si>
  <si>
    <t>Friends In Low Places (Cover Version)</t>
  </si>
  <si>
    <t>Boots Enterprises, Inc.</t>
  </si>
  <si>
    <t>Nancy Sinatra</t>
  </si>
  <si>
    <t>Bang Bang (My Baby Shot Me Down)</t>
  </si>
  <si>
    <t>Zinkia Entertainment SA</t>
  </si>
  <si>
    <t>Pocoyo (Season 1, Bundled Episodes)</t>
  </si>
  <si>
    <t>Dance with Pocoyo</t>
  </si>
  <si>
    <t>Pocoyo (Season 2, Bundled Episodes)</t>
  </si>
  <si>
    <t>Mysterious Mysteries with Pocoyo</t>
  </si>
  <si>
    <t>Laughing with Pocoyo</t>
  </si>
  <si>
    <t>Discover with Pocoyo</t>
  </si>
  <si>
    <t>Make Friends with Pocoyo</t>
  </si>
  <si>
    <t>Special Adventures with Pocoyo</t>
  </si>
  <si>
    <t>Invent with Pocoyo</t>
  </si>
  <si>
    <t>January</t>
  </si>
  <si>
    <t>Hydra (Bonus Version)</t>
  </si>
  <si>
    <t>Love Death Immortality</t>
  </si>
  <si>
    <t>I Love Pocoyo</t>
  </si>
  <si>
    <t>non-US</t>
  </si>
  <si>
    <t>Deezer**</t>
  </si>
  <si>
    <t>**Deezer average price point is $0.0082</t>
  </si>
  <si>
    <t>Welk Music Group</t>
  </si>
  <si>
    <t>Intermezzo SRL</t>
  </si>
  <si>
    <t>Orfeon</t>
  </si>
  <si>
    <t>Clay Pasternack</t>
  </si>
  <si>
    <t>Backstage Productions International</t>
  </si>
  <si>
    <t>Kristine Weitz</t>
  </si>
  <si>
    <t>Synergy Entertainment, Inc.</t>
  </si>
  <si>
    <t>El Toro Records</t>
  </si>
  <si>
    <t>(RED) TEEC Recordings</t>
  </si>
  <si>
    <t>LionFish Music Group, Inc.</t>
  </si>
  <si>
    <t>Tresona Multimedia</t>
  </si>
  <si>
    <t>Platinum Music Ireland</t>
  </si>
  <si>
    <t>Upbeat (Distribution)</t>
  </si>
  <si>
    <t>Baradello</t>
  </si>
  <si>
    <t>Global Edge Mnemonics</t>
  </si>
  <si>
    <t>Kretz Media Holdings, LLC</t>
  </si>
  <si>
    <t>Kretz Media Holdings</t>
  </si>
  <si>
    <t>Why We Ride</t>
  </si>
  <si>
    <t>Manifesto Sport Management Inc.</t>
  </si>
  <si>
    <t>Manifesto Sport Management</t>
  </si>
  <si>
    <t>Making Your Mark: The Snowboard Life of Mark Mcmorris</t>
  </si>
  <si>
    <t>Ace Records Limited</t>
  </si>
  <si>
    <t>Proper Records Ltd.</t>
  </si>
  <si>
    <t>Dominion Entertainment, Inc.</t>
  </si>
  <si>
    <t>Vee Jay Records</t>
  </si>
  <si>
    <t>RADIO SUISSE ROMANDE</t>
  </si>
  <si>
    <t>Sony ATV Europe Limited</t>
  </si>
  <si>
    <t>Tipitina's</t>
  </si>
  <si>
    <t>Soul Concerts.com Limited</t>
  </si>
  <si>
    <t>(RED) Hickory Records (2009 Deal)</t>
  </si>
  <si>
    <t>Memory Lane Media Limited</t>
  </si>
  <si>
    <t>RuPaul</t>
  </si>
  <si>
    <t>Sissy That Walk</t>
  </si>
  <si>
    <t>Triple J's Hottest 100, Vol. 21</t>
  </si>
  <si>
    <t>Born Naked</t>
  </si>
  <si>
    <t>Pitbull</t>
  </si>
  <si>
    <t>Bojangles (MTV Version)</t>
  </si>
  <si>
    <t>Cobra Entertainment LLC.</t>
  </si>
  <si>
    <t>February</t>
  </si>
  <si>
    <t>Music with Pocoyo</t>
  </si>
  <si>
    <t>FourPoints Multimedia Corporation</t>
  </si>
  <si>
    <t>The Aviators (Season 4)</t>
  </si>
  <si>
    <t>iTunes US* (YTD ending Jan 31)</t>
  </si>
  <si>
    <t>Familia Entertainment</t>
  </si>
  <si>
    <t>Open Records (Latino)</t>
  </si>
  <si>
    <t>March 2014 - Orchard &amp; IODA</t>
  </si>
  <si>
    <t>Keys N Krates</t>
  </si>
  <si>
    <t>Dum Dee Dum</t>
  </si>
  <si>
    <t>WAX (VAS Entertainment)</t>
  </si>
  <si>
    <t>777-300ER</t>
  </si>
  <si>
    <t>Margate Entertainment (NA)</t>
  </si>
  <si>
    <t>WDMG LLC</t>
  </si>
  <si>
    <t>(RED) Fania</t>
  </si>
  <si>
    <t>Corazong Music Management BV</t>
  </si>
  <si>
    <t>(RED) R&amp;J Records</t>
  </si>
  <si>
    <t>Olli House Production (MMradiohall)</t>
  </si>
  <si>
    <t>Silver Media</t>
  </si>
  <si>
    <t>Corazong Records</t>
  </si>
  <si>
    <t>Smilax Publishing Srl</t>
  </si>
  <si>
    <t>Total # of Releases</t>
  </si>
  <si>
    <t>March - The Orchard</t>
  </si>
  <si>
    <t>March - IODA (excluding RED labels)</t>
  </si>
  <si>
    <t>March - IRIS</t>
  </si>
  <si>
    <t>Ghostly International</t>
  </si>
  <si>
    <t>Tycho</t>
  </si>
  <si>
    <t>Awake</t>
  </si>
  <si>
    <t>Outside Music</t>
  </si>
  <si>
    <t>Half Moon Run</t>
  </si>
  <si>
    <t>Dark Eyes</t>
  </si>
  <si>
    <t>Moonshine Bandits</t>
  </si>
  <si>
    <t>Throwdown</t>
  </si>
  <si>
    <t>Suicide Silence</t>
  </si>
  <si>
    <t>Ending Is the Beginning: The Mitch Lucker Memorial Show</t>
  </si>
  <si>
    <t>Red Tide Pictures</t>
  </si>
  <si>
    <t>As the Gears Turn</t>
  </si>
  <si>
    <t>Everyday Objects with Pocoyó</t>
  </si>
  <si>
    <t>The Aviators (Season 1)</t>
  </si>
  <si>
    <t>Life of a Beoing 737 Pilot &amp; All About Airlines</t>
  </si>
  <si>
    <t>Play with Pocoyo</t>
  </si>
  <si>
    <t>Month Budget</t>
  </si>
  <si>
    <t>Variance to Budget ($)</t>
  </si>
  <si>
    <t>Variance to Budget (%)</t>
  </si>
  <si>
    <t>Month Mgmt Estimate</t>
  </si>
  <si>
    <t>Variance to Mgmt Est ($)</t>
  </si>
  <si>
    <t>Variance to Mgmt Est (%)</t>
  </si>
  <si>
    <t>*Spotify average ad-supported price point is $0.001493, stream is $0.009124</t>
  </si>
  <si>
    <t>Documentary Recordings</t>
  </si>
  <si>
    <t>The U.S. Army Airborne</t>
  </si>
  <si>
    <t>Hard Work</t>
  </si>
  <si>
    <t>Luan Santana</t>
  </si>
  <si>
    <t>O Nosso Tempo é Hoje (Ao Vivo)</t>
  </si>
  <si>
    <t>Nightwish</t>
  </si>
  <si>
    <t>Rock Aid Armenia Allstars</t>
  </si>
  <si>
    <t>Smoke On the Water (feat. David Gilmour, Brian May, Ian Gillan, Tony Iommi, Bruce Dickinson, Paul Rodgers, Ritchie Blackmore, Chris Squire, Alex Lifeson, Keith Emerson, Roger Taylor, ...)</t>
  </si>
  <si>
    <t>P-Square</t>
  </si>
  <si>
    <t>Personally</t>
  </si>
  <si>
    <t>Aircraft Boneyard</t>
  </si>
  <si>
    <t>Share with Pocoyo</t>
  </si>
  <si>
    <t>Anthill Films</t>
  </si>
  <si>
    <t>Notbad</t>
  </si>
  <si>
    <t>Life Cycles</t>
  </si>
  <si>
    <t>SOUNDIES</t>
  </si>
  <si>
    <t>City Hall Records</t>
  </si>
  <si>
    <t>Horus Music</t>
  </si>
  <si>
    <t>Content Connect Africa</t>
  </si>
  <si>
    <t>Dubida Ediciones</t>
  </si>
  <si>
    <t>Entertain Me US, LLC</t>
  </si>
  <si>
    <t>Market Share %*</t>
  </si>
  <si>
    <t>Spotify</t>
  </si>
  <si>
    <t>Deezer</t>
  </si>
  <si>
    <t>Rhapsody</t>
  </si>
  <si>
    <t>Rdio</t>
  </si>
  <si>
    <t>Google Music</t>
  </si>
  <si>
    <t>Xbox</t>
  </si>
  <si>
    <t>MUVE</t>
  </si>
  <si>
    <t>Aspiro</t>
  </si>
  <si>
    <t>USA</t>
  </si>
  <si>
    <t>Other Countries</t>
  </si>
  <si>
    <t>All Countries</t>
  </si>
  <si>
    <t>Country</t>
  </si>
  <si>
    <t>Market Share %</t>
  </si>
  <si>
    <t>All Countries.</t>
  </si>
  <si>
    <t>Ex-RED</t>
  </si>
  <si>
    <t>Color Guide:</t>
  </si>
  <si>
    <t>November 2013 statement</t>
  </si>
  <si>
    <t>December 2013 statement</t>
  </si>
  <si>
    <t>January 2014 statement</t>
  </si>
  <si>
    <t>All Selected Countries</t>
  </si>
  <si>
    <t>March</t>
  </si>
  <si>
    <t>Amazon Digital Services Inc.</t>
  </si>
  <si>
    <t>YouTube</t>
  </si>
  <si>
    <t>Cricket Communications, Inc.</t>
  </si>
  <si>
    <t>deezer</t>
  </si>
  <si>
    <t>Microsoft Zune Music</t>
  </si>
  <si>
    <t>eMusic</t>
  </si>
  <si>
    <t>*excludes RED</t>
  </si>
  <si>
    <t>Sum of Aug-12</t>
  </si>
  <si>
    <t>Sum of Sep-12</t>
  </si>
  <si>
    <t>Sum of Oct-12</t>
  </si>
  <si>
    <t>Sum of Nov-12</t>
  </si>
  <si>
    <t>Sum of Dec-12</t>
  </si>
  <si>
    <t>(blank)</t>
  </si>
  <si>
    <t>iTunes Music Store</t>
  </si>
  <si>
    <t>Amazon MP3</t>
  </si>
  <si>
    <t>Muve Music / Cricket</t>
  </si>
  <si>
    <t>XBox Music (Zune)</t>
  </si>
  <si>
    <t>Slacker</t>
  </si>
  <si>
    <t>7digital</t>
  </si>
  <si>
    <t>Nokia</t>
  </si>
  <si>
    <t>24/7</t>
  </si>
  <si>
    <t>MediaNet</t>
  </si>
  <si>
    <t>Amazon DOD</t>
  </si>
  <si>
    <t>Verizon</t>
  </si>
  <si>
    <t>Top Store Revenue by Activity Period*</t>
  </si>
  <si>
    <t>Aug % Change</t>
  </si>
  <si>
    <t>Sep % Change</t>
  </si>
  <si>
    <t>Oct % Change</t>
  </si>
  <si>
    <t>Nov % Change</t>
  </si>
  <si>
    <t>Dec % Change</t>
  </si>
  <si>
    <t>Jan % Change</t>
  </si>
  <si>
    <t>Amazon</t>
  </si>
  <si>
    <t>River Flows In You</t>
  </si>
  <si>
    <t>Yiruma</t>
  </si>
  <si>
    <t>Frenchkiss Records</t>
  </si>
  <si>
    <t>Talking Taco Music(Orchard Owned)</t>
  </si>
  <si>
    <t>Local Natives</t>
  </si>
  <si>
    <t>Massage Tribe</t>
  </si>
  <si>
    <t>99 Must-Have Mozart Masterpieces</t>
  </si>
  <si>
    <t>Hummingbird (Deluxe Version)</t>
  </si>
  <si>
    <t>50 Tracks: Music for Sleep (Massage Music, Spa, New Age &amp; Relaxation)</t>
  </si>
  <si>
    <t>Starmedia AV LAB LLP (Soyuz Music)</t>
  </si>
  <si>
    <t>Браво</t>
  </si>
  <si>
    <t>Alex Ferrari</t>
  </si>
  <si>
    <t>Bara Bara Bere Bere</t>
  </si>
  <si>
    <t>Romanticide (Live @ Wacken 2013)</t>
  </si>
  <si>
    <t>Sports with Pocoyo</t>
  </si>
  <si>
    <t>The Airbus A380</t>
  </si>
  <si>
    <t>Assigned To</t>
  </si>
  <si>
    <t>Sum of 2013</t>
  </si>
  <si>
    <t>Amanda Suriani</t>
  </si>
  <si>
    <t>Jason Drake</t>
  </si>
  <si>
    <t>RM Multimedia</t>
  </si>
  <si>
    <t>Upbeat Recordings</t>
  </si>
  <si>
    <t>2Thumbs Entertainment, Inc.</t>
  </si>
  <si>
    <t>Jeff Moller</t>
  </si>
  <si>
    <t>#N/A</t>
  </si>
  <si>
    <t>% Revenue added from New Releases (Added in previous 2 months)</t>
  </si>
  <si>
    <t>The Orchard</t>
  </si>
  <si>
    <t>US$ in thousands, except as noted</t>
  </si>
  <si>
    <t>Jan</t>
  </si>
  <si>
    <t>Feb</t>
  </si>
  <si>
    <t>Mar</t>
  </si>
  <si>
    <t>Apr</t>
  </si>
  <si>
    <t>Music</t>
  </si>
  <si>
    <t>Monthly total</t>
  </si>
  <si>
    <t>Growth, y-o-y (%)</t>
  </si>
  <si>
    <t>Downloads</t>
  </si>
  <si>
    <t>Streaming</t>
  </si>
  <si>
    <t>Retail Video</t>
  </si>
  <si>
    <t>Video Services</t>
  </si>
  <si>
    <t>Music, budget</t>
  </si>
  <si>
    <t>Video, budget</t>
  </si>
  <si>
    <t>Monthly budget</t>
  </si>
  <si>
    <t xml:space="preserve">iTunes, new releases </t>
  </si>
  <si>
    <t>iTunes, catalog</t>
  </si>
  <si>
    <t>iTunes, total</t>
  </si>
  <si>
    <t>% US</t>
  </si>
  <si>
    <t>% Europe</t>
  </si>
  <si>
    <t>% ROW</t>
  </si>
  <si>
    <t>Others</t>
  </si>
  <si>
    <t>Downloads, total</t>
  </si>
  <si>
    <t>Streaming, total</t>
  </si>
  <si>
    <t>Ancillary total</t>
  </si>
  <si>
    <t xml:space="preserve">iTunes Music Video </t>
  </si>
  <si>
    <t>iTunes Episodic (TV Show)</t>
  </si>
  <si>
    <t>iTunes Feature Film</t>
  </si>
  <si>
    <t>iTunes Video</t>
  </si>
  <si>
    <t>Retail video</t>
  </si>
  <si>
    <t xml:space="preserve">Youtube audio </t>
  </si>
  <si>
    <t>iTunes audio</t>
  </si>
  <si>
    <t>Growth, y-o-y (+/- $)</t>
  </si>
  <si>
    <t>Key Store Growth, y-o-y (% and +/- $)</t>
  </si>
  <si>
    <t>iTunes audio (%)</t>
  </si>
  <si>
    <t>Spotify (%)</t>
  </si>
  <si>
    <t>iTunes audio (+/-)</t>
  </si>
  <si>
    <t>Spotify (+/-)</t>
  </si>
  <si>
    <t>Four-week avg</t>
  </si>
  <si>
    <t>Youtube video</t>
  </si>
  <si>
    <t>April - iTunes (Orchard, IODA &amp; IRIS)</t>
  </si>
  <si>
    <t>April - Other Stores (Orchard, IODA &amp; IRIS)</t>
  </si>
  <si>
    <t>April 2013 - iTunes (Orchard, IODA &amp; IRIS)</t>
  </si>
  <si>
    <t>DSB Music Ltd.</t>
  </si>
  <si>
    <t>Jakwob</t>
  </si>
  <si>
    <t>Somebody New</t>
  </si>
  <si>
    <t>Looking into You - A Tribute to Jackson Browne</t>
  </si>
  <si>
    <t>Нюша</t>
  </si>
  <si>
    <t>Наедине</t>
  </si>
  <si>
    <t>Premium Latin Music, Inc.</t>
  </si>
  <si>
    <t>Aventura</t>
  </si>
  <si>
    <t>Volcom INC</t>
  </si>
  <si>
    <t>Veeco Productions</t>
  </si>
  <si>
    <t>True to This</t>
  </si>
  <si>
    <t>Concerts</t>
  </si>
  <si>
    <t>Jorge &amp; Mateus: At The Royal Albert Hall - Live In London</t>
  </si>
  <si>
    <t>Healthy Habits with Pocoyo</t>
  </si>
  <si>
    <t>April</t>
  </si>
  <si>
    <t>List Type</t>
  </si>
  <si>
    <t>Owner</t>
  </si>
  <si>
    <t>2014 # of Releases</t>
  </si>
  <si>
    <t>2013 iTunes Revenue - All Releases</t>
  </si>
  <si>
    <t>2013 iTunes Revenue - 2014 Releases</t>
  </si>
  <si>
    <t>emd</t>
  </si>
  <si>
    <t>IODA-REVER</t>
  </si>
  <si>
    <t>DMGI</t>
  </si>
  <si>
    <t>IODA-DEF</t>
  </si>
  <si>
    <t>odd</t>
  </si>
  <si>
    <t>Jacob New</t>
  </si>
  <si>
    <t>kdigital</t>
  </si>
  <si>
    <t>SC</t>
  </si>
  <si>
    <t>Olivier</t>
  </si>
  <si>
    <t>Scott</t>
  </si>
  <si>
    <t>epsa</t>
  </si>
  <si>
    <t>SLAIT-NEWD</t>
  </si>
  <si>
    <t>Digger</t>
  </si>
  <si>
    <t>IRIS-DEF</t>
  </si>
  <si>
    <t>Mandy Marcus</t>
  </si>
  <si>
    <t>janet</t>
  </si>
  <si>
    <t>don</t>
  </si>
  <si>
    <t>Elm Street Media Limited (Pegasus)</t>
  </si>
  <si>
    <t>One Media (Lumi PD)</t>
  </si>
  <si>
    <t>Forte</t>
  </si>
  <si>
    <t>NextMusic</t>
  </si>
  <si>
    <t>ElGoucho</t>
  </si>
  <si>
    <t>Rebecca Myers</t>
  </si>
  <si>
    <t>One Media (Lumi)</t>
  </si>
  <si>
    <t>simon</t>
  </si>
  <si>
    <t>Lia</t>
  </si>
  <si>
    <t>Digital 1 Digital. INC</t>
  </si>
  <si>
    <t>TUTM (88 Development)</t>
  </si>
  <si>
    <t>JeffS</t>
  </si>
  <si>
    <t>Audio Media Archives,LLC</t>
  </si>
  <si>
    <t>Andrew B. Stroud Estate</t>
  </si>
  <si>
    <t>ecco</t>
  </si>
  <si>
    <t>Federico</t>
  </si>
  <si>
    <t>NewSound</t>
  </si>
  <si>
    <t>carmel</t>
  </si>
  <si>
    <t>amped</t>
  </si>
  <si>
    <t>RUSSIA</t>
  </si>
  <si>
    <t>Kai</t>
  </si>
  <si>
    <t>Jay</t>
  </si>
  <si>
    <t>IRIS-REV</t>
  </si>
  <si>
    <t>Altissimo!</t>
  </si>
  <si>
    <t>Music Generation Corp.</t>
  </si>
  <si>
    <t>Metin ExMu</t>
  </si>
  <si>
    <t>Digital Natives (Latino)</t>
  </si>
  <si>
    <t>DRA</t>
  </si>
  <si>
    <t>Marathon Media International LTD(Music Of Life Catalog)</t>
  </si>
  <si>
    <t>JK New</t>
  </si>
  <si>
    <t>Bokova Tatiana</t>
  </si>
  <si>
    <t>Rad</t>
  </si>
  <si>
    <t>Susana</t>
  </si>
  <si>
    <t>Metin</t>
  </si>
  <si>
    <t>Music Group del Peru  SAC - Music MGP</t>
  </si>
  <si>
    <t>Pasion</t>
  </si>
  <si>
    <t>SC Entertainment SRL</t>
  </si>
  <si>
    <t>^Cricket average price point is $0.0095</t>
  </si>
  <si>
    <t>YTD Ending Mar 30</t>
  </si>
  <si>
    <t>Sammy_Executive Music Group</t>
  </si>
  <si>
    <t>A World of Good Music D3</t>
  </si>
  <si>
    <t>March - iTunes (Orchard, IODA &amp; IRIS)</t>
  </si>
  <si>
    <t>March 2013 - iTunes (Orchard, IODA &amp; IRIS)</t>
  </si>
  <si>
    <t>March - Other Stores (Orchard, IODA &amp; IRIS)</t>
  </si>
  <si>
    <t>^Cricket average price point is $0.0089</t>
  </si>
  <si>
    <t>iTUNES CHARTS - March 23-29 (ORCHARD &amp; IODA)</t>
  </si>
  <si>
    <t>The White Boys</t>
  </si>
  <si>
    <t>Frontiers Records</t>
  </si>
  <si>
    <t>Gravitas</t>
  </si>
  <si>
    <t>Lab Sounds Limited</t>
  </si>
  <si>
    <t>Laurel</t>
  </si>
  <si>
    <t>Fire Breather</t>
  </si>
  <si>
    <t>Jorge &amp; Mateus</t>
  </si>
  <si>
    <t>Live In London - At The Royal Albert Hall</t>
  </si>
  <si>
    <t>Jack Bruce</t>
  </si>
  <si>
    <t>Silver Rails</t>
  </si>
  <si>
    <t>Marcos Valle</t>
  </si>
  <si>
    <t>Estrelar</t>
  </si>
  <si>
    <t>Daptone Records</t>
  </si>
  <si>
    <t>Sharon Jones &amp; the Dap-Kings</t>
  </si>
  <si>
    <t>Give the People What They Want (Deluxe Version)</t>
  </si>
  <si>
    <t>100 Rock n Roll Hits &amp; Jukebox Classics - The Very Best 50s &amp; 60s Rock and Roll Collection from the Greatest Legends</t>
  </si>
  <si>
    <t>Psirico</t>
  </si>
  <si>
    <t>Lepo Lepo</t>
  </si>
  <si>
    <t>Wu-Tang Clan</t>
  </si>
  <si>
    <t>Keep Watch</t>
  </si>
  <si>
    <t>These Boots Are Made For Walkin'</t>
  </si>
  <si>
    <t>Augmenter Music Group</t>
  </si>
  <si>
    <t>Trevor Moran</t>
  </si>
  <si>
    <t>The Dark Side</t>
  </si>
  <si>
    <t>Gusttavo Lima</t>
  </si>
  <si>
    <t>Do Outro Lado da Moeda</t>
  </si>
  <si>
    <t>Kay Slay - The Drama King</t>
  </si>
  <si>
    <t>Lets Go</t>
  </si>
  <si>
    <t>Любовь не горит</t>
  </si>
  <si>
    <t>Sing After Me</t>
  </si>
  <si>
    <t>Someone</t>
  </si>
  <si>
    <t>Grandview Distribution</t>
  </si>
  <si>
    <t>Body Glove</t>
  </si>
  <si>
    <t>Live from the Moon</t>
  </si>
  <si>
    <t>Константин Меладзе</t>
  </si>
  <si>
    <t>Оттепель</t>
  </si>
  <si>
    <t>LoCash Cowboys</t>
  </si>
  <si>
    <t>C.O.U.N.T.R.Y.</t>
  </si>
  <si>
    <t>Paradise (What About Us?) Feat. Tarja</t>
  </si>
  <si>
    <t>Chuck Fryberger Films</t>
  </si>
  <si>
    <t>Exposure Vol. 1</t>
  </si>
  <si>
    <t>Big Screen Entertainment</t>
  </si>
  <si>
    <t>Big Screen Entertainment Group</t>
  </si>
  <si>
    <t>Crimson Winter</t>
  </si>
  <si>
    <t>509 INC</t>
  </si>
  <si>
    <t>509 Films</t>
  </si>
  <si>
    <t>509 Films: Volume 8</t>
  </si>
  <si>
    <t>Fun with Pocoyo</t>
  </si>
  <si>
    <t>Be Surprised with Pocoyo</t>
  </si>
  <si>
    <t>The Aviators (Season 2)</t>
  </si>
  <si>
    <t>Aircraft Ownership</t>
  </si>
  <si>
    <t>YTD Ending Mar 16</t>
  </si>
  <si>
    <t>]</t>
  </si>
  <si>
    <t xml:space="preserve">na </t>
  </si>
  <si>
    <t>nm</t>
  </si>
  <si>
    <t>2014B</t>
  </si>
  <si>
    <t xml:space="preserve">unchanged </t>
  </si>
  <si>
    <t>Budget</t>
  </si>
  <si>
    <t>Current BoD estimate ($)</t>
  </si>
  <si>
    <t>Download (% of Music, total)</t>
  </si>
  <si>
    <t>Streaming (% of Music, total)</t>
  </si>
  <si>
    <t>iTUNES CHARTS - April 6-12 (ORCHARD &amp; IODA)</t>
  </si>
  <si>
    <t>Volcom Entertainment, Inc.</t>
  </si>
  <si>
    <t>Antemasque</t>
  </si>
  <si>
    <t>People Forget</t>
  </si>
  <si>
    <t>Hangin' in the Lurch</t>
  </si>
  <si>
    <t>Rock The Cause, Inc.</t>
  </si>
  <si>
    <t>Zach Sobiech</t>
  </si>
  <si>
    <t>Clouds</t>
  </si>
  <si>
    <t>Game of Thrones Orchestra</t>
  </si>
  <si>
    <t>Game of Thrones Theme (King's Landing Version)</t>
  </si>
  <si>
    <t>4AM</t>
  </si>
  <si>
    <t>Els Amics de les Arts</t>
  </si>
  <si>
    <t>Només d'Entrar Hi Ha Sempre el Dinosaure</t>
  </si>
  <si>
    <t>Various</t>
  </si>
  <si>
    <t>Em Família - Nacional</t>
  </si>
  <si>
    <t>Maria Gadú</t>
  </si>
  <si>
    <t>Nós</t>
  </si>
  <si>
    <t>Triple J - Like a Version 9</t>
  </si>
  <si>
    <t>ATP Recordings Ltd.</t>
  </si>
  <si>
    <t>Jozef Van Wissem / SQÜRL</t>
  </si>
  <si>
    <t>Only Lovers Left Alive (Original Motion Picture Soundtrack)</t>
  </si>
  <si>
    <t>Григорий Лепс</t>
  </si>
  <si>
    <t>The Best (Deluxe Version)</t>
  </si>
  <si>
    <t>To the Hills</t>
  </si>
  <si>
    <t>Jyaleen</t>
  </si>
  <si>
    <t>Non merci</t>
  </si>
  <si>
    <t>Montgomery Gentry</t>
  </si>
  <si>
    <t>Titty's Beer</t>
  </si>
  <si>
    <t>Дима Билан</t>
  </si>
  <si>
    <t>Дотянись</t>
  </si>
  <si>
    <t>Lee Kernaghan</t>
  </si>
  <si>
    <t>Beautiful Noise</t>
  </si>
  <si>
    <t>Mi Corazoncito</t>
  </si>
  <si>
    <t>Go!Go!Go!</t>
  </si>
  <si>
    <t>This Is the Life</t>
  </si>
  <si>
    <t>Tudo o Que Você Quiser</t>
  </si>
  <si>
    <t>Ultra Records (Sony Music Entertainment)</t>
  </si>
  <si>
    <t>Hardwell</t>
  </si>
  <si>
    <t>I Am Hardwell</t>
  </si>
  <si>
    <t>Alliance Multi Media LLC</t>
  </si>
  <si>
    <t>Parks Documentary: The Story of Parks Bonifay</t>
  </si>
  <si>
    <t>Moto 4: The Movie</t>
  </si>
  <si>
    <t>Coastal Crew</t>
  </si>
  <si>
    <t>From the Inside Out</t>
  </si>
  <si>
    <t>Jason Aldean</t>
  </si>
  <si>
    <t>Night Train to Georgia</t>
  </si>
  <si>
    <t>Party with Pocoyo</t>
  </si>
  <si>
    <t>Imagine with Pocoyo</t>
  </si>
  <si>
    <t>Variations in Flight Training</t>
  </si>
  <si>
    <t>**Deezer average price point is $0.0085</t>
  </si>
  <si>
    <t>Hans Elder</t>
  </si>
  <si>
    <t>iTunes US* (YTD ending Feb 28)</t>
  </si>
  <si>
    <t>Video Services, variance v Budget (+/-)</t>
  </si>
  <si>
    <t>Retail Video, variance v Budget (+/-)</t>
  </si>
  <si>
    <t>Video Services, Growth, y-o-y (%)</t>
  </si>
  <si>
    <t>Retail Video, Growth, y-o-y (%)</t>
  </si>
  <si>
    <t>Retail Video, Gross revenue ($)</t>
  </si>
  <si>
    <t>Dec</t>
  </si>
  <si>
    <t>Nov</t>
  </si>
  <si>
    <t>Oct</t>
  </si>
  <si>
    <t>Sep</t>
  </si>
  <si>
    <t>Aug</t>
  </si>
  <si>
    <t>Jul</t>
  </si>
  <si>
    <t>Jun</t>
  </si>
  <si>
    <t>May</t>
  </si>
  <si>
    <t>Week ended</t>
  </si>
  <si>
    <t>Dec FYE</t>
  </si>
  <si>
    <t>Ancillary</t>
  </si>
  <si>
    <t>Streaming, variance v Budget (+/-)</t>
  </si>
  <si>
    <t>Downloads, variance v Budget (+/-)</t>
  </si>
  <si>
    <t>Streaming, Growth, y-o-y (%)</t>
  </si>
  <si>
    <t>Downloads, Growth, y-o-y (%)</t>
  </si>
  <si>
    <t>Non-Digital</t>
  </si>
  <si>
    <t>Downloads, Gross Revenue ($)</t>
  </si>
  <si>
    <t>Youtube (includes audio + video)</t>
  </si>
  <si>
    <t>iTunes video</t>
  </si>
  <si>
    <t>Video variance (+/-)</t>
  </si>
  <si>
    <t>Music variance (+/-)</t>
  </si>
  <si>
    <t>Variance v Current BoD est (+/-)</t>
  </si>
  <si>
    <t>% variance vs Budget</t>
  </si>
  <si>
    <t xml:space="preserve">Quarterly total variance </t>
  </si>
  <si>
    <t>Monthly total  variance v Budget</t>
  </si>
  <si>
    <t>Downside risk: incomplete store detail</t>
  </si>
  <si>
    <t>Total variance v Budget (+/-)</t>
  </si>
  <si>
    <t>Budget &amp; Variance</t>
  </si>
  <si>
    <t>YouTube Video (%)</t>
  </si>
  <si>
    <t>YouTube Audio (%)</t>
  </si>
  <si>
    <t>Cricket Paid Streams (%)</t>
  </si>
  <si>
    <t>Spotify Paid Streams (%)</t>
  </si>
  <si>
    <t>Key Store Volume, Growth, y-o-y (%)</t>
  </si>
  <si>
    <t>Youtube (+/-)</t>
  </si>
  <si>
    <t>Youtube (%)</t>
  </si>
  <si>
    <t>Ancillary (% of Music, total)</t>
  </si>
  <si>
    <t>Music mix (%)</t>
  </si>
  <si>
    <t>Gross revenue, total ($)</t>
  </si>
  <si>
    <t xml:space="preserve">Monthly Gross Revenue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</si>
</sst>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_(* #,##0_);_(* \(#,##0\);_(* &quot;-&quot;??_);_(@_)"/>
    <numFmt numFmtId="166" formatCode="0.0%"/>
    <numFmt numFmtId="167" formatCode="0.00000"/>
    <numFmt numFmtId="168" formatCode="#,##0.0_);\(#,##0.0\)"/>
    <numFmt numFmtId="169" formatCode="0.0_);\(0.0\)"/>
    <numFmt numFmtId="170" formatCode="\+#,##0.0_);\-#,##0.0_)"/>
    <numFmt numFmtId="171" formatCode="_(&quot;$&quot;* #,##0.0000_);_(&quot;$&quot;* \(#,##0.0000\);_(&quot;$&quot;* &quot;-&quot;??_);_(@_)"/>
  </numFmts>
  <fonts count="103" x14ac:knownFonts="1"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1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11"/>
      <color indexed="8"/>
      <name val="Calibri"/>
      <family val="2"/>
    </font>
    <font>
      <b/>
      <u/>
      <sz val="11"/>
      <color indexed="8"/>
      <name val="Calibri"/>
      <family val="2"/>
    </font>
    <font>
      <i/>
      <sz val="11"/>
      <color indexed="8"/>
      <name val="Calibri"/>
      <family val="2"/>
    </font>
    <font>
      <b/>
      <i/>
      <u/>
      <sz val="11"/>
      <color indexed="8"/>
      <name val="Calibri"/>
      <family val="2"/>
    </font>
    <font>
      <sz val="11"/>
      <color indexed="8"/>
      <name val="Calibri"/>
      <family val="2"/>
    </font>
    <font>
      <b/>
      <i/>
      <sz val="11"/>
      <color indexed="60"/>
      <name val="Calibri"/>
      <family val="2"/>
    </font>
    <font>
      <i/>
      <sz val="10"/>
      <name val="Arial"/>
      <family val="2"/>
    </font>
    <font>
      <sz val="10"/>
      <color indexed="8"/>
      <name val="Calibri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i/>
      <sz val="8.5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b/>
      <u/>
      <sz val="10"/>
      <name val="Arial"/>
      <family val="2"/>
    </font>
    <font>
      <sz val="10"/>
      <name val="Arial"/>
      <family val="2"/>
    </font>
    <font>
      <b/>
      <sz val="10"/>
      <color indexed="8"/>
      <name val="Calibri"/>
      <family val="2"/>
    </font>
    <font>
      <b/>
      <u/>
      <sz val="10"/>
      <color indexed="8"/>
      <name val="Calibri"/>
      <family val="2"/>
    </font>
    <font>
      <b/>
      <i/>
      <u/>
      <sz val="10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color theme="10"/>
      <name val="Arial"/>
      <family val="2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u/>
      <sz val="10"/>
      <color theme="11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8"/>
      <name val="Arial"/>
      <family val="2"/>
    </font>
    <font>
      <sz val="10"/>
      <color rgb="FF222222"/>
      <name val="Arial"/>
      <family val="2"/>
    </font>
    <font>
      <sz val="10"/>
      <name val="Calibri"/>
      <family val="2"/>
    </font>
    <font>
      <b/>
      <i/>
      <strike/>
      <sz val="10"/>
      <color indexed="60"/>
      <name val="Calibri"/>
      <family val="2"/>
    </font>
    <font>
      <strike/>
      <sz val="10"/>
      <color theme="1"/>
      <name val="Calibri"/>
      <family val="2"/>
      <scheme val="minor"/>
    </font>
    <font>
      <strike/>
      <sz val="10"/>
      <name val="Arial"/>
      <family val="2"/>
    </font>
    <font>
      <b/>
      <strike/>
      <u/>
      <sz val="10"/>
      <color indexed="8"/>
      <name val="Calibri"/>
      <family val="2"/>
    </font>
    <font>
      <strike/>
      <sz val="10"/>
      <color indexed="8"/>
      <name val="Calibri"/>
      <family val="2"/>
    </font>
    <font>
      <b/>
      <i/>
      <strike/>
      <u/>
      <sz val="10"/>
      <color indexed="8"/>
      <name val="Calibri"/>
      <family val="2"/>
    </font>
    <font>
      <b/>
      <i/>
      <strike/>
      <sz val="11"/>
      <color indexed="60"/>
      <name val="Calibri"/>
      <family val="2"/>
    </font>
    <font>
      <strike/>
      <sz val="11"/>
      <color theme="1"/>
      <name val="Calibri"/>
      <family val="2"/>
      <scheme val="minor"/>
    </font>
    <font>
      <b/>
      <strike/>
      <u/>
      <sz val="11"/>
      <color indexed="8"/>
      <name val="Calibri"/>
      <family val="2"/>
    </font>
    <font>
      <strike/>
      <sz val="11"/>
      <color indexed="8"/>
      <name val="Calibri"/>
      <family val="2"/>
    </font>
    <font>
      <b/>
      <sz val="10"/>
      <color theme="1"/>
      <name val="Calibri"/>
      <family val="2"/>
      <scheme val="minor"/>
    </font>
    <font>
      <sz val="12"/>
      <color rgb="FF000090"/>
      <name val="Calibri"/>
    </font>
    <font>
      <b/>
      <i/>
      <sz val="12"/>
      <color rgb="FF000090"/>
      <name val="Calibri"/>
    </font>
    <font>
      <b/>
      <sz val="12"/>
      <color rgb="FF000090"/>
      <name val="Calibri"/>
    </font>
    <font>
      <sz val="12"/>
      <color theme="0" tint="-0.499984740745262"/>
      <name val="Calibri"/>
    </font>
    <font>
      <sz val="12"/>
      <color rgb="FFFF6600"/>
      <name val="Calibri"/>
    </font>
    <font>
      <b/>
      <u/>
      <sz val="12"/>
      <color rgb="FF000090"/>
      <name val="Calibri"/>
    </font>
    <font>
      <u/>
      <sz val="12"/>
      <color theme="0" tint="-0.499984740745262"/>
      <name val="Calibri"/>
    </font>
    <font>
      <u/>
      <sz val="12"/>
      <color rgb="FFFF6600"/>
      <name val="Calibri"/>
    </font>
    <font>
      <u/>
      <sz val="12"/>
      <color rgb="FF000090"/>
      <name val="Calibri"/>
    </font>
    <font>
      <i/>
      <sz val="12"/>
      <color rgb="FF000090"/>
      <name val="Calibri"/>
    </font>
    <font>
      <sz val="12"/>
      <color theme="0" tint="-0.34998626667073579"/>
      <name val="Calibri"/>
    </font>
    <font>
      <b/>
      <sz val="12"/>
      <color rgb="FFFF6600"/>
      <name val="Calibri"/>
    </font>
    <font>
      <u/>
      <sz val="12"/>
      <color theme="0" tint="-0.34998626667073579"/>
      <name val="Calibri"/>
    </font>
    <font>
      <b/>
      <sz val="18"/>
      <color rgb="FF000090"/>
      <name val="Calibri"/>
    </font>
    <font>
      <sz val="12"/>
      <color theme="5"/>
      <name val="Calibri"/>
    </font>
    <font>
      <b/>
      <u/>
      <sz val="12"/>
      <color rgb="FFFF6600"/>
      <name val="Calibri"/>
    </font>
    <font>
      <sz val="12"/>
      <color rgb="FF3366FF"/>
      <name val="Calibri"/>
    </font>
    <font>
      <b/>
      <sz val="12"/>
      <color theme="0" tint="-0.499984740745262"/>
      <name val="Calibri"/>
    </font>
  </fonts>
  <fills count="5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theme="4" tint="0.79998168889431442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D737"/>
        <bgColor indexed="64"/>
      </patternFill>
    </fill>
    <fill>
      <patternFill patternType="solid">
        <fgColor theme="9" tint="-0.249977111117893"/>
        <bgColor indexed="64"/>
      </patternFill>
    </fill>
  </fills>
  <borders count="12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 style="hair">
        <color rgb="FFFF6600"/>
      </left>
      <right/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hair">
        <color rgb="FFFF6600"/>
      </left>
      <right style="hair">
        <color rgb="FFFF6600"/>
      </right>
      <top style="hair">
        <color rgb="FFFF6600"/>
      </top>
      <bottom/>
      <diagonal/>
    </border>
    <border>
      <left style="hair">
        <color rgb="FFFF6600"/>
      </left>
      <right/>
      <top style="hair">
        <color rgb="FFFF6600"/>
      </top>
      <bottom/>
      <diagonal/>
    </border>
    <border>
      <left/>
      <right style="hair">
        <color rgb="FFFF6600"/>
      </right>
      <top style="hair">
        <color rgb="FFFF6600"/>
      </top>
      <bottom/>
      <diagonal/>
    </border>
    <border>
      <left style="hair">
        <color rgb="FFFF6600"/>
      </left>
      <right style="hair">
        <color rgb="FFFF6600"/>
      </right>
      <top/>
      <bottom/>
      <diagonal/>
    </border>
    <border>
      <left/>
      <right style="hair">
        <color rgb="FFFF6600"/>
      </right>
      <top/>
      <bottom/>
      <diagonal/>
    </border>
    <border>
      <left style="hair">
        <color rgb="FFFF6600"/>
      </left>
      <right style="hair">
        <color rgb="FFFF6600"/>
      </right>
      <top/>
      <bottom style="hair">
        <color rgb="FFFF6600"/>
      </bottom>
      <diagonal/>
    </border>
    <border>
      <left style="hair">
        <color rgb="FFFF6600"/>
      </left>
      <right/>
      <top/>
      <bottom style="hair">
        <color rgb="FFFF6600"/>
      </bottom>
      <diagonal/>
    </border>
    <border>
      <left/>
      <right style="hair">
        <color rgb="FFFF6600"/>
      </right>
      <top/>
      <bottom style="hair">
        <color rgb="FFFF6600"/>
      </bottom>
      <diagonal/>
    </border>
    <border>
      <left/>
      <right/>
      <top style="hair">
        <color rgb="FFFF6600"/>
      </top>
      <bottom/>
      <diagonal/>
    </border>
    <border>
      <left/>
      <right/>
      <top/>
      <bottom style="hair">
        <color rgb="FFFF6600"/>
      </bottom>
      <diagonal/>
    </border>
    <border>
      <left/>
      <right/>
      <top style="hair">
        <color rgb="FFFF6600"/>
      </top>
      <bottom style="hair">
        <color rgb="FFFF6600"/>
      </bottom>
      <diagonal/>
    </border>
    <border>
      <left style="thin">
        <color auto="1"/>
      </left>
      <right/>
      <top/>
      <bottom/>
      <diagonal/>
    </border>
  </borders>
  <cellStyleXfs count="2650">
    <xf numFmtId="0" fontId="0" fillId="0" borderId="0"/>
    <xf numFmtId="0" fontId="40" fillId="7" borderId="0" applyNumberFormat="0" applyBorder="0" applyAlignment="0" applyProtection="0"/>
    <xf numFmtId="0" fontId="40" fillId="8" borderId="0" applyNumberFormat="0" applyBorder="0" applyAlignment="0" applyProtection="0"/>
    <xf numFmtId="0" fontId="40" fillId="9" borderId="0" applyNumberFormat="0" applyBorder="0" applyAlignment="0" applyProtection="0"/>
    <xf numFmtId="0" fontId="40" fillId="10" borderId="0" applyNumberFormat="0" applyBorder="0" applyAlignment="0" applyProtection="0"/>
    <xf numFmtId="0" fontId="40" fillId="11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1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23" borderId="0" applyNumberFormat="0" applyBorder="0" applyAlignment="0" applyProtection="0"/>
    <xf numFmtId="0" fontId="41" fillId="24" borderId="0" applyNumberFormat="0" applyBorder="0" applyAlignment="0" applyProtection="0"/>
    <xf numFmtId="0" fontId="41" fillId="25" borderId="0" applyNumberFormat="0" applyBorder="0" applyAlignment="0" applyProtection="0"/>
    <xf numFmtId="0" fontId="41" fillId="26" borderId="0" applyNumberFormat="0" applyBorder="0" applyAlignment="0" applyProtection="0"/>
    <xf numFmtId="0" fontId="41" fillId="27" borderId="0" applyNumberFormat="0" applyBorder="0" applyAlignment="0" applyProtection="0"/>
    <xf numFmtId="0" fontId="41" fillId="28" borderId="0" applyNumberFormat="0" applyBorder="0" applyAlignment="0" applyProtection="0"/>
    <xf numFmtId="0" fontId="41" fillId="29" borderId="0" applyNumberFormat="0" applyBorder="0" applyAlignment="0" applyProtection="0"/>
    <xf numFmtId="0" fontId="41" fillId="30" borderId="0" applyNumberFormat="0" applyBorder="0" applyAlignment="0" applyProtection="0"/>
    <xf numFmtId="0" fontId="42" fillId="31" borderId="0" applyNumberFormat="0" applyBorder="0" applyAlignment="0" applyProtection="0"/>
    <xf numFmtId="0" fontId="43" fillId="32" borderId="65" applyNumberFormat="0" applyAlignment="0" applyProtection="0"/>
    <xf numFmtId="0" fontId="44" fillId="33" borderId="66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3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5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10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34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40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6" fillId="34" borderId="0" applyNumberFormat="0" applyBorder="0" applyAlignment="0" applyProtection="0"/>
    <xf numFmtId="0" fontId="47" fillId="0" borderId="67" applyNumberFormat="0" applyFill="0" applyAlignment="0" applyProtection="0"/>
    <xf numFmtId="0" fontId="48" fillId="0" borderId="68" applyNumberFormat="0" applyFill="0" applyAlignment="0" applyProtection="0"/>
    <xf numFmtId="0" fontId="49" fillId="0" borderId="69" applyNumberFormat="0" applyFill="0" applyAlignment="0" applyProtection="0"/>
    <xf numFmtId="0" fontId="49" fillId="0" borderId="0" applyNumberFormat="0" applyFill="0" applyBorder="0" applyAlignment="0" applyProtection="0"/>
    <xf numFmtId="0" fontId="50" fillId="35" borderId="65" applyNumberFormat="0" applyAlignment="0" applyProtection="0"/>
    <xf numFmtId="0" fontId="51" fillId="0" borderId="70" applyNumberFormat="0" applyFill="0" applyAlignment="0" applyProtection="0"/>
    <xf numFmtId="0" fontId="52" fillId="36" borderId="0" applyNumberFormat="0" applyBorder="0" applyAlignment="0" applyProtection="0"/>
    <xf numFmtId="0" fontId="40" fillId="0" borderId="0"/>
    <xf numFmtId="0" fontId="40" fillId="0" borderId="0"/>
    <xf numFmtId="0" fontId="15" fillId="0" borderId="0"/>
    <xf numFmtId="0" fontId="40" fillId="0" borderId="0"/>
    <xf numFmtId="0" fontId="15" fillId="0" borderId="0"/>
    <xf numFmtId="0" fontId="36" fillId="0" borderId="0"/>
    <xf numFmtId="0" fontId="15" fillId="0" borderId="0"/>
    <xf numFmtId="0" fontId="40" fillId="0" borderId="0"/>
    <xf numFmtId="0" fontId="15" fillId="0" borderId="0"/>
    <xf numFmtId="0" fontId="34" fillId="37" borderId="71" applyNumberFormat="0" applyFont="0" applyAlignment="0" applyProtection="0"/>
    <xf numFmtId="0" fontId="9" fillId="37" borderId="71" applyNumberFormat="0" applyFont="0" applyAlignment="0" applyProtection="0"/>
    <xf numFmtId="0" fontId="40" fillId="37" borderId="71" applyNumberFormat="0" applyFont="0" applyAlignment="0" applyProtection="0"/>
    <xf numFmtId="0" fontId="53" fillId="32" borderId="72" applyNumberFormat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73" applyNumberFormat="0" applyFill="0" applyAlignment="0" applyProtection="0"/>
    <xf numFmtId="0" fontId="56" fillId="0" borderId="0" applyNumberFormat="0" applyFill="0" applyBorder="0" applyAlignment="0" applyProtection="0"/>
    <xf numFmtId="0" fontId="8" fillId="0" borderId="0"/>
    <xf numFmtId="44" fontId="8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5" fillId="0" borderId="0"/>
    <xf numFmtId="9" fontId="5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" fillId="0" borderId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1" fillId="0" borderId="0"/>
    <xf numFmtId="0" fontId="61" fillId="0" borderId="0" applyNumberFormat="0" applyFill="0" applyBorder="0" applyAlignment="0" applyProtection="0"/>
    <xf numFmtId="0" fontId="64" fillId="0" borderId="0" applyNumberFormat="0" applyFill="0" applyBorder="0" applyAlignment="0" applyProtection="0"/>
  </cellStyleXfs>
  <cellXfs count="994">
    <xf numFmtId="0" fontId="0" fillId="0" borderId="0" xfId="0"/>
    <xf numFmtId="0" fontId="0" fillId="0" borderId="0" xfId="0" applyAlignment="1">
      <alignment wrapText="1"/>
    </xf>
    <xf numFmtId="0" fontId="19" fillId="0" borderId="0" xfId="0" applyFont="1" applyFill="1" applyBorder="1"/>
    <xf numFmtId="0" fontId="19" fillId="0" borderId="0" xfId="0" applyFont="1"/>
    <xf numFmtId="0" fontId="20" fillId="0" borderId="0" xfId="55" applyFont="1"/>
    <xf numFmtId="0" fontId="20" fillId="2" borderId="0" xfId="55" applyFont="1" applyFill="1"/>
    <xf numFmtId="0" fontId="40" fillId="0" borderId="0" xfId="55" applyAlignment="1">
      <alignment wrapText="1"/>
    </xf>
    <xf numFmtId="8" fontId="40" fillId="0" borderId="0" xfId="55" applyNumberFormat="1" applyAlignment="1">
      <alignment horizontal="right" wrapText="1"/>
    </xf>
    <xf numFmtId="0" fontId="40" fillId="0" borderId="0" xfId="55" applyAlignment="1"/>
    <xf numFmtId="0" fontId="40" fillId="2" borderId="0" xfId="55" applyFill="1"/>
    <xf numFmtId="0" fontId="40" fillId="0" borderId="0" xfId="55"/>
    <xf numFmtId="0" fontId="14" fillId="0" borderId="0" xfId="55" applyFont="1" applyAlignment="1">
      <alignment horizontal="center" vertical="center" wrapText="1"/>
    </xf>
    <xf numFmtId="0" fontId="20" fillId="0" borderId="0" xfId="55" applyFont="1" applyAlignment="1">
      <alignment horizontal="center" vertical="center" wrapText="1"/>
    </xf>
    <xf numFmtId="8" fontId="20" fillId="0" borderId="0" xfId="55" applyNumberFormat="1" applyFont="1" applyAlignment="1">
      <alignment horizontal="center" vertical="center" wrapText="1"/>
    </xf>
    <xf numFmtId="0" fontId="21" fillId="0" borderId="0" xfId="55" applyFont="1" applyAlignment="1">
      <alignment horizontal="right"/>
    </xf>
    <xf numFmtId="8" fontId="40" fillId="0" borderId="0" xfId="55" applyNumberFormat="1" applyAlignment="1">
      <alignment horizontal="right"/>
    </xf>
    <xf numFmtId="0" fontId="21" fillId="3" borderId="0" xfId="55" applyFont="1" applyFill="1" applyAlignment="1">
      <alignment horizontal="right"/>
    </xf>
    <xf numFmtId="8" fontId="40" fillId="3" borderId="0" xfId="55" applyNumberFormat="1" applyFill="1"/>
    <xf numFmtId="0" fontId="40" fillId="3" borderId="0" xfId="55" applyFill="1" applyAlignment="1"/>
    <xf numFmtId="0" fontId="22" fillId="0" borderId="0" xfId="55" quotePrefix="1" applyFont="1"/>
    <xf numFmtId="8" fontId="40" fillId="0" borderId="0" xfId="55" applyNumberFormat="1"/>
    <xf numFmtId="0" fontId="23" fillId="4" borderId="0" xfId="55" applyFont="1" applyFill="1" applyAlignment="1">
      <alignment horizontal="right"/>
    </xf>
    <xf numFmtId="8" fontId="40" fillId="4" borderId="0" xfId="55" applyNumberFormat="1" applyFill="1"/>
    <xf numFmtId="0" fontId="40" fillId="4" borderId="0" xfId="55" applyFill="1" applyAlignment="1"/>
    <xf numFmtId="10" fontId="12" fillId="4" borderId="0" xfId="69" applyNumberFormat="1" applyFont="1" applyFill="1" applyAlignment="1"/>
    <xf numFmtId="0" fontId="25" fillId="2" borderId="0" xfId="55" applyFont="1" applyFill="1"/>
    <xf numFmtId="0" fontId="26" fillId="0" borderId="0" xfId="0" quotePrefix="1" applyFont="1" applyBorder="1"/>
    <xf numFmtId="0" fontId="16" fillId="5" borderId="1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3" xfId="0" applyBorder="1"/>
    <xf numFmtId="0" fontId="16" fillId="0" borderId="4" xfId="0" applyFont="1" applyBorder="1"/>
    <xf numFmtId="8" fontId="0" fillId="0" borderId="0" xfId="0" applyNumberFormat="1"/>
    <xf numFmtId="0" fontId="16" fillId="5" borderId="4" xfId="0" applyFont="1" applyFill="1" applyBorder="1" applyAlignment="1">
      <alignment horizontal="center" vertical="center" wrapText="1"/>
    </xf>
    <xf numFmtId="6" fontId="0" fillId="0" borderId="3" xfId="0" applyNumberFormat="1" applyBorder="1"/>
    <xf numFmtId="164" fontId="30" fillId="0" borderId="5" xfId="0" applyNumberFormat="1" applyFont="1" applyFill="1" applyBorder="1"/>
    <xf numFmtId="164" fontId="16" fillId="0" borderId="1" xfId="0" applyNumberFormat="1" applyFont="1" applyBorder="1"/>
    <xf numFmtId="9" fontId="16" fillId="0" borderId="8" xfId="68" applyFont="1" applyBorder="1" applyAlignment="1">
      <alignment horizontal="center"/>
    </xf>
    <xf numFmtId="0" fontId="40" fillId="0" borderId="5" xfId="55" applyBorder="1" applyAlignment="1"/>
    <xf numFmtId="0" fontId="40" fillId="2" borderId="0" xfId="55" applyFill="1" applyAlignment="1"/>
    <xf numFmtId="8" fontId="40" fillId="0" borderId="0" xfId="55" applyNumberFormat="1" applyAlignment="1"/>
    <xf numFmtId="0" fontId="9" fillId="0" borderId="0" xfId="55" applyFont="1" applyFill="1" applyAlignment="1">
      <alignment wrapText="1"/>
    </xf>
    <xf numFmtId="164" fontId="31" fillId="0" borderId="5" xfId="34" applyNumberFormat="1" applyFont="1" applyFill="1" applyBorder="1"/>
    <xf numFmtId="0" fontId="0" fillId="0" borderId="0" xfId="0" applyAlignment="1"/>
    <xf numFmtId="164" fontId="30" fillId="0" borderId="3" xfId="34" applyNumberFormat="1" applyFont="1" applyBorder="1"/>
    <xf numFmtId="164" fontId="30" fillId="0" borderId="3" xfId="0" applyNumberFormat="1" applyFont="1" applyBorder="1"/>
    <xf numFmtId="0" fontId="21" fillId="0" borderId="0" xfId="55" applyFont="1" applyFill="1" applyAlignment="1">
      <alignment horizontal="right"/>
    </xf>
    <xf numFmtId="8" fontId="40" fillId="0" borderId="0" xfId="55" applyNumberFormat="1" applyFill="1"/>
    <xf numFmtId="0" fontId="40" fillId="0" borderId="0" xfId="55" applyFill="1"/>
    <xf numFmtId="0" fontId="9" fillId="0" borderId="0" xfId="55" applyFont="1"/>
    <xf numFmtId="165" fontId="0" fillId="0" borderId="13" xfId="28" applyNumberFormat="1" applyFont="1" applyBorder="1"/>
    <xf numFmtId="0" fontId="0" fillId="0" borderId="3" xfId="0" applyFill="1" applyBorder="1"/>
    <xf numFmtId="164" fontId="33" fillId="0" borderId="1" xfId="34" applyNumberFormat="1" applyFont="1" applyFill="1" applyBorder="1"/>
    <xf numFmtId="164" fontId="30" fillId="0" borderId="14" xfId="34" applyNumberFormat="1" applyFont="1" applyBorder="1"/>
    <xf numFmtId="0" fontId="0" fillId="0" borderId="15" xfId="0" applyBorder="1"/>
    <xf numFmtId="0" fontId="0" fillId="0" borderId="0" xfId="0" applyFont="1"/>
    <xf numFmtId="0" fontId="20" fillId="0" borderId="0" xfId="55" applyFont="1" applyAlignment="1"/>
    <xf numFmtId="0" fontId="12" fillId="0" borderId="0" xfId="55" applyFont="1" applyFill="1" applyAlignment="1"/>
    <xf numFmtId="0" fontId="17" fillId="0" borderId="18" xfId="0" applyFont="1" applyFill="1" applyBorder="1" applyAlignment="1">
      <alignment horizontal="left" vertical="center"/>
    </xf>
    <xf numFmtId="0" fontId="17" fillId="0" borderId="19" xfId="0" applyFont="1" applyFill="1" applyBorder="1" applyAlignment="1">
      <alignment horizontal="left" vertical="center"/>
    </xf>
    <xf numFmtId="0" fontId="16" fillId="0" borderId="19" xfId="0" applyFont="1" applyFill="1" applyBorder="1" applyAlignment="1">
      <alignment horizontal="center" vertical="center"/>
    </xf>
    <xf numFmtId="0" fontId="0" fillId="0" borderId="19" xfId="0" applyFill="1" applyBorder="1" applyAlignment="1">
      <alignment horizontal="center" vertical="center"/>
    </xf>
    <xf numFmtId="0" fontId="29" fillId="0" borderId="19" xfId="0" applyFont="1" applyFill="1" applyBorder="1" applyAlignment="1">
      <alignment horizontal="center" vertical="center"/>
    </xf>
    <xf numFmtId="0" fontId="16" fillId="0" borderId="20" xfId="0" applyFont="1" applyFill="1" applyBorder="1" applyAlignment="1">
      <alignment horizontal="center" vertical="center"/>
    </xf>
    <xf numFmtId="0" fontId="0" fillId="0" borderId="19" xfId="0" applyFill="1" applyBorder="1" applyAlignment="1"/>
    <xf numFmtId="0" fontId="19" fillId="0" borderId="0" xfId="0" applyFont="1" applyBorder="1" applyAlignment="1">
      <alignment horizontal="center"/>
    </xf>
    <xf numFmtId="0" fontId="28" fillId="5" borderId="21" xfId="0" applyFont="1" applyFill="1" applyBorder="1" applyAlignment="1">
      <alignment horizontal="center" vertical="center" wrapText="1"/>
    </xf>
    <xf numFmtId="0" fontId="28" fillId="5" borderId="22" xfId="0" applyFont="1" applyFill="1" applyBorder="1" applyAlignment="1">
      <alignment horizontal="center" vertical="center" wrapText="1"/>
    </xf>
    <xf numFmtId="0" fontId="28" fillId="5" borderId="23" xfId="0" applyFont="1" applyFill="1" applyBorder="1" applyAlignment="1">
      <alignment horizontal="center" vertical="center" wrapText="1"/>
    </xf>
    <xf numFmtId="0" fontId="28" fillId="5" borderId="24" xfId="0" applyFont="1" applyFill="1" applyBorder="1" applyAlignment="1">
      <alignment horizontal="center" vertical="center" wrapText="1"/>
    </xf>
    <xf numFmtId="0" fontId="32" fillId="0" borderId="0" xfId="0" applyFont="1" applyFill="1" applyBorder="1" applyAlignment="1"/>
    <xf numFmtId="0" fontId="0" fillId="0" borderId="19" xfId="0" applyBorder="1" applyAlignment="1">
      <alignment horizontal="center"/>
    </xf>
    <xf numFmtId="0" fontId="28" fillId="0" borderId="28" xfId="0" applyFont="1" applyFill="1" applyBorder="1"/>
    <xf numFmtId="0" fontId="16" fillId="0" borderId="29" xfId="0" applyFont="1" applyFill="1" applyBorder="1"/>
    <xf numFmtId="44" fontId="0" fillId="0" borderId="0" xfId="34" applyFont="1"/>
    <xf numFmtId="0" fontId="0" fillId="0" borderId="3" xfId="0" applyBorder="1" applyAlignment="1">
      <alignment horizontal="center"/>
    </xf>
    <xf numFmtId="0" fontId="0" fillId="0" borderId="18" xfId="0" applyBorder="1" applyAlignment="1"/>
    <xf numFmtId="0" fontId="0" fillId="0" borderId="19" xfId="0" applyBorder="1" applyAlignment="1"/>
    <xf numFmtId="0" fontId="0" fillId="0" borderId="33" xfId="0" applyBorder="1" applyAlignment="1"/>
    <xf numFmtId="9" fontId="0" fillId="0" borderId="34" xfId="68" applyFont="1" applyBorder="1" applyAlignment="1">
      <alignment horizontal="center"/>
    </xf>
    <xf numFmtId="164" fontId="16" fillId="0" borderId="4" xfId="0" applyNumberFormat="1" applyFont="1" applyBorder="1"/>
    <xf numFmtId="164" fontId="30" fillId="0" borderId="6" xfId="34" applyNumberFormat="1" applyFont="1" applyFill="1" applyBorder="1"/>
    <xf numFmtId="0" fontId="20" fillId="2" borderId="0" xfId="55" applyFont="1" applyFill="1" applyAlignment="1"/>
    <xf numFmtId="0" fontId="9" fillId="0" borderId="0" xfId="55" applyFont="1" applyAlignment="1"/>
    <xf numFmtId="0" fontId="9" fillId="0" borderId="0" xfId="55" applyFont="1" applyFill="1" applyAlignment="1"/>
    <xf numFmtId="0" fontId="14" fillId="0" borderId="0" xfId="55" applyFont="1" applyAlignment="1">
      <alignment horizontal="center" vertical="center"/>
    </xf>
    <xf numFmtId="8" fontId="20" fillId="0" borderId="0" xfId="55" applyNumberFormat="1" applyFont="1" applyAlignment="1">
      <alignment horizontal="center" vertical="center"/>
    </xf>
    <xf numFmtId="0" fontId="20" fillId="0" borderId="0" xfId="55" applyFont="1" applyAlignment="1">
      <alignment horizontal="center" vertical="center"/>
    </xf>
    <xf numFmtId="8" fontId="40" fillId="3" borderId="0" xfId="55" applyNumberFormat="1" applyFill="1" applyAlignment="1"/>
    <xf numFmtId="0" fontId="22" fillId="0" borderId="0" xfId="55" quotePrefix="1" applyFont="1" applyAlignment="1"/>
    <xf numFmtId="0" fontId="26" fillId="0" borderId="0" xfId="0" quotePrefix="1" applyFont="1" applyBorder="1" applyAlignment="1"/>
    <xf numFmtId="8" fontId="40" fillId="4" borderId="0" xfId="55" applyNumberFormat="1" applyFill="1" applyAlignment="1"/>
    <xf numFmtId="0" fontId="0" fillId="0" borderId="22" xfId="0" applyFill="1" applyBorder="1" applyAlignment="1"/>
    <xf numFmtId="0" fontId="0" fillId="0" borderId="35" xfId="0" applyFill="1" applyBorder="1"/>
    <xf numFmtId="164" fontId="30" fillId="0" borderId="5" xfId="34" applyNumberFormat="1" applyFont="1" applyFill="1" applyBorder="1"/>
    <xf numFmtId="0" fontId="0" fillId="0" borderId="36" xfId="0" applyBorder="1" applyAlignment="1">
      <alignment horizontal="center"/>
    </xf>
    <xf numFmtId="0" fontId="28" fillId="5" borderId="7" xfId="0" applyFont="1" applyFill="1" applyBorder="1" applyAlignment="1">
      <alignment horizontal="center" vertical="center" wrapText="1"/>
    </xf>
    <xf numFmtId="9" fontId="30" fillId="0" borderId="37" xfId="68" applyFont="1" applyBorder="1" applyAlignment="1">
      <alignment horizontal="center"/>
    </xf>
    <xf numFmtId="0" fontId="35" fillId="0" borderId="18" xfId="0" applyFont="1" applyFill="1" applyBorder="1" applyAlignment="1">
      <alignment horizontal="left" vertical="center"/>
    </xf>
    <xf numFmtId="0" fontId="35" fillId="0" borderId="19" xfId="0" applyFont="1" applyFill="1" applyBorder="1" applyAlignment="1">
      <alignment horizontal="left" vertical="center"/>
    </xf>
    <xf numFmtId="0" fontId="0" fillId="0" borderId="19" xfId="0" applyFont="1" applyFill="1" applyBorder="1" applyAlignment="1">
      <alignment horizontal="center" vertical="center"/>
    </xf>
    <xf numFmtId="0" fontId="0" fillId="0" borderId="2" xfId="0" applyFont="1" applyBorder="1"/>
    <xf numFmtId="164" fontId="0" fillId="0" borderId="3" xfId="34" applyNumberFormat="1" applyFont="1" applyBorder="1"/>
    <xf numFmtId="164" fontId="0" fillId="0" borderId="3" xfId="0" applyNumberFormat="1" applyFont="1" applyBorder="1"/>
    <xf numFmtId="164" fontId="16" fillId="0" borderId="3" xfId="0" applyNumberFormat="1" applyFont="1" applyBorder="1"/>
    <xf numFmtId="164" fontId="0" fillId="0" borderId="0" xfId="0" applyNumberFormat="1"/>
    <xf numFmtId="0" fontId="28" fillId="5" borderId="9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0" fillId="0" borderId="35" xfId="0" applyFont="1" applyBorder="1"/>
    <xf numFmtId="0" fontId="0" fillId="0" borderId="33" xfId="0" applyFill="1" applyBorder="1" applyAlignment="1"/>
    <xf numFmtId="9" fontId="30" fillId="0" borderId="37" xfId="68" applyFont="1" applyFill="1" applyBorder="1" applyAlignment="1">
      <alignment horizontal="center"/>
    </xf>
    <xf numFmtId="9" fontId="30" fillId="0" borderId="34" xfId="68" applyFont="1" applyFill="1" applyBorder="1" applyAlignment="1">
      <alignment horizontal="center"/>
    </xf>
    <xf numFmtId="9" fontId="16" fillId="0" borderId="8" xfId="68" applyNumberFormat="1" applyFont="1" applyFill="1" applyBorder="1" applyAlignment="1">
      <alignment horizontal="center"/>
    </xf>
    <xf numFmtId="164" fontId="16" fillId="0" borderId="4" xfId="34" applyNumberFormat="1" applyFont="1" applyBorder="1"/>
    <xf numFmtId="44" fontId="20" fillId="0" borderId="0" xfId="55" applyNumberFormat="1" applyFont="1" applyAlignment="1">
      <alignment horizontal="center" vertical="center"/>
    </xf>
    <xf numFmtId="0" fontId="37" fillId="0" borderId="0" xfId="55" applyFont="1"/>
    <xf numFmtId="0" fontId="37" fillId="2" borderId="0" xfId="55" applyFont="1" applyFill="1"/>
    <xf numFmtId="0" fontId="15" fillId="0" borderId="0" xfId="0" applyFont="1"/>
    <xf numFmtId="0" fontId="57" fillId="2" borderId="0" xfId="55" applyFont="1" applyFill="1"/>
    <xf numFmtId="0" fontId="57" fillId="2" borderId="0" xfId="55" applyFont="1" applyFill="1" applyAlignment="1"/>
    <xf numFmtId="0" fontId="57" fillId="0" borderId="0" xfId="55" applyFont="1"/>
    <xf numFmtId="0" fontId="57" fillId="0" borderId="0" xfId="55" applyFont="1" applyAlignment="1">
      <alignment wrapText="1"/>
    </xf>
    <xf numFmtId="8" fontId="57" fillId="0" borderId="0" xfId="55" applyNumberFormat="1" applyFont="1" applyAlignment="1">
      <alignment horizontal="right" wrapText="1"/>
    </xf>
    <xf numFmtId="0" fontId="38" fillId="0" borderId="0" xfId="55" applyFont="1" applyAlignment="1">
      <alignment horizontal="right"/>
    </xf>
    <xf numFmtId="8" fontId="57" fillId="0" borderId="0" xfId="55" applyNumberFormat="1" applyFont="1" applyAlignment="1">
      <alignment horizontal="right"/>
    </xf>
    <xf numFmtId="0" fontId="37" fillId="0" borderId="0" xfId="55" applyFont="1" applyAlignment="1">
      <alignment horizontal="center" vertical="center" wrapText="1"/>
    </xf>
    <xf numFmtId="0" fontId="38" fillId="0" borderId="0" xfId="55" applyFont="1" applyFill="1" applyAlignment="1">
      <alignment horizontal="right"/>
    </xf>
    <xf numFmtId="8" fontId="57" fillId="0" borderId="0" xfId="55" applyNumberFormat="1" applyFont="1" applyFill="1"/>
    <xf numFmtId="0" fontId="57" fillId="0" borderId="0" xfId="55" applyFont="1" applyFill="1"/>
    <xf numFmtId="0" fontId="39" fillId="4" borderId="0" xfId="55" applyFont="1" applyFill="1" applyAlignment="1">
      <alignment horizontal="right"/>
    </xf>
    <xf numFmtId="8" fontId="57" fillId="4" borderId="0" xfId="55" applyNumberFormat="1" applyFont="1" applyFill="1"/>
    <xf numFmtId="164" fontId="30" fillId="0" borderId="6" xfId="38" applyNumberFormat="1" applyFont="1" applyFill="1" applyBorder="1"/>
    <xf numFmtId="9" fontId="0" fillId="0" borderId="34" xfId="70" applyFont="1" applyBorder="1" applyAlignment="1">
      <alignment horizontal="center"/>
    </xf>
    <xf numFmtId="9" fontId="16" fillId="0" borderId="8" xfId="70" applyFont="1" applyBorder="1" applyAlignment="1">
      <alignment horizontal="center"/>
    </xf>
    <xf numFmtId="44" fontId="40" fillId="0" borderId="0" xfId="34" applyFont="1"/>
    <xf numFmtId="0" fontId="14" fillId="2" borderId="0" xfId="55" applyFont="1" applyFill="1" applyAlignment="1"/>
    <xf numFmtId="164" fontId="31" fillId="0" borderId="19" xfId="34" applyNumberFormat="1" applyFont="1" applyFill="1" applyBorder="1"/>
    <xf numFmtId="9" fontId="30" fillId="0" borderId="33" xfId="68" applyFont="1" applyFill="1" applyBorder="1" applyAlignment="1">
      <alignment horizontal="center"/>
    </xf>
    <xf numFmtId="164" fontId="30" fillId="0" borderId="16" xfId="34" applyNumberFormat="1" applyFont="1" applyBorder="1"/>
    <xf numFmtId="0" fontId="28" fillId="5" borderId="4" xfId="0" applyFont="1" applyFill="1" applyBorder="1" applyAlignment="1">
      <alignment horizontal="center" vertical="center" wrapText="1"/>
    </xf>
    <xf numFmtId="0" fontId="28" fillId="5" borderId="1" xfId="0" applyFont="1" applyFill="1" applyBorder="1" applyAlignment="1">
      <alignment horizontal="center" vertical="center" wrapText="1"/>
    </xf>
    <xf numFmtId="0" fontId="28" fillId="5" borderId="8" xfId="0" applyFont="1" applyFill="1" applyBorder="1" applyAlignment="1">
      <alignment horizontal="center" vertical="center" wrapText="1"/>
    </xf>
    <xf numFmtId="0" fontId="16" fillId="0" borderId="49" xfId="0" applyFont="1" applyFill="1" applyBorder="1"/>
    <xf numFmtId="0" fontId="16" fillId="0" borderId="0" xfId="0" applyFont="1"/>
    <xf numFmtId="165" fontId="16" fillId="0" borderId="0" xfId="0" applyNumberFormat="1" applyFont="1"/>
    <xf numFmtId="164" fontId="30" fillId="0" borderId="17" xfId="34" applyNumberFormat="1" applyFont="1" applyBorder="1"/>
    <xf numFmtId="164" fontId="16" fillId="0" borderId="52" xfId="0" applyNumberFormat="1" applyFont="1" applyBorder="1"/>
    <xf numFmtId="0" fontId="16" fillId="0" borderId="30" xfId="0" applyFont="1" applyFill="1" applyBorder="1"/>
    <xf numFmtId="0" fontId="0" fillId="38" borderId="0" xfId="0" applyFill="1" applyBorder="1"/>
    <xf numFmtId="44" fontId="0" fillId="0" borderId="0" xfId="0" applyNumberFormat="1"/>
    <xf numFmtId="165" fontId="0" fillId="0" borderId="0" xfId="0" applyNumberFormat="1"/>
    <xf numFmtId="0" fontId="16" fillId="0" borderId="0" xfId="0" applyFont="1" applyFill="1" applyBorder="1"/>
    <xf numFmtId="44" fontId="58" fillId="0" borderId="0" xfId="34" applyFont="1"/>
    <xf numFmtId="44" fontId="58" fillId="0" borderId="0" xfId="34" applyFont="1" applyAlignment="1">
      <alignment wrapText="1"/>
    </xf>
    <xf numFmtId="44" fontId="58" fillId="0" borderId="0" xfId="34" applyFont="1" applyAlignment="1"/>
    <xf numFmtId="44" fontId="59" fillId="0" borderId="0" xfId="34" applyFont="1"/>
    <xf numFmtId="0" fontId="0" fillId="0" borderId="53" xfId="0" applyBorder="1" applyAlignment="1"/>
    <xf numFmtId="0" fontId="0" fillId="0" borderId="20" xfId="0" applyBorder="1" applyAlignment="1">
      <alignment horizontal="center"/>
    </xf>
    <xf numFmtId="0" fontId="0" fillId="0" borderId="0" xfId="0" applyAlignment="1">
      <alignment horizontal="left"/>
    </xf>
    <xf numFmtId="44" fontId="40" fillId="0" borderId="0" xfId="55" applyNumberFormat="1" applyAlignment="1">
      <alignment horizontal="right" wrapText="1"/>
    </xf>
    <xf numFmtId="9" fontId="28" fillId="0" borderId="37" xfId="68" applyFont="1" applyBorder="1" applyAlignment="1">
      <alignment horizontal="center"/>
    </xf>
    <xf numFmtId="164" fontId="28" fillId="0" borderId="54" xfId="34" applyNumberFormat="1" applyFont="1" applyBorder="1"/>
    <xf numFmtId="164" fontId="30" fillId="0" borderId="58" xfId="34" applyNumberFormat="1" applyFont="1" applyBorder="1"/>
    <xf numFmtId="0" fontId="58" fillId="0" borderId="0" xfId="0" applyFont="1"/>
    <xf numFmtId="0" fontId="28" fillId="0" borderId="56" xfId="0" applyFont="1" applyBorder="1" applyAlignment="1">
      <alignment horizontal="center"/>
    </xf>
    <xf numFmtId="164" fontId="30" fillId="0" borderId="60" xfId="34" applyNumberFormat="1" applyFont="1" applyBorder="1"/>
    <xf numFmtId="0" fontId="16" fillId="39" borderId="22" xfId="0" applyFont="1" applyFill="1" applyBorder="1" applyAlignment="1">
      <alignment horizontal="center" vertical="center" wrapText="1"/>
    </xf>
    <xf numFmtId="164" fontId="30" fillId="0" borderId="33" xfId="34" applyNumberFormat="1" applyFont="1" applyBorder="1"/>
    <xf numFmtId="0" fontId="16" fillId="0" borderId="61" xfId="0" applyFont="1" applyBorder="1" applyAlignment="1">
      <alignment horizontal="center"/>
    </xf>
    <xf numFmtId="0" fontId="16" fillId="0" borderId="62" xfId="0" applyFont="1" applyBorder="1" applyAlignment="1">
      <alignment horizontal="center"/>
    </xf>
    <xf numFmtId="0" fontId="16" fillId="0" borderId="46" xfId="0" applyFont="1" applyFill="1" applyBorder="1" applyAlignment="1">
      <alignment horizontal="center" vertical="center" wrapText="1"/>
    </xf>
    <xf numFmtId="165" fontId="30" fillId="0" borderId="12" xfId="28" applyNumberFormat="1" applyFont="1" applyBorder="1" applyAlignment="1"/>
    <xf numFmtId="165" fontId="30" fillId="0" borderId="59" xfId="28" applyNumberFormat="1" applyFont="1" applyBorder="1" applyAlignment="1"/>
    <xf numFmtId="165" fontId="28" fillId="0" borderId="56" xfId="28" applyNumberFormat="1" applyFont="1" applyBorder="1" applyAlignment="1"/>
    <xf numFmtId="0" fontId="0" fillId="0" borderId="0" xfId="0" applyNumberFormat="1"/>
    <xf numFmtId="0" fontId="30" fillId="0" borderId="29" xfId="0" applyFont="1" applyBorder="1" applyAlignment="1">
      <alignment horizontal="center" wrapText="1"/>
    </xf>
    <xf numFmtId="0" fontId="30" fillId="0" borderId="30" xfId="0" applyFont="1" applyBorder="1" applyAlignment="1">
      <alignment horizontal="center"/>
    </xf>
    <xf numFmtId="0" fontId="30" fillId="0" borderId="30" xfId="0" applyFont="1" applyBorder="1" applyAlignment="1">
      <alignment horizontal="center" wrapText="1"/>
    </xf>
    <xf numFmtId="0" fontId="30" fillId="0" borderId="31" xfId="0" applyFont="1" applyBorder="1" applyAlignment="1">
      <alignment horizontal="center" wrapText="1"/>
    </xf>
    <xf numFmtId="44" fontId="40" fillId="0" borderId="0" xfId="55" applyNumberFormat="1" applyAlignment="1">
      <alignment horizontal="right"/>
    </xf>
    <xf numFmtId="0" fontId="16" fillId="39" borderId="1" xfId="0" applyFont="1" applyFill="1" applyBorder="1" applyAlignment="1">
      <alignment horizontal="center" vertical="center"/>
    </xf>
    <xf numFmtId="0" fontId="16" fillId="39" borderId="8" xfId="0" applyFont="1" applyFill="1" applyBorder="1" applyAlignment="1">
      <alignment horizontal="center" vertical="center"/>
    </xf>
    <xf numFmtId="0" fontId="16" fillId="39" borderId="52" xfId="0" applyFont="1" applyFill="1" applyBorder="1" applyAlignment="1">
      <alignment horizontal="center" vertical="center"/>
    </xf>
    <xf numFmtId="0" fontId="16" fillId="0" borderId="44" xfId="0" applyFont="1" applyBorder="1" applyAlignment="1">
      <alignment horizontal="center"/>
    </xf>
    <xf numFmtId="0" fontId="26" fillId="0" borderId="0" xfId="0" applyFont="1"/>
    <xf numFmtId="0" fontId="16" fillId="39" borderId="21" xfId="0" applyFont="1" applyFill="1" applyBorder="1" applyAlignment="1">
      <alignment horizontal="center" vertical="center"/>
    </xf>
    <xf numFmtId="0" fontId="16" fillId="39" borderId="22" xfId="0" applyFont="1" applyFill="1" applyBorder="1" applyAlignment="1">
      <alignment horizontal="center" vertical="center"/>
    </xf>
    <xf numFmtId="0" fontId="16" fillId="39" borderId="23" xfId="0" applyFont="1" applyFill="1" applyBorder="1" applyAlignment="1">
      <alignment horizontal="center" vertical="center"/>
    </xf>
    <xf numFmtId="165" fontId="0" fillId="0" borderId="10" xfId="28" applyNumberFormat="1" applyFont="1" applyBorder="1" applyAlignment="1"/>
    <xf numFmtId="165" fontId="0" fillId="0" borderId="55" xfId="28" applyNumberFormat="1" applyFont="1" applyBorder="1" applyAlignment="1"/>
    <xf numFmtId="0" fontId="16" fillId="0" borderId="42" xfId="0" applyFont="1" applyBorder="1" applyAlignment="1">
      <alignment horizontal="center"/>
    </xf>
    <xf numFmtId="166" fontId="0" fillId="0" borderId="41" xfId="68" applyNumberFormat="1" applyFont="1" applyBorder="1" applyAlignment="1">
      <alignment horizontal="center"/>
    </xf>
    <xf numFmtId="166" fontId="0" fillId="0" borderId="54" xfId="68" applyNumberFormat="1" applyFont="1" applyBorder="1" applyAlignment="1">
      <alignment horizontal="center"/>
    </xf>
    <xf numFmtId="44" fontId="27" fillId="0" borderId="0" xfId="34" applyFont="1"/>
    <xf numFmtId="6" fontId="57" fillId="0" borderId="0" xfId="55" applyNumberFormat="1" applyFont="1" applyAlignment="1">
      <alignment horizontal="right"/>
    </xf>
    <xf numFmtId="165" fontId="0" fillId="0" borderId="51" xfId="28" applyNumberFormat="1" applyFont="1" applyFill="1" applyBorder="1" applyAlignment="1"/>
    <xf numFmtId="44" fontId="20" fillId="0" borderId="0" xfId="34" applyFont="1"/>
    <xf numFmtId="44" fontId="40" fillId="3" borderId="0" xfId="34" applyFont="1" applyFill="1"/>
    <xf numFmtId="44" fontId="40" fillId="3" borderId="0" xfId="34" applyFont="1" applyFill="1" applyAlignment="1"/>
    <xf numFmtId="44" fontId="40" fillId="4" borderId="0" xfId="34" applyFont="1" applyFill="1"/>
    <xf numFmtId="44" fontId="40" fillId="2" borderId="0" xfId="34" applyFont="1" applyFill="1"/>
    <xf numFmtId="44" fontId="40" fillId="0" borderId="0" xfId="34" applyFont="1" applyAlignment="1">
      <alignment horizontal="right" wrapText="1"/>
    </xf>
    <xf numFmtId="9" fontId="0" fillId="0" borderId="0" xfId="68" applyFont="1"/>
    <xf numFmtId="0" fontId="19" fillId="38" borderId="0" xfId="0" applyFont="1" applyFill="1" applyBorder="1"/>
    <xf numFmtId="0" fontId="19" fillId="38" borderId="47" xfId="0" applyFont="1" applyFill="1" applyBorder="1"/>
    <xf numFmtId="165" fontId="15" fillId="0" borderId="36" xfId="28" applyNumberFormat="1" applyFont="1" applyBorder="1"/>
    <xf numFmtId="44" fontId="60" fillId="0" borderId="0" xfId="34" applyFont="1"/>
    <xf numFmtId="9" fontId="0" fillId="0" borderId="0" xfId="68" applyFont="1" applyAlignment="1">
      <alignment wrapText="1"/>
    </xf>
    <xf numFmtId="9" fontId="0" fillId="0" borderId="0" xfId="68" applyFont="1" applyAlignment="1"/>
    <xf numFmtId="9" fontId="19" fillId="0" borderId="0" xfId="68" applyFont="1"/>
    <xf numFmtId="164" fontId="0" fillId="0" borderId="0" xfId="68" applyNumberFormat="1" applyFont="1"/>
    <xf numFmtId="164" fontId="0" fillId="0" borderId="0" xfId="34" applyNumberFormat="1" applyFont="1"/>
    <xf numFmtId="0" fontId="28" fillId="0" borderId="6" xfId="0" applyFont="1" applyBorder="1"/>
    <xf numFmtId="0" fontId="28" fillId="0" borderId="2" xfId="0" applyFont="1" applyBorder="1"/>
    <xf numFmtId="0" fontId="16" fillId="0" borderId="6" xfId="0" applyFont="1" applyBorder="1"/>
    <xf numFmtId="0" fontId="16" fillId="0" borderId="2" xfId="0" applyFont="1" applyBorder="1"/>
    <xf numFmtId="164" fontId="28" fillId="0" borderId="5" xfId="34" applyNumberFormat="1" applyFont="1" applyBorder="1"/>
    <xf numFmtId="164" fontId="28" fillId="0" borderId="5" xfId="0" applyNumberFormat="1" applyFont="1" applyBorder="1"/>
    <xf numFmtId="164" fontId="28" fillId="0" borderId="14" xfId="34" applyNumberFormat="1" applyFont="1" applyBorder="1"/>
    <xf numFmtId="164" fontId="28" fillId="0" borderId="14" xfId="34" applyNumberFormat="1" applyFont="1" applyFill="1" applyBorder="1" applyAlignment="1"/>
    <xf numFmtId="164" fontId="62" fillId="0" borderId="5" xfId="34" applyNumberFormat="1" applyFont="1" applyFill="1" applyBorder="1"/>
    <xf numFmtId="9" fontId="28" fillId="0" borderId="37" xfId="68" applyFont="1" applyFill="1" applyBorder="1" applyAlignment="1">
      <alignment horizontal="center"/>
    </xf>
    <xf numFmtId="164" fontId="28" fillId="0" borderId="3" xfId="34" applyNumberFormat="1" applyFont="1" applyBorder="1"/>
    <xf numFmtId="164" fontId="28" fillId="0" borderId="3" xfId="0" applyNumberFormat="1" applyFont="1" applyBorder="1"/>
    <xf numFmtId="164" fontId="28" fillId="0" borderId="5" xfId="0" applyNumberFormat="1" applyFont="1" applyFill="1" applyBorder="1"/>
    <xf numFmtId="164" fontId="28" fillId="0" borderId="15" xfId="34" applyNumberFormat="1" applyFont="1" applyFill="1" applyBorder="1" applyAlignment="1"/>
    <xf numFmtId="164" fontId="62" fillId="0" borderId="3" xfId="34" applyNumberFormat="1" applyFont="1" applyFill="1" applyBorder="1"/>
    <xf numFmtId="164" fontId="16" fillId="0" borderId="5" xfId="34" applyNumberFormat="1" applyFont="1" applyBorder="1"/>
    <xf numFmtId="164" fontId="16" fillId="0" borderId="5" xfId="0" applyNumberFormat="1" applyFont="1" applyBorder="1"/>
    <xf numFmtId="164" fontId="28" fillId="0" borderId="38" xfId="34" applyNumberFormat="1" applyFont="1" applyFill="1" applyBorder="1" applyAlignment="1"/>
    <xf numFmtId="164" fontId="28" fillId="0" borderId="40" xfId="34" applyNumberFormat="1" applyFont="1" applyFill="1" applyBorder="1" applyAlignment="1"/>
    <xf numFmtId="9" fontId="15" fillId="0" borderId="0" xfId="68" applyFont="1"/>
    <xf numFmtId="0" fontId="30" fillId="0" borderId="2" xfId="0" applyFont="1" applyBorder="1" applyAlignment="1">
      <alignment horizontal="right"/>
    </xf>
    <xf numFmtId="0" fontId="16" fillId="0" borderId="5" xfId="0" applyFont="1" applyFill="1" applyBorder="1" applyAlignment="1">
      <alignment horizontal="center"/>
    </xf>
    <xf numFmtId="0" fontId="19" fillId="0" borderId="2" xfId="0" applyFont="1" applyBorder="1" applyAlignment="1">
      <alignment horizontal="right"/>
    </xf>
    <xf numFmtId="164" fontId="19" fillId="0" borderId="5" xfId="34" applyNumberFormat="1" applyFont="1" applyBorder="1"/>
    <xf numFmtId="164" fontId="19" fillId="0" borderId="5" xfId="0" applyNumberFormat="1" applyFont="1" applyBorder="1"/>
    <xf numFmtId="164" fontId="19" fillId="0" borderId="14" xfId="34" applyNumberFormat="1" applyFont="1" applyFill="1" applyBorder="1" applyAlignment="1"/>
    <xf numFmtId="164" fontId="63" fillId="0" borderId="5" xfId="34" applyNumberFormat="1" applyFont="1" applyFill="1" applyBorder="1"/>
    <xf numFmtId="9" fontId="19" fillId="0" borderId="37" xfId="68" applyFont="1" applyFill="1" applyBorder="1" applyAlignment="1">
      <alignment horizontal="center"/>
    </xf>
    <xf numFmtId="164" fontId="19" fillId="0" borderId="5" xfId="38" applyNumberFormat="1" applyFont="1" applyBorder="1"/>
    <xf numFmtId="0" fontId="19" fillId="0" borderId="6" xfId="0" applyFont="1" applyBorder="1" applyAlignment="1">
      <alignment horizontal="right"/>
    </xf>
    <xf numFmtId="44" fontId="28" fillId="0" borderId="5" xfId="34" applyFont="1" applyBorder="1"/>
    <xf numFmtId="166" fontId="0" fillId="0" borderId="33" xfId="70" applyNumberFormat="1" applyFont="1" applyBorder="1" applyAlignment="1">
      <alignment horizontal="center"/>
    </xf>
    <xf numFmtId="166" fontId="0" fillId="0" borderId="50" xfId="70" applyNumberFormat="1" applyFont="1" applyBorder="1" applyAlignment="1">
      <alignment horizontal="center"/>
    </xf>
    <xf numFmtId="164" fontId="28" fillId="0" borderId="6" xfId="38" applyNumberFormat="1" applyFont="1" applyFill="1" applyBorder="1"/>
    <xf numFmtId="164" fontId="28" fillId="0" borderId="5" xfId="38" applyNumberFormat="1" applyFont="1" applyBorder="1"/>
    <xf numFmtId="9" fontId="16" fillId="0" borderId="0" xfId="68" applyFont="1"/>
    <xf numFmtId="164" fontId="16" fillId="0" borderId="0" xfId="0" applyNumberFormat="1" applyFont="1"/>
    <xf numFmtId="164" fontId="28" fillId="0" borderId="6" xfId="34" applyNumberFormat="1" applyFont="1" applyFill="1" applyBorder="1"/>
    <xf numFmtId="44" fontId="18" fillId="6" borderId="9" xfId="34" applyFont="1" applyFill="1" applyBorder="1" applyAlignment="1">
      <alignment horizontal="center"/>
    </xf>
    <xf numFmtId="44" fontId="28" fillId="5" borderId="74" xfId="34" applyFont="1" applyFill="1" applyBorder="1" applyAlignment="1">
      <alignment horizontal="center" vertical="center" wrapText="1"/>
    </xf>
    <xf numFmtId="44" fontId="0" fillId="0" borderId="75" xfId="34" applyFont="1" applyFill="1" applyBorder="1" applyAlignment="1"/>
    <xf numFmtId="44" fontId="28" fillId="0" borderId="38" xfId="34" applyFont="1" applyFill="1" applyBorder="1" applyAlignment="1">
      <alignment horizontal="center"/>
    </xf>
    <xf numFmtId="44" fontId="19" fillId="0" borderId="38" xfId="34" applyFont="1" applyFill="1" applyBorder="1" applyAlignment="1">
      <alignment horizontal="center"/>
    </xf>
    <xf numFmtId="44" fontId="30" fillId="0" borderId="38" xfId="34" applyFont="1" applyFill="1" applyBorder="1" applyAlignment="1">
      <alignment horizontal="center"/>
    </xf>
    <xf numFmtId="44" fontId="30" fillId="0" borderId="40" xfId="34" applyFont="1" applyFill="1" applyBorder="1" applyAlignment="1">
      <alignment horizontal="center"/>
    </xf>
    <xf numFmtId="44" fontId="19" fillId="0" borderId="0" xfId="34" applyFont="1"/>
    <xf numFmtId="0" fontId="0" fillId="0" borderId="39" xfId="0" applyBorder="1"/>
    <xf numFmtId="44" fontId="28" fillId="0" borderId="14" xfId="34" applyFont="1" applyFill="1" applyBorder="1" applyAlignment="1">
      <alignment horizontal="center"/>
    </xf>
    <xf numFmtId="44" fontId="19" fillId="0" borderId="14" xfId="34" applyFont="1" applyFill="1" applyBorder="1" applyAlignment="1">
      <alignment horizontal="center"/>
    </xf>
    <xf numFmtId="44" fontId="30" fillId="0" borderId="45" xfId="34" applyFont="1" applyFill="1" applyBorder="1" applyAlignment="1">
      <alignment horizontal="center"/>
    </xf>
    <xf numFmtId="44" fontId="16" fillId="0" borderId="1" xfId="34" applyFont="1" applyBorder="1"/>
    <xf numFmtId="165" fontId="0" fillId="0" borderId="13" xfId="28" applyNumberFormat="1" applyFont="1" applyFill="1" applyBorder="1" applyAlignment="1">
      <alignment wrapText="1"/>
    </xf>
    <xf numFmtId="0" fontId="0" fillId="0" borderId="0" xfId="0"/>
    <xf numFmtId="0" fontId="14" fillId="0" borderId="0" xfId="55" applyFont="1"/>
    <xf numFmtId="164" fontId="28" fillId="0" borderId="5" xfId="38" applyNumberFormat="1" applyFont="1" applyFill="1" applyBorder="1"/>
    <xf numFmtId="164" fontId="19" fillId="0" borderId="5" xfId="38" applyNumberFormat="1" applyFont="1" applyFill="1" applyBorder="1"/>
    <xf numFmtId="164" fontId="30" fillId="0" borderId="5" xfId="38" applyNumberFormat="1" applyFont="1" applyFill="1" applyBorder="1"/>
    <xf numFmtId="44" fontId="19" fillId="0" borderId="5" xfId="0" applyNumberFormat="1" applyFont="1" applyFill="1" applyBorder="1"/>
    <xf numFmtId="164" fontId="19" fillId="0" borderId="0" xfId="0" applyNumberFormat="1" applyFont="1"/>
    <xf numFmtId="44" fontId="16" fillId="0" borderId="0" xfId="0" applyNumberFormat="1" applyFont="1"/>
    <xf numFmtId="44" fontId="19" fillId="0" borderId="0" xfId="0" applyNumberFormat="1" applyFont="1"/>
    <xf numFmtId="165" fontId="0" fillId="0" borderId="0" xfId="0" applyNumberFormat="1" applyFont="1" applyFill="1" applyBorder="1" applyAlignment="1">
      <alignment horizontal="center" vertical="center" wrapText="1"/>
    </xf>
    <xf numFmtId="0" fontId="16" fillId="40" borderId="48" xfId="0" applyFont="1" applyFill="1" applyBorder="1" applyAlignment="1">
      <alignment horizontal="center" vertical="center" wrapText="1"/>
    </xf>
    <xf numFmtId="0" fontId="16" fillId="0" borderId="49" xfId="0" applyFont="1" applyBorder="1"/>
    <xf numFmtId="165" fontId="16" fillId="0" borderId="0" xfId="28" applyNumberFormat="1" applyFont="1" applyFill="1" applyBorder="1"/>
    <xf numFmtId="0" fontId="16" fillId="6" borderId="11" xfId="0" applyFont="1" applyFill="1" applyBorder="1" applyAlignment="1">
      <alignment horizontal="center" vertical="center"/>
    </xf>
    <xf numFmtId="0" fontId="16" fillId="39" borderId="4" xfId="0" applyFont="1" applyFill="1" applyBorder="1" applyAlignment="1">
      <alignment horizontal="center" vertical="center" wrapText="1"/>
    </xf>
    <xf numFmtId="0" fontId="16" fillId="39" borderId="8" xfId="0" applyFont="1" applyFill="1" applyBorder="1" applyAlignment="1">
      <alignment horizontal="center" vertical="center" wrapText="1"/>
    </xf>
    <xf numFmtId="0" fontId="30" fillId="0" borderId="0" xfId="0" applyFont="1" applyBorder="1" applyAlignment="1">
      <alignment horizontal="center" wrapText="1"/>
    </xf>
    <xf numFmtId="0" fontId="19" fillId="0" borderId="0" xfId="0" applyFont="1" applyBorder="1" applyAlignment="1">
      <alignment horizontal="center" vertical="center"/>
    </xf>
    <xf numFmtId="0" fontId="0" fillId="0" borderId="0" xfId="0" applyFill="1"/>
    <xf numFmtId="0" fontId="16" fillId="0" borderId="30" xfId="0" applyFont="1" applyBorder="1"/>
    <xf numFmtId="0" fontId="28" fillId="5" borderId="52" xfId="0" applyFont="1" applyFill="1" applyBorder="1" applyAlignment="1">
      <alignment horizontal="center" vertical="center" wrapText="1"/>
    </xf>
    <xf numFmtId="164" fontId="30" fillId="0" borderId="17" xfId="0" applyNumberFormat="1" applyFont="1" applyFill="1" applyBorder="1"/>
    <xf numFmtId="0" fontId="16" fillId="42" borderId="48" xfId="0" applyFont="1" applyFill="1" applyBorder="1" applyAlignment="1">
      <alignment horizontal="center" vertical="center"/>
    </xf>
    <xf numFmtId="0" fontId="16" fillId="0" borderId="18" xfId="0" applyFont="1" applyBorder="1"/>
    <xf numFmtId="0" fontId="16" fillId="0" borderId="18" xfId="0" applyFont="1" applyFill="1" applyBorder="1"/>
    <xf numFmtId="0" fontId="16" fillId="6" borderId="11" xfId="0" applyFont="1" applyFill="1" applyBorder="1" applyAlignment="1">
      <alignment horizontal="center" vertical="center"/>
    </xf>
    <xf numFmtId="164" fontId="16" fillId="40" borderId="77" xfId="0" applyNumberFormat="1" applyFont="1" applyFill="1" applyBorder="1"/>
    <xf numFmtId="9" fontId="16" fillId="0" borderId="54" xfId="68" applyNumberFormat="1" applyFont="1" applyFill="1" applyBorder="1" applyAlignment="1">
      <alignment horizontal="center"/>
    </xf>
    <xf numFmtId="0" fontId="16" fillId="0" borderId="29" xfId="0" applyFont="1" applyBorder="1"/>
    <xf numFmtId="164" fontId="30" fillId="0" borderId="36" xfId="34" applyNumberFormat="1" applyFont="1" applyBorder="1"/>
    <xf numFmtId="0" fontId="16" fillId="0" borderId="64" xfId="0" applyFont="1" applyBorder="1"/>
    <xf numFmtId="164" fontId="16" fillId="0" borderId="0" xfId="0" applyNumberFormat="1" applyFont="1" applyBorder="1"/>
    <xf numFmtId="164" fontId="16" fillId="0" borderId="0" xfId="34" applyNumberFormat="1" applyFont="1" applyBorder="1"/>
    <xf numFmtId="164" fontId="33" fillId="0" borderId="0" xfId="34" applyNumberFormat="1" applyFont="1" applyFill="1" applyBorder="1"/>
    <xf numFmtId="9" fontId="16" fillId="0" borderId="0" xfId="68" applyNumberFormat="1" applyFont="1" applyFill="1" applyBorder="1" applyAlignment="1">
      <alignment horizontal="center"/>
    </xf>
    <xf numFmtId="164" fontId="16" fillId="0" borderId="0" xfId="0" applyNumberFormat="1" applyFont="1" applyFill="1" applyBorder="1"/>
    <xf numFmtId="0" fontId="16" fillId="0" borderId="14" xfId="0" applyFont="1" applyBorder="1"/>
    <xf numFmtId="166" fontId="19" fillId="0" borderId="0" xfId="68" applyNumberFormat="1" applyFont="1"/>
    <xf numFmtId="0" fontId="67" fillId="0" borderId="0" xfId="0" applyFont="1"/>
    <xf numFmtId="164" fontId="28" fillId="0" borderId="14" xfId="38" applyNumberFormat="1" applyFont="1" applyFill="1" applyBorder="1" applyAlignment="1"/>
    <xf numFmtId="164" fontId="30" fillId="0" borderId="14" xfId="38" applyNumberFormat="1" applyFont="1" applyFill="1" applyBorder="1" applyAlignment="1"/>
    <xf numFmtId="164" fontId="19" fillId="0" borderId="14" xfId="38" applyNumberFormat="1" applyFont="1" applyFill="1" applyBorder="1" applyAlignment="1"/>
    <xf numFmtId="164" fontId="28" fillId="0" borderId="38" xfId="38" applyNumberFormat="1" applyFont="1" applyFill="1" applyBorder="1" applyAlignment="1"/>
    <xf numFmtId="164" fontId="28" fillId="0" borderId="40" xfId="38" applyNumberFormat="1" applyFont="1" applyFill="1" applyBorder="1" applyAlignment="1"/>
    <xf numFmtId="44" fontId="0" fillId="0" borderId="0" xfId="34" applyFont="1" applyAlignment="1"/>
    <xf numFmtId="0" fontId="16" fillId="40" borderId="48" xfId="0" applyFont="1" applyFill="1" applyBorder="1" applyAlignment="1">
      <alignment horizontal="center" vertical="center"/>
    </xf>
    <xf numFmtId="0" fontId="16" fillId="0" borderId="31" xfId="0" applyFont="1" applyBorder="1"/>
    <xf numFmtId="44" fontId="0" fillId="0" borderId="5" xfId="34" applyFont="1" applyBorder="1"/>
    <xf numFmtId="44" fontId="0" fillId="0" borderId="37" xfId="34" applyFont="1" applyBorder="1"/>
    <xf numFmtId="44" fontId="0" fillId="0" borderId="13" xfId="34" applyFont="1" applyBorder="1"/>
    <xf numFmtId="44" fontId="0" fillId="0" borderId="50" xfId="34" applyFont="1" applyBorder="1"/>
    <xf numFmtId="44" fontId="0" fillId="0" borderId="10" xfId="34" applyFont="1" applyBorder="1"/>
    <xf numFmtId="44" fontId="0" fillId="0" borderId="41" xfId="34" applyFont="1" applyBorder="1"/>
    <xf numFmtId="0" fontId="16" fillId="0" borderId="0" xfId="0" applyFont="1" applyBorder="1" applyAlignment="1">
      <alignment horizontal="left"/>
    </xf>
    <xf numFmtId="0" fontId="0" fillId="0" borderId="79" xfId="0" applyFont="1" applyBorder="1"/>
    <xf numFmtId="165" fontId="0" fillId="0" borderId="79" xfId="28" applyNumberFormat="1" applyFont="1" applyBorder="1" applyAlignment="1">
      <alignment horizontal="right"/>
    </xf>
    <xf numFmtId="165" fontId="0" fillId="0" borderId="79" xfId="28" applyNumberFormat="1" applyFont="1" applyFill="1" applyBorder="1" applyAlignment="1">
      <alignment horizontal="right" vertical="center" wrapText="1"/>
    </xf>
    <xf numFmtId="0" fontId="15" fillId="0" borderId="10" xfId="28" applyNumberFormat="1" applyFont="1" applyBorder="1"/>
    <xf numFmtId="165" fontId="66" fillId="0" borderId="80" xfId="28" applyNumberFormat="1" applyFont="1" applyBorder="1" applyAlignment="1">
      <alignment horizontal="right"/>
    </xf>
    <xf numFmtId="0" fontId="15" fillId="0" borderId="80" xfId="28" applyNumberFormat="1" applyFont="1" applyBorder="1"/>
    <xf numFmtId="165" fontId="0" fillId="0" borderId="19" xfId="28" applyNumberFormat="1" applyFont="1" applyBorder="1" applyAlignment="1">
      <alignment horizontal="right"/>
    </xf>
    <xf numFmtId="0" fontId="16" fillId="0" borderId="81" xfId="0" applyFont="1" applyFill="1" applyBorder="1"/>
    <xf numFmtId="0" fontId="65" fillId="0" borderId="83" xfId="0" applyFont="1" applyBorder="1"/>
    <xf numFmtId="0" fontId="0" fillId="0" borderId="41" xfId="0" applyBorder="1"/>
    <xf numFmtId="0" fontId="0" fillId="0" borderId="82" xfId="0" applyFont="1" applyBorder="1"/>
    <xf numFmtId="0" fontId="16" fillId="0" borderId="85" xfId="0" applyFont="1" applyBorder="1"/>
    <xf numFmtId="0" fontId="0" fillId="0" borderId="84" xfId="0" applyBorder="1"/>
    <xf numFmtId="165" fontId="0" fillId="0" borderId="33" xfId="28" applyNumberFormat="1" applyFont="1" applyBorder="1"/>
    <xf numFmtId="165" fontId="0" fillId="0" borderId="82" xfId="28" applyNumberFormat="1" applyFont="1" applyBorder="1"/>
    <xf numFmtId="165" fontId="0" fillId="0" borderId="82" xfId="28" applyNumberFormat="1" applyFont="1" applyFill="1" applyBorder="1" applyAlignment="1">
      <alignment horizontal="right" vertical="center" wrapText="1"/>
    </xf>
    <xf numFmtId="165" fontId="66" fillId="0" borderId="84" xfId="28" applyNumberFormat="1" applyFont="1" applyBorder="1" applyAlignment="1">
      <alignment horizontal="right"/>
    </xf>
    <xf numFmtId="164" fontId="30" fillId="0" borderId="84" xfId="38" applyNumberFormat="1" applyFont="1" applyBorder="1"/>
    <xf numFmtId="164" fontId="30" fillId="0" borderId="16" xfId="38" applyNumberFormat="1" applyFont="1" applyFill="1" applyBorder="1" applyAlignment="1"/>
    <xf numFmtId="44" fontId="69" fillId="0" borderId="0" xfId="34" applyFont="1"/>
    <xf numFmtId="0" fontId="69" fillId="0" borderId="0" xfId="0" applyFont="1"/>
    <xf numFmtId="9" fontId="69" fillId="0" borderId="0" xfId="68" applyFont="1"/>
    <xf numFmtId="0" fontId="70" fillId="0" borderId="0" xfId="0" applyFont="1" applyFill="1" applyBorder="1"/>
    <xf numFmtId="0" fontId="70" fillId="0" borderId="0" xfId="0" applyFont="1"/>
    <xf numFmtId="164" fontId="70" fillId="0" borderId="0" xfId="68" applyNumberFormat="1" applyFont="1" applyFill="1" applyBorder="1"/>
    <xf numFmtId="164" fontId="70" fillId="0" borderId="0" xfId="0" applyNumberFormat="1" applyFont="1"/>
    <xf numFmtId="44" fontId="16" fillId="0" borderId="0" xfId="0" applyNumberFormat="1" applyFont="1" applyFill="1" applyBorder="1"/>
    <xf numFmtId="164" fontId="30" fillId="0" borderId="0" xfId="34" applyNumberFormat="1" applyFont="1" applyBorder="1"/>
    <xf numFmtId="9" fontId="0" fillId="0" borderId="0" xfId="0" applyNumberFormat="1"/>
    <xf numFmtId="164" fontId="31" fillId="0" borderId="10" xfId="34" applyNumberFormat="1" applyFont="1" applyFill="1" applyBorder="1"/>
    <xf numFmtId="9" fontId="30" fillId="0" borderId="41" xfId="68" applyFont="1" applyFill="1" applyBorder="1" applyAlignment="1">
      <alignment horizontal="center"/>
    </xf>
    <xf numFmtId="0" fontId="16" fillId="0" borderId="86" xfId="0" applyFont="1" applyBorder="1"/>
    <xf numFmtId="0" fontId="16" fillId="0" borderId="61" xfId="0" applyFont="1" applyBorder="1"/>
    <xf numFmtId="0" fontId="16" fillId="0" borderId="83" xfId="0" applyFont="1" applyBorder="1"/>
    <xf numFmtId="0" fontId="0" fillId="0" borderId="0" xfId="0" applyBorder="1"/>
    <xf numFmtId="0" fontId="28" fillId="40" borderId="21" xfId="0" applyFont="1" applyFill="1" applyBorder="1" applyAlignment="1">
      <alignment horizontal="center" vertical="center" wrapText="1"/>
    </xf>
    <xf numFmtId="0" fontId="28" fillId="40" borderId="22" xfId="0" applyFont="1" applyFill="1" applyBorder="1" applyAlignment="1">
      <alignment horizontal="center" vertical="center" wrapText="1"/>
    </xf>
    <xf numFmtId="0" fontId="28" fillId="40" borderId="23" xfId="0" applyFont="1" applyFill="1" applyBorder="1" applyAlignment="1">
      <alignment horizontal="center" vertical="center" wrapText="1"/>
    </xf>
    <xf numFmtId="0" fontId="0" fillId="0" borderId="47" xfId="0" applyBorder="1"/>
    <xf numFmtId="164" fontId="30" fillId="0" borderId="87" xfId="38" applyNumberFormat="1" applyFont="1" applyBorder="1"/>
    <xf numFmtId="164" fontId="30" fillId="0" borderId="18" xfId="38" applyNumberFormat="1" applyFont="1" applyBorder="1"/>
    <xf numFmtId="164" fontId="30" fillId="0" borderId="19" xfId="38" applyNumberFormat="1" applyFont="1" applyBorder="1"/>
    <xf numFmtId="164" fontId="30" fillId="0" borderId="33" xfId="38" applyNumberFormat="1" applyFont="1" applyBorder="1"/>
    <xf numFmtId="164" fontId="30" fillId="0" borderId="81" xfId="38" applyNumberFormat="1" applyFont="1" applyBorder="1"/>
    <xf numFmtId="164" fontId="30" fillId="0" borderId="82" xfId="38" applyNumberFormat="1" applyFont="1" applyBorder="1"/>
    <xf numFmtId="164" fontId="30" fillId="0" borderId="85" xfId="38" applyNumberFormat="1" applyFont="1" applyBorder="1"/>
    <xf numFmtId="164" fontId="30" fillId="0" borderId="80" xfId="38" applyNumberFormat="1" applyFont="1" applyBorder="1"/>
    <xf numFmtId="164" fontId="16" fillId="0" borderId="27" xfId="0" applyNumberFormat="1" applyFont="1" applyBorder="1"/>
    <xf numFmtId="164" fontId="28" fillId="0" borderId="52" xfId="0" applyNumberFormat="1" applyFont="1" applyBorder="1"/>
    <xf numFmtId="164" fontId="28" fillId="0" borderId="1" xfId="0" applyNumberFormat="1" applyFont="1" applyBorder="1"/>
    <xf numFmtId="164" fontId="62" fillId="0" borderId="1" xfId="34" applyNumberFormat="1" applyFont="1" applyFill="1" applyBorder="1"/>
    <xf numFmtId="9" fontId="28" fillId="0" borderId="8" xfId="68" applyFont="1" applyFill="1" applyBorder="1" applyAlignment="1">
      <alignment horizontal="center"/>
    </xf>
    <xf numFmtId="0" fontId="16" fillId="0" borderId="76" xfId="0" applyFont="1" applyBorder="1" applyAlignment="1">
      <alignment horizontal="right"/>
    </xf>
    <xf numFmtId="0" fontId="16" fillId="0" borderId="11" xfId="0" applyFont="1" applyFill="1" applyBorder="1" applyAlignment="1">
      <alignment horizontal="right"/>
    </xf>
    <xf numFmtId="0" fontId="16" fillId="0" borderId="46" xfId="0" applyFont="1" applyBorder="1" applyAlignment="1">
      <alignment horizontal="right"/>
    </xf>
    <xf numFmtId="0" fontId="16" fillId="0" borderId="48" xfId="0" applyFont="1" applyBorder="1" applyAlignment="1">
      <alignment horizontal="right"/>
    </xf>
    <xf numFmtId="164" fontId="28" fillId="0" borderId="81" xfId="0" applyNumberFormat="1" applyFont="1" applyBorder="1"/>
    <xf numFmtId="164" fontId="28" fillId="0" borderId="87" xfId="0" applyNumberFormat="1" applyFont="1" applyBorder="1"/>
    <xf numFmtId="164" fontId="28" fillId="0" borderId="82" xfId="0" applyNumberFormat="1" applyFont="1" applyBorder="1"/>
    <xf numFmtId="164" fontId="28" fillId="0" borderId="7" xfId="0" applyNumberFormat="1" applyFont="1" applyBorder="1"/>
    <xf numFmtId="164" fontId="28" fillId="0" borderId="48" xfId="0" applyNumberFormat="1" applyFont="1" applyBorder="1"/>
    <xf numFmtId="44" fontId="40" fillId="0" borderId="0" xfId="34" applyFont="1" applyAlignment="1"/>
    <xf numFmtId="164" fontId="28" fillId="40" borderId="48" xfId="0" applyNumberFormat="1" applyFont="1" applyFill="1" applyBorder="1"/>
    <xf numFmtId="164" fontId="30" fillId="0" borderId="90" xfId="34" applyNumberFormat="1" applyFont="1" applyBorder="1"/>
    <xf numFmtId="0" fontId="28" fillId="40" borderId="24" xfId="0" applyFont="1" applyFill="1" applyBorder="1" applyAlignment="1">
      <alignment horizontal="center" vertical="center" wrapText="1"/>
    </xf>
    <xf numFmtId="164" fontId="30" fillId="0" borderId="20" xfId="38" applyNumberFormat="1" applyFont="1" applyBorder="1"/>
    <xf numFmtId="164" fontId="30" fillId="0" borderId="91" xfId="38" applyNumberFormat="1" applyFont="1" applyBorder="1"/>
    <xf numFmtId="164" fontId="30" fillId="0" borderId="92" xfId="38" applyNumberFormat="1" applyFont="1" applyBorder="1"/>
    <xf numFmtId="0" fontId="68" fillId="43" borderId="78" xfId="0" applyNumberFormat="1" applyFont="1" applyFill="1" applyBorder="1"/>
    <xf numFmtId="164" fontId="30" fillId="0" borderId="39" xfId="34" applyNumberFormat="1" applyFont="1" applyBorder="1"/>
    <xf numFmtId="164" fontId="30" fillId="0" borderId="39" xfId="38" applyNumberFormat="1" applyFont="1" applyBorder="1"/>
    <xf numFmtId="164" fontId="31" fillId="0" borderId="3" xfId="34" applyNumberFormat="1" applyFont="1" applyFill="1" applyBorder="1"/>
    <xf numFmtId="0" fontId="16" fillId="0" borderId="11" xfId="0" applyFont="1" applyBorder="1" applyAlignment="1">
      <alignment horizontal="right"/>
    </xf>
    <xf numFmtId="164" fontId="28" fillId="0" borderId="27" xfId="0" applyNumberFormat="1" applyFont="1" applyFill="1" applyBorder="1"/>
    <xf numFmtId="164" fontId="28" fillId="0" borderId="48" xfId="0" applyNumberFormat="1" applyFont="1" applyFill="1" applyBorder="1"/>
    <xf numFmtId="9" fontId="28" fillId="0" borderId="48" xfId="68" applyFont="1" applyFill="1" applyBorder="1" applyAlignment="1">
      <alignment horizontal="center"/>
    </xf>
    <xf numFmtId="44" fontId="28" fillId="0" borderId="5" xfId="0" applyNumberFormat="1" applyFont="1" applyFill="1" applyBorder="1"/>
    <xf numFmtId="10" fontId="0" fillId="0" borderId="0" xfId="68" applyNumberFormat="1" applyFont="1"/>
    <xf numFmtId="0" fontId="71" fillId="0" borderId="0" xfId="0" applyFont="1"/>
    <xf numFmtId="164" fontId="30" fillId="40" borderId="42" xfId="0" applyNumberFormat="1" applyFont="1" applyFill="1" applyBorder="1"/>
    <xf numFmtId="164" fontId="30" fillId="40" borderId="19" xfId="0" applyNumberFormat="1" applyFont="1" applyFill="1" applyBorder="1"/>
    <xf numFmtId="164" fontId="30" fillId="40" borderId="10" xfId="0" applyNumberFormat="1" applyFont="1" applyFill="1" applyBorder="1"/>
    <xf numFmtId="164" fontId="30" fillId="40" borderId="5" xfId="0" applyNumberFormat="1" applyFont="1" applyFill="1" applyBorder="1"/>
    <xf numFmtId="44" fontId="0" fillId="0" borderId="16" xfId="34" applyFont="1" applyBorder="1"/>
    <xf numFmtId="44" fontId="0" fillId="0" borderId="91" xfId="34" applyFont="1" applyBorder="1"/>
    <xf numFmtId="44" fontId="0" fillId="0" borderId="92" xfId="34" applyFont="1" applyBorder="1"/>
    <xf numFmtId="0" fontId="16" fillId="40" borderId="28" xfId="0" applyFont="1" applyFill="1" applyBorder="1" applyAlignment="1">
      <alignment horizontal="center" vertical="center"/>
    </xf>
    <xf numFmtId="44" fontId="0" fillId="0" borderId="44" xfId="34" applyFont="1" applyBorder="1" applyAlignment="1">
      <alignment vertical="center" wrapText="1"/>
    </xf>
    <xf numFmtId="44" fontId="0" fillId="0" borderId="43" xfId="0" applyNumberFormat="1" applyFont="1" applyFill="1" applyBorder="1"/>
    <xf numFmtId="164" fontId="30" fillId="0" borderId="22" xfId="34" applyNumberFormat="1" applyFont="1" applyBorder="1"/>
    <xf numFmtId="44" fontId="0" fillId="0" borderId="42" xfId="0" applyNumberFormat="1" applyFont="1" applyFill="1" applyBorder="1"/>
    <xf numFmtId="10" fontId="0" fillId="0" borderId="0" xfId="0" applyNumberFormat="1"/>
    <xf numFmtId="44" fontId="68" fillId="43" borderId="78" xfId="34" applyFont="1" applyFill="1" applyBorder="1"/>
    <xf numFmtId="164" fontId="0" fillId="40" borderId="43" xfId="34" applyNumberFormat="1" applyFont="1" applyFill="1" applyBorder="1"/>
    <xf numFmtId="164" fontId="30" fillId="0" borderId="17" xfId="34" applyNumberFormat="1" applyFont="1" applyFill="1" applyBorder="1"/>
    <xf numFmtId="164" fontId="0" fillId="40" borderId="42" xfId="34" applyNumberFormat="1" applyFont="1" applyFill="1" applyBorder="1"/>
    <xf numFmtId="0" fontId="7" fillId="0" borderId="0" xfId="55" applyFont="1" applyAlignment="1">
      <alignment wrapText="1"/>
    </xf>
    <xf numFmtId="44" fontId="57" fillId="0" borderId="0" xfId="55" applyNumberFormat="1" applyFont="1" applyAlignment="1">
      <alignment horizontal="right"/>
    </xf>
    <xf numFmtId="9" fontId="27" fillId="0" borderId="0" xfId="68" applyFont="1"/>
    <xf numFmtId="167" fontId="0" fillId="0" borderId="0" xfId="68" applyNumberFormat="1" applyFont="1"/>
    <xf numFmtId="165" fontId="0" fillId="0" borderId="28" xfId="28" applyNumberFormat="1" applyFont="1" applyBorder="1"/>
    <xf numFmtId="165" fontId="0" fillId="0" borderId="43" xfId="28" applyNumberFormat="1" applyFont="1" applyBorder="1"/>
    <xf numFmtId="165" fontId="0" fillId="0" borderId="43" xfId="28" applyNumberFormat="1" applyFont="1" applyFill="1" applyBorder="1" applyAlignment="1">
      <alignment horizontal="right" vertical="center" wrapText="1"/>
    </xf>
    <xf numFmtId="165" fontId="66" fillId="0" borderId="44" xfId="28" applyNumberFormat="1" applyFont="1" applyBorder="1" applyAlignment="1">
      <alignment horizontal="right"/>
    </xf>
    <xf numFmtId="0" fontId="28" fillId="5" borderId="48" xfId="0" applyFont="1" applyFill="1" applyBorder="1" applyAlignment="1">
      <alignment horizontal="center" vertical="center" wrapText="1"/>
    </xf>
    <xf numFmtId="44" fontId="0" fillId="0" borderId="29" xfId="0" applyNumberFormat="1" applyFont="1" applyFill="1" applyBorder="1"/>
    <xf numFmtId="44" fontId="0" fillId="0" borderId="94" xfId="0" applyNumberFormat="1" applyFont="1" applyFill="1" applyBorder="1"/>
    <xf numFmtId="44" fontId="0" fillId="0" borderId="95" xfId="34" applyFont="1" applyBorder="1" applyAlignment="1">
      <alignment vertical="center" wrapText="1"/>
    </xf>
    <xf numFmtId="0" fontId="0" fillId="0" borderId="16" xfId="0" applyBorder="1"/>
    <xf numFmtId="0" fontId="0" fillId="0" borderId="91" xfId="0" applyFont="1" applyBorder="1"/>
    <xf numFmtId="0" fontId="0" fillId="0" borderId="96" xfId="0" applyBorder="1"/>
    <xf numFmtId="0" fontId="0" fillId="0" borderId="42" xfId="0" applyBorder="1"/>
    <xf numFmtId="0" fontId="28" fillId="40" borderId="28" xfId="0" applyFont="1" applyFill="1" applyBorder="1" applyAlignment="1">
      <alignment horizontal="center" vertical="center" wrapText="1"/>
    </xf>
    <xf numFmtId="164" fontId="28" fillId="40" borderId="77" xfId="0" applyNumberFormat="1" applyFont="1" applyFill="1" applyBorder="1"/>
    <xf numFmtId="164" fontId="30" fillId="40" borderId="43" xfId="0" applyNumberFormat="1" applyFont="1" applyFill="1" applyBorder="1"/>
    <xf numFmtId="164" fontId="30" fillId="40" borderId="44" xfId="0" applyNumberFormat="1" applyFont="1" applyFill="1" applyBorder="1"/>
    <xf numFmtId="0" fontId="6" fillId="0" borderId="0" xfId="55" applyFont="1" applyAlignment="1">
      <alignment wrapText="1"/>
    </xf>
    <xf numFmtId="6" fontId="72" fillId="0" borderId="0" xfId="0" applyNumberFormat="1" applyFont="1"/>
    <xf numFmtId="0" fontId="30" fillId="0" borderId="18" xfId="0" applyFont="1" applyBorder="1" applyAlignment="1">
      <alignment horizontal="center"/>
    </xf>
    <xf numFmtId="0" fontId="30" fillId="0" borderId="59" xfId="0" applyFont="1" applyBorder="1" applyAlignment="1">
      <alignment horizontal="center"/>
    </xf>
    <xf numFmtId="44" fontId="68" fillId="43" borderId="78" xfId="0" applyNumberFormat="1" applyFont="1" applyFill="1" applyBorder="1"/>
    <xf numFmtId="0" fontId="58" fillId="0" borderId="99" xfId="0" applyFont="1" applyBorder="1"/>
    <xf numFmtId="44" fontId="58" fillId="0" borderId="99" xfId="0" applyNumberFormat="1" applyFont="1" applyBorder="1"/>
    <xf numFmtId="0" fontId="74" fillId="2" borderId="0" xfId="55" applyFont="1" applyFill="1"/>
    <xf numFmtId="0" fontId="75" fillId="2" borderId="0" xfId="55" applyFont="1" applyFill="1"/>
    <xf numFmtId="0" fontId="75" fillId="0" borderId="0" xfId="55" applyFont="1"/>
    <xf numFmtId="0" fontId="76" fillId="0" borderId="0" xfId="0" applyFont="1"/>
    <xf numFmtId="8" fontId="75" fillId="0" borderId="0" xfId="55" applyNumberFormat="1" applyFont="1" applyAlignment="1">
      <alignment horizontal="right" wrapText="1"/>
    </xf>
    <xf numFmtId="0" fontId="75" fillId="0" borderId="0" xfId="55" applyFont="1" applyFill="1"/>
    <xf numFmtId="44" fontId="75" fillId="0" borderId="0" xfId="55" applyNumberFormat="1" applyFont="1" applyAlignment="1">
      <alignment horizontal="right" wrapText="1"/>
    </xf>
    <xf numFmtId="44" fontId="75" fillId="0" borderId="0" xfId="34" applyFont="1" applyAlignment="1">
      <alignment horizontal="right" wrapText="1"/>
    </xf>
    <xf numFmtId="0" fontId="77" fillId="0" borderId="0" xfId="55" applyFont="1" applyAlignment="1">
      <alignment horizontal="right"/>
    </xf>
    <xf numFmtId="8" fontId="75" fillId="0" borderId="0" xfId="55" applyNumberFormat="1" applyFont="1" applyAlignment="1">
      <alignment horizontal="right"/>
    </xf>
    <xf numFmtId="44" fontId="78" fillId="0" borderId="0" xfId="34" applyFont="1" applyAlignment="1">
      <alignment horizontal="right"/>
    </xf>
    <xf numFmtId="44" fontId="75" fillId="0" borderId="0" xfId="34" applyFont="1"/>
    <xf numFmtId="0" fontId="79" fillId="4" borderId="0" xfId="55" applyFont="1" applyFill="1" applyAlignment="1">
      <alignment horizontal="right"/>
    </xf>
    <xf numFmtId="8" fontId="75" fillId="0" borderId="0" xfId="55" applyNumberFormat="1" applyFont="1"/>
    <xf numFmtId="44" fontId="75" fillId="0" borderId="0" xfId="55" applyNumberFormat="1" applyFont="1"/>
    <xf numFmtId="0" fontId="80" fillId="2" borderId="0" xfId="55" applyFont="1" applyFill="1"/>
    <xf numFmtId="0" fontId="81" fillId="2" borderId="0" xfId="55" applyFont="1" applyFill="1"/>
    <xf numFmtId="0" fontId="81" fillId="0" borderId="0" xfId="55" applyFont="1"/>
    <xf numFmtId="8" fontId="81" fillId="0" borderId="0" xfId="55" applyNumberFormat="1" applyFont="1" applyAlignment="1">
      <alignment horizontal="right" wrapText="1"/>
    </xf>
    <xf numFmtId="0" fontId="82" fillId="0" borderId="0" xfId="55" applyFont="1" applyAlignment="1">
      <alignment horizontal="right"/>
    </xf>
    <xf numFmtId="44" fontId="81" fillId="0" borderId="0" xfId="55" applyNumberFormat="1" applyFont="1" applyAlignment="1">
      <alignment horizontal="right" wrapText="1"/>
    </xf>
    <xf numFmtId="8" fontId="81" fillId="0" borderId="0" xfId="55" applyNumberFormat="1" applyFont="1" applyAlignment="1">
      <alignment horizontal="right"/>
    </xf>
    <xf numFmtId="44" fontId="83" fillId="0" borderId="0" xfId="34" applyFont="1" applyAlignment="1">
      <alignment horizontal="right"/>
    </xf>
    <xf numFmtId="165" fontId="0" fillId="0" borderId="64" xfId="28" applyNumberFormat="1" applyFont="1" applyBorder="1"/>
    <xf numFmtId="165" fontId="0" fillId="0" borderId="94" xfId="28" applyNumberFormat="1" applyFont="1" applyBorder="1"/>
    <xf numFmtId="165" fontId="0" fillId="0" borderId="94" xfId="28" applyNumberFormat="1" applyFont="1" applyFill="1" applyBorder="1" applyAlignment="1">
      <alignment horizontal="right" vertical="center" wrapText="1"/>
    </xf>
    <xf numFmtId="165" fontId="66" fillId="0" borderId="49" xfId="28" applyNumberFormat="1" applyFont="1" applyBorder="1" applyAlignment="1">
      <alignment horizontal="right"/>
    </xf>
    <xf numFmtId="164" fontId="31" fillId="0" borderId="22" xfId="34" applyNumberFormat="1" applyFont="1" applyFill="1" applyBorder="1"/>
    <xf numFmtId="164" fontId="31" fillId="0" borderId="99" xfId="34" applyNumberFormat="1" applyFont="1" applyFill="1" applyBorder="1"/>
    <xf numFmtId="9" fontId="30" fillId="0" borderId="25" xfId="68" applyFont="1" applyFill="1" applyBorder="1" applyAlignment="1">
      <alignment horizontal="center"/>
    </xf>
    <xf numFmtId="9" fontId="30" fillId="0" borderId="93" xfId="68" applyFont="1" applyFill="1" applyBorder="1" applyAlignment="1">
      <alignment horizontal="center"/>
    </xf>
    <xf numFmtId="0" fontId="28" fillId="45" borderId="7" xfId="0" applyFont="1" applyFill="1" applyBorder="1" applyAlignment="1">
      <alignment horizontal="center" vertical="center" wrapText="1"/>
    </xf>
    <xf numFmtId="0" fontId="28" fillId="45" borderId="1" xfId="0" applyFont="1" applyFill="1" applyBorder="1" applyAlignment="1">
      <alignment horizontal="center" vertical="center" wrapText="1"/>
    </xf>
    <xf numFmtId="0" fontId="28" fillId="45" borderId="8" xfId="0" applyFont="1" applyFill="1" applyBorder="1" applyAlignment="1">
      <alignment horizontal="center" vertical="center" wrapText="1"/>
    </xf>
    <xf numFmtId="0" fontId="28" fillId="45" borderId="22" xfId="0" applyFont="1" applyFill="1" applyBorder="1" applyAlignment="1">
      <alignment horizontal="center" vertical="center" wrapText="1"/>
    </xf>
    <xf numFmtId="44" fontId="27" fillId="0" borderId="0" xfId="38" applyFont="1"/>
    <xf numFmtId="44" fontId="73" fillId="0" borderId="0" xfId="38" applyFont="1"/>
    <xf numFmtId="164" fontId="30" fillId="0" borderId="98" xfId="0" applyNumberFormat="1" applyFont="1" applyFill="1" applyBorder="1"/>
    <xf numFmtId="164" fontId="30" fillId="0" borderId="18" xfId="0" applyNumberFormat="1" applyFont="1" applyBorder="1"/>
    <xf numFmtId="164" fontId="30" fillId="0" borderId="19" xfId="34" applyNumberFormat="1" applyFont="1" applyBorder="1"/>
    <xf numFmtId="164" fontId="30" fillId="0" borderId="81" xfId="0" applyNumberFormat="1" applyFont="1" applyBorder="1"/>
    <xf numFmtId="164" fontId="30" fillId="0" borderId="99" xfId="34" applyNumberFormat="1" applyFont="1" applyBorder="1"/>
    <xf numFmtId="164" fontId="30" fillId="0" borderId="99" xfId="34" applyNumberFormat="1" applyFont="1" applyFill="1" applyBorder="1"/>
    <xf numFmtId="9" fontId="30" fillId="0" borderId="82" xfId="68" applyFont="1" applyFill="1" applyBorder="1" applyAlignment="1">
      <alignment horizontal="center"/>
    </xf>
    <xf numFmtId="164" fontId="30" fillId="0" borderId="75" xfId="34" applyNumberFormat="1" applyFont="1" applyBorder="1"/>
    <xf numFmtId="164" fontId="30" fillId="0" borderId="38" xfId="34" applyNumberFormat="1" applyFont="1" applyBorder="1"/>
    <xf numFmtId="164" fontId="30" fillId="0" borderId="40" xfId="34" applyNumberFormat="1" applyFont="1" applyBorder="1"/>
    <xf numFmtId="164" fontId="28" fillId="0" borderId="11" xfId="0" applyNumberFormat="1" applyFont="1" applyFill="1" applyBorder="1"/>
    <xf numFmtId="164" fontId="30" fillId="0" borderId="15" xfId="34" applyNumberFormat="1" applyFont="1" applyBorder="1"/>
    <xf numFmtId="164" fontId="30" fillId="0" borderId="98" xfId="34" applyNumberFormat="1" applyFont="1" applyBorder="1"/>
    <xf numFmtId="164" fontId="16" fillId="40" borderId="46" xfId="0" applyNumberFormat="1" applyFont="1" applyFill="1" applyBorder="1"/>
    <xf numFmtId="164" fontId="30" fillId="0" borderId="29" xfId="0" applyNumberFormat="1" applyFont="1" applyBorder="1"/>
    <xf numFmtId="164" fontId="30" fillId="0" borderId="75" xfId="38" applyNumberFormat="1" applyFont="1" applyFill="1" applyBorder="1" applyAlignment="1"/>
    <xf numFmtId="164" fontId="30" fillId="0" borderId="61" xfId="0" applyNumberFormat="1" applyFont="1" applyBorder="1"/>
    <xf numFmtId="164" fontId="30" fillId="0" borderId="90" xfId="38" applyNumberFormat="1" applyFont="1" applyBorder="1"/>
    <xf numFmtId="164" fontId="30" fillId="0" borderId="76" xfId="0" applyNumberFormat="1" applyFont="1" applyBorder="1"/>
    <xf numFmtId="164" fontId="30" fillId="0" borderId="12" xfId="0" applyNumberFormat="1" applyFont="1" applyBorder="1"/>
    <xf numFmtId="164" fontId="28" fillId="0" borderId="11" xfId="0" applyNumberFormat="1" applyFont="1" applyBorder="1"/>
    <xf numFmtId="0" fontId="19" fillId="0" borderId="25" xfId="0" applyFont="1" applyBorder="1" applyAlignment="1">
      <alignment horizontal="center"/>
    </xf>
    <xf numFmtId="0" fontId="19" fillId="0" borderId="93" xfId="0" applyFont="1" applyBorder="1" applyAlignment="1">
      <alignment horizontal="center"/>
    </xf>
    <xf numFmtId="0" fontId="19" fillId="0" borderId="94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97" xfId="0" applyFont="1" applyBorder="1" applyAlignment="1">
      <alignment horizontal="center"/>
    </xf>
    <xf numFmtId="0" fontId="19" fillId="0" borderId="95" xfId="0" applyFont="1" applyBorder="1" applyAlignment="1">
      <alignment horizontal="center"/>
    </xf>
    <xf numFmtId="0" fontId="0" fillId="0" borderId="29" xfId="0" applyBorder="1"/>
    <xf numFmtId="0" fontId="0" fillId="0" borderId="94" xfId="0" applyBorder="1"/>
    <xf numFmtId="0" fontId="0" fillId="0" borderId="95" xfId="0" applyBorder="1"/>
    <xf numFmtId="0" fontId="0" fillId="0" borderId="100" xfId="0" applyBorder="1"/>
    <xf numFmtId="0" fontId="0" fillId="0" borderId="101" xfId="0" applyBorder="1"/>
    <xf numFmtId="0" fontId="16" fillId="40" borderId="28" xfId="0" applyFont="1" applyFill="1" applyBorder="1" applyAlignment="1">
      <alignment horizontal="center" vertical="center" wrapText="1"/>
    </xf>
    <xf numFmtId="0" fontId="19" fillId="0" borderId="33" xfId="0" applyFont="1" applyBorder="1" applyAlignment="1">
      <alignment horizontal="center"/>
    </xf>
    <xf numFmtId="0" fontId="19" fillId="0" borderId="82" xfId="0" applyFont="1" applyBorder="1" applyAlignment="1">
      <alignment horizontal="center"/>
    </xf>
    <xf numFmtId="0" fontId="19" fillId="0" borderId="84" xfId="0" applyFont="1" applyBorder="1" applyAlignment="1">
      <alignment horizontal="center"/>
    </xf>
    <xf numFmtId="164" fontId="0" fillId="40" borderId="102" xfId="0" applyNumberFormat="1" applyFont="1" applyFill="1" applyBorder="1"/>
    <xf numFmtId="164" fontId="30" fillId="0" borderId="39" xfId="0" applyNumberFormat="1" applyFont="1" applyFill="1" applyBorder="1"/>
    <xf numFmtId="164" fontId="30" fillId="0" borderId="3" xfId="0" applyNumberFormat="1" applyFont="1" applyFill="1" applyBorder="1"/>
    <xf numFmtId="164" fontId="30" fillId="0" borderId="15" xfId="0" applyNumberFormat="1" applyFont="1" applyFill="1" applyBorder="1"/>
    <xf numFmtId="9" fontId="30" fillId="0" borderId="104" xfId="68" applyFont="1" applyFill="1" applyBorder="1" applyAlignment="1">
      <alignment horizontal="center"/>
    </xf>
    <xf numFmtId="0" fontId="16" fillId="0" borderId="4" xfId="0" applyFont="1" applyFill="1" applyBorder="1"/>
    <xf numFmtId="164" fontId="16" fillId="40" borderId="1" xfId="0" applyNumberFormat="1" applyFont="1" applyFill="1" applyBorder="1"/>
    <xf numFmtId="164" fontId="28" fillId="0" borderId="1" xfId="0" applyNumberFormat="1" applyFont="1" applyFill="1" applyBorder="1"/>
    <xf numFmtId="164" fontId="28" fillId="0" borderId="7" xfId="0" applyNumberFormat="1" applyFont="1" applyFill="1" applyBorder="1"/>
    <xf numFmtId="0" fontId="28" fillId="45" borderId="9" xfId="0" applyFont="1" applyFill="1" applyBorder="1" applyAlignment="1">
      <alignment horizontal="center" vertical="center" wrapText="1"/>
    </xf>
    <xf numFmtId="164" fontId="30" fillId="0" borderId="81" xfId="34" applyNumberFormat="1" applyFont="1" applyBorder="1"/>
    <xf numFmtId="164" fontId="30" fillId="0" borderId="51" xfId="34" applyNumberFormat="1" applyFont="1" applyFill="1" applyBorder="1"/>
    <xf numFmtId="164" fontId="30" fillId="0" borderId="10" xfId="34" applyNumberFormat="1" applyFont="1" applyFill="1" applyBorder="1"/>
    <xf numFmtId="164" fontId="30" fillId="0" borderId="10" xfId="0" applyNumberFormat="1" applyFont="1" applyFill="1" applyBorder="1"/>
    <xf numFmtId="164" fontId="30" fillId="0" borderId="16" xfId="0" applyNumberFormat="1" applyFont="1" applyFill="1" applyBorder="1"/>
    <xf numFmtId="164" fontId="30" fillId="0" borderId="12" xfId="34" applyNumberFormat="1" applyFont="1" applyBorder="1"/>
    <xf numFmtId="164" fontId="30" fillId="0" borderId="105" xfId="0" applyNumberFormat="1" applyFont="1" applyBorder="1"/>
    <xf numFmtId="164" fontId="30" fillId="0" borderId="100" xfId="0" applyNumberFormat="1" applyFont="1" applyBorder="1"/>
    <xf numFmtId="164" fontId="30" fillId="0" borderId="102" xfId="0" applyNumberFormat="1" applyFont="1" applyBorder="1"/>
    <xf numFmtId="17" fontId="55" fillId="0" borderId="0" xfId="1563" applyNumberFormat="1" applyFont="1"/>
    <xf numFmtId="0" fontId="5" fillId="0" borderId="0" xfId="1563"/>
    <xf numFmtId="0" fontId="55" fillId="0" borderId="99" xfId="1563" applyFont="1" applyBorder="1"/>
    <xf numFmtId="0" fontId="5" fillId="0" borderId="99" xfId="1563" applyFont="1" applyBorder="1"/>
    <xf numFmtId="10" fontId="0" fillId="0" borderId="99" xfId="1564" applyNumberFormat="1" applyFont="1" applyBorder="1"/>
    <xf numFmtId="0" fontId="5" fillId="0" borderId="99" xfId="1563" applyFont="1" applyBorder="1" applyAlignment="1">
      <alignment horizontal="right"/>
    </xf>
    <xf numFmtId="0" fontId="5" fillId="0" borderId="99" xfId="1563" applyFont="1" applyFill="1" applyBorder="1" applyAlignment="1">
      <alignment horizontal="right"/>
    </xf>
    <xf numFmtId="0" fontId="5" fillId="0" borderId="99" xfId="1563" applyFont="1" applyFill="1" applyBorder="1"/>
    <xf numFmtId="0" fontId="70" fillId="46" borderId="99" xfId="1563" applyFont="1" applyFill="1" applyBorder="1"/>
    <xf numFmtId="0" fontId="55" fillId="44" borderId="99" xfId="1563" applyFont="1" applyFill="1" applyBorder="1"/>
    <xf numFmtId="0" fontId="55" fillId="47" borderId="99" xfId="1563" applyFont="1" applyFill="1" applyBorder="1"/>
    <xf numFmtId="0" fontId="55" fillId="43" borderId="106" xfId="0" applyFont="1" applyFill="1" applyBorder="1"/>
    <xf numFmtId="0" fontId="16" fillId="0" borderId="0" xfId="0" applyFont="1" applyAlignment="1">
      <alignment horizontal="left"/>
    </xf>
    <xf numFmtId="17" fontId="0" fillId="0" borderId="0" xfId="0" applyNumberFormat="1"/>
    <xf numFmtId="0" fontId="30" fillId="0" borderId="99" xfId="0" applyFont="1" applyBorder="1" applyAlignment="1">
      <alignment horizontal="left"/>
    </xf>
    <xf numFmtId="9" fontId="30" fillId="0" borderId="99" xfId="68" applyFont="1" applyBorder="1"/>
    <xf numFmtId="0" fontId="30" fillId="0" borderId="0" xfId="0" applyFont="1"/>
    <xf numFmtId="0" fontId="68" fillId="49" borderId="99" xfId="0" applyFont="1" applyFill="1" applyBorder="1" applyAlignment="1">
      <alignment vertical="center" wrapText="1"/>
    </xf>
    <xf numFmtId="17" fontId="68" fillId="50" borderId="99" xfId="0" applyNumberFormat="1" applyFont="1" applyFill="1" applyBorder="1" applyAlignment="1">
      <alignment horizontal="center" vertical="center"/>
    </xf>
    <xf numFmtId="0" fontId="16" fillId="40" borderId="99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9" fillId="0" borderId="18" xfId="0" applyFont="1" applyBorder="1" applyAlignment="1">
      <alignment horizontal="center"/>
    </xf>
    <xf numFmtId="0" fontId="19" fillId="0" borderId="81" xfId="0" applyFont="1" applyBorder="1" applyAlignment="1">
      <alignment horizontal="center"/>
    </xf>
    <xf numFmtId="0" fontId="19" fillId="0" borderId="85" xfId="0" applyFont="1" applyBorder="1" applyAlignment="1">
      <alignment horizontal="center"/>
    </xf>
    <xf numFmtId="0" fontId="16" fillId="40" borderId="103" xfId="0" applyFont="1" applyFill="1" applyBorder="1" applyAlignment="1">
      <alignment horizontal="center" vertical="center"/>
    </xf>
    <xf numFmtId="0" fontId="16" fillId="40" borderId="64" xfId="0" applyFont="1" applyFill="1" applyBorder="1" applyAlignment="1">
      <alignment horizontal="center" vertical="center"/>
    </xf>
    <xf numFmtId="0" fontId="30" fillId="0" borderId="94" xfId="0" applyFont="1" applyBorder="1" applyAlignment="1">
      <alignment horizontal="center"/>
    </xf>
    <xf numFmtId="0" fontId="30" fillId="0" borderId="94" xfId="0" applyFont="1" applyBorder="1" applyAlignment="1">
      <alignment horizontal="center" wrapText="1"/>
    </xf>
    <xf numFmtId="0" fontId="30" fillId="0" borderId="95" xfId="0" applyFont="1" applyBorder="1" applyAlignment="1">
      <alignment horizontal="center" wrapText="1"/>
    </xf>
    <xf numFmtId="164" fontId="28" fillId="0" borderId="4" xfId="38" applyNumberFormat="1" applyFont="1" applyFill="1" applyBorder="1"/>
    <xf numFmtId="9" fontId="30" fillId="0" borderId="27" xfId="68" applyFont="1" applyFill="1" applyBorder="1" applyAlignment="1">
      <alignment horizontal="center"/>
    </xf>
    <xf numFmtId="0" fontId="68" fillId="43" borderId="106" xfId="0" applyFont="1" applyFill="1" applyBorder="1" applyAlignment="1"/>
    <xf numFmtId="0" fontId="68" fillId="0" borderId="0" xfId="0" applyFont="1" applyAlignment="1">
      <alignment horizontal="left"/>
    </xf>
    <xf numFmtId="0" fontId="0" fillId="0" borderId="0" xfId="0" applyNumberFormat="1" applyAlignment="1"/>
    <xf numFmtId="0" fontId="68" fillId="43" borderId="78" xfId="0" applyFont="1" applyFill="1" applyBorder="1" applyAlignment="1"/>
    <xf numFmtId="0" fontId="68" fillId="43" borderId="78" xfId="0" applyNumberFormat="1" applyFont="1" applyFill="1" applyBorder="1" applyAlignment="1"/>
    <xf numFmtId="44" fontId="68" fillId="43" borderId="106" xfId="34" applyFont="1" applyFill="1" applyBorder="1" applyAlignment="1"/>
    <xf numFmtId="44" fontId="68" fillId="43" borderId="78" xfId="34" applyFont="1" applyFill="1" applyBorder="1" applyAlignment="1"/>
    <xf numFmtId="0" fontId="68" fillId="0" borderId="106" xfId="0" applyFont="1" applyBorder="1" applyAlignment="1">
      <alignment horizontal="left"/>
    </xf>
    <xf numFmtId="164" fontId="30" fillId="0" borderId="2" xfId="34" applyNumberFormat="1" applyFont="1" applyBorder="1"/>
    <xf numFmtId="164" fontId="30" fillId="0" borderId="3" xfId="34" applyNumberFormat="1" applyFont="1" applyFill="1" applyBorder="1"/>
    <xf numFmtId="164" fontId="28" fillId="0" borderId="4" xfId="0" applyNumberFormat="1" applyFont="1" applyFill="1" applyBorder="1"/>
    <xf numFmtId="164" fontId="30" fillId="0" borderId="89" xfId="38" applyNumberFormat="1" applyFont="1" applyFill="1" applyBorder="1" applyAlignment="1"/>
    <xf numFmtId="164" fontId="30" fillId="0" borderId="88" xfId="38" applyNumberFormat="1" applyFont="1" applyFill="1" applyBorder="1"/>
    <xf numFmtId="164" fontId="30" fillId="0" borderId="39" xfId="38" applyNumberFormat="1" applyFont="1" applyFill="1" applyBorder="1"/>
    <xf numFmtId="9" fontId="15" fillId="0" borderId="1" xfId="68" applyFont="1" applyBorder="1" applyAlignment="1">
      <alignment horizontal="center" vertical="center"/>
    </xf>
    <xf numFmtId="9" fontId="15" fillId="0" borderId="1" xfId="68" applyFont="1" applyFill="1" applyBorder="1" applyAlignment="1">
      <alignment horizontal="center" vertical="center"/>
    </xf>
    <xf numFmtId="9" fontId="15" fillId="0" borderId="8" xfId="68" applyFont="1" applyFill="1" applyBorder="1" applyAlignment="1">
      <alignment horizontal="center" vertical="center"/>
    </xf>
    <xf numFmtId="0" fontId="16" fillId="6" borderId="11" xfId="0" applyFont="1" applyFill="1" applyBorder="1" applyAlignment="1">
      <alignment horizontal="center" vertical="center"/>
    </xf>
    <xf numFmtId="0" fontId="28" fillId="40" borderId="48" xfId="0" applyFont="1" applyFill="1" applyBorder="1" applyAlignment="1">
      <alignment horizontal="center" vertical="center" wrapText="1"/>
    </xf>
    <xf numFmtId="164" fontId="30" fillId="40" borderId="105" xfId="0" applyNumberFormat="1" applyFont="1" applyFill="1" applyBorder="1"/>
    <xf numFmtId="164" fontId="30" fillId="40" borderId="100" xfId="0" applyNumberFormat="1" applyFont="1" applyFill="1" applyBorder="1"/>
    <xf numFmtId="164" fontId="30" fillId="40" borderId="102" xfId="0" applyNumberFormat="1" applyFont="1" applyFill="1" applyBorder="1"/>
    <xf numFmtId="0" fontId="16" fillId="0" borderId="76" xfId="0" applyFont="1" applyFill="1" applyBorder="1" applyAlignment="1">
      <alignment horizontal="right"/>
    </xf>
    <xf numFmtId="9" fontId="15" fillId="0" borderId="48" xfId="68" applyFont="1" applyBorder="1" applyAlignment="1">
      <alignment horizontal="center" vertical="center"/>
    </xf>
    <xf numFmtId="165" fontId="0" fillId="0" borderId="29" xfId="28" applyNumberFormat="1" applyFont="1" applyBorder="1"/>
    <xf numFmtId="0" fontId="60" fillId="42" borderId="99" xfId="0" applyFont="1" applyFill="1" applyBorder="1" applyAlignment="1">
      <alignment wrapText="1"/>
    </xf>
    <xf numFmtId="0" fontId="84" fillId="43" borderId="99" xfId="0" applyFont="1" applyFill="1" applyBorder="1" applyAlignment="1">
      <alignment horizontal="center" wrapText="1"/>
    </xf>
    <xf numFmtId="0" fontId="84" fillId="43" borderId="99" xfId="0" applyFont="1" applyFill="1" applyBorder="1" applyAlignment="1">
      <alignment wrapText="1"/>
    </xf>
    <xf numFmtId="44" fontId="84" fillId="43" borderId="99" xfId="38" applyFont="1" applyFill="1" applyBorder="1" applyAlignment="1">
      <alignment wrapText="1"/>
    </xf>
    <xf numFmtId="0" fontId="58" fillId="0" borderId="0" xfId="0" applyFont="1" applyAlignment="1">
      <alignment wrapText="1"/>
    </xf>
    <xf numFmtId="0" fontId="58" fillId="0" borderId="99" xfId="0" applyFont="1" applyBorder="1" applyAlignment="1">
      <alignment horizontal="center"/>
    </xf>
    <xf numFmtId="0" fontId="57" fillId="0" borderId="99" xfId="0" applyFont="1" applyBorder="1" applyAlignment="1">
      <alignment horizontal="center"/>
    </xf>
    <xf numFmtId="0" fontId="57" fillId="0" borderId="99" xfId="0" applyFont="1" applyBorder="1" applyAlignment="1">
      <alignment horizontal="left"/>
    </xf>
    <xf numFmtId="0" fontId="58" fillId="0" borderId="99" xfId="0" applyFont="1" applyBorder="1" applyAlignment="1">
      <alignment horizontal="left"/>
    </xf>
    <xf numFmtId="0" fontId="58" fillId="0" borderId="0" xfId="0" applyFont="1" applyAlignment="1">
      <alignment horizontal="center"/>
    </xf>
    <xf numFmtId="165" fontId="60" fillId="0" borderId="0" xfId="28" applyNumberFormat="1" applyFont="1"/>
    <xf numFmtId="44" fontId="58" fillId="0" borderId="0" xfId="38" applyFont="1"/>
    <xf numFmtId="0" fontId="16" fillId="40" borderId="11" xfId="0" applyFont="1" applyFill="1" applyBorder="1" applyAlignment="1">
      <alignment vertical="center" wrapText="1"/>
    </xf>
    <xf numFmtId="44" fontId="58" fillId="0" borderId="99" xfId="34" applyFont="1" applyBorder="1"/>
    <xf numFmtId="44" fontId="28" fillId="0" borderId="57" xfId="34" applyNumberFormat="1" applyFont="1" applyBorder="1"/>
    <xf numFmtId="164" fontId="28" fillId="0" borderId="108" xfId="0" applyNumberFormat="1" applyFont="1" applyFill="1" applyBorder="1"/>
    <xf numFmtId="164" fontId="30" fillId="0" borderId="95" xfId="38" applyNumberFormat="1" applyFont="1" applyFill="1" applyBorder="1" applyAlignment="1"/>
    <xf numFmtId="164" fontId="31" fillId="0" borderId="80" xfId="34" applyNumberFormat="1" applyFont="1" applyFill="1" applyBorder="1"/>
    <xf numFmtId="164" fontId="31" fillId="0" borderId="35" xfId="34" applyNumberFormat="1" applyFont="1" applyFill="1" applyBorder="1"/>
    <xf numFmtId="164" fontId="16" fillId="40" borderId="48" xfId="0" applyNumberFormat="1" applyFont="1" applyFill="1" applyBorder="1"/>
    <xf numFmtId="171" fontId="16" fillId="0" borderId="0" xfId="0" applyNumberFormat="1" applyFont="1" applyFill="1" applyBorder="1"/>
    <xf numFmtId="164" fontId="30" fillId="0" borderId="36" xfId="38" applyNumberFormat="1" applyFont="1" applyBorder="1"/>
    <xf numFmtId="164" fontId="30" fillId="0" borderId="75" xfId="38" applyNumberFormat="1" applyFont="1" applyBorder="1"/>
    <xf numFmtId="164" fontId="31" fillId="0" borderId="19" xfId="38" applyNumberFormat="1" applyFont="1" applyFill="1" applyBorder="1"/>
    <xf numFmtId="9" fontId="30" fillId="0" borderId="33" xfId="70" applyFont="1" applyFill="1" applyBorder="1" applyAlignment="1">
      <alignment horizontal="center"/>
    </xf>
    <xf numFmtId="164" fontId="31" fillId="0" borderId="22" xfId="38" applyNumberFormat="1" applyFont="1" applyFill="1" applyBorder="1"/>
    <xf numFmtId="10" fontId="0" fillId="0" borderId="0" xfId="70" applyNumberFormat="1" applyFont="1"/>
    <xf numFmtId="0" fontId="16" fillId="0" borderId="94" xfId="0" applyFont="1" applyBorder="1"/>
    <xf numFmtId="164" fontId="30" fillId="0" borderId="38" xfId="38" applyNumberFormat="1" applyFont="1" applyBorder="1"/>
    <xf numFmtId="164" fontId="30" fillId="0" borderId="99" xfId="38" applyNumberFormat="1" applyFont="1" applyBorder="1"/>
    <xf numFmtId="164" fontId="31" fillId="0" borderId="99" xfId="38" applyNumberFormat="1" applyFont="1" applyFill="1" applyBorder="1"/>
    <xf numFmtId="9" fontId="30" fillId="0" borderId="82" xfId="70" applyFont="1" applyFill="1" applyBorder="1" applyAlignment="1">
      <alignment horizontal="center"/>
    </xf>
    <xf numFmtId="164" fontId="30" fillId="0" borderId="90" xfId="38" applyNumberFormat="1" applyFont="1" applyFill="1" applyBorder="1"/>
    <xf numFmtId="164" fontId="30" fillId="0" borderId="98" xfId="38" applyNumberFormat="1" applyFont="1" applyBorder="1"/>
    <xf numFmtId="164" fontId="30" fillId="40" borderId="101" xfId="0" applyNumberFormat="1" applyFont="1" applyFill="1" applyBorder="1"/>
    <xf numFmtId="164" fontId="30" fillId="0" borderId="40" xfId="38" applyNumberFormat="1" applyFont="1" applyBorder="1"/>
    <xf numFmtId="164" fontId="31" fillId="0" borderId="3" xfId="38" applyNumberFormat="1" applyFont="1" applyFill="1" applyBorder="1"/>
    <xf numFmtId="9" fontId="30" fillId="0" borderId="34" xfId="70" applyFont="1" applyFill="1" applyBorder="1" applyAlignment="1">
      <alignment horizontal="center"/>
    </xf>
    <xf numFmtId="164" fontId="31" fillId="0" borderId="10" xfId="38" applyNumberFormat="1" applyFont="1" applyFill="1" applyBorder="1"/>
    <xf numFmtId="9" fontId="28" fillId="0" borderId="48" xfId="70" applyFont="1" applyFill="1" applyBorder="1" applyAlignment="1">
      <alignment horizontal="center"/>
    </xf>
    <xf numFmtId="164" fontId="28" fillId="0" borderId="99" xfId="0" applyNumberFormat="1" applyFont="1" applyBorder="1"/>
    <xf numFmtId="164" fontId="30" fillId="0" borderId="22" xfId="38" applyNumberFormat="1" applyFont="1" applyBorder="1"/>
    <xf numFmtId="9" fontId="30" fillId="0" borderId="41" xfId="70" applyFont="1" applyFill="1" applyBorder="1" applyAlignment="1">
      <alignment horizontal="center"/>
    </xf>
    <xf numFmtId="0" fontId="16" fillId="0" borderId="95" xfId="0" applyFont="1" applyBorder="1"/>
    <xf numFmtId="164" fontId="30" fillId="0" borderId="96" xfId="38" applyNumberFormat="1" applyFont="1" applyBorder="1"/>
    <xf numFmtId="164" fontId="30" fillId="0" borderId="3" xfId="38" applyNumberFormat="1" applyFont="1" applyBorder="1"/>
    <xf numFmtId="164" fontId="30" fillId="0" borderId="15" xfId="38" applyNumberFormat="1" applyFont="1" applyBorder="1"/>
    <xf numFmtId="0" fontId="16" fillId="0" borderId="98" xfId="0" applyFont="1" applyBorder="1"/>
    <xf numFmtId="164" fontId="30" fillId="40" borderId="99" xfId="0" applyNumberFormat="1" applyFont="1" applyFill="1" applyBorder="1"/>
    <xf numFmtId="164" fontId="62" fillId="0" borderId="1" xfId="38" applyNumberFormat="1" applyFont="1" applyFill="1" applyBorder="1"/>
    <xf numFmtId="9" fontId="28" fillId="0" borderId="8" xfId="70" applyFont="1" applyFill="1" applyBorder="1" applyAlignment="1">
      <alignment horizontal="center"/>
    </xf>
    <xf numFmtId="164" fontId="28" fillId="0" borderId="52" xfId="0" applyNumberFormat="1" applyFont="1" applyFill="1" applyBorder="1"/>
    <xf numFmtId="9" fontId="16" fillId="0" borderId="54" xfId="70" applyNumberFormat="1" applyFont="1" applyFill="1" applyBorder="1" applyAlignment="1">
      <alignment horizontal="center"/>
    </xf>
    <xf numFmtId="167" fontId="0" fillId="0" borderId="0" xfId="70" applyNumberFormat="1" applyFont="1"/>
    <xf numFmtId="9" fontId="0" fillId="0" borderId="0" xfId="70" applyFont="1"/>
    <xf numFmtId="164" fontId="16" fillId="40" borderId="0" xfId="0" applyNumberFormat="1" applyFont="1" applyFill="1" applyBorder="1"/>
    <xf numFmtId="9" fontId="16" fillId="0" borderId="0" xfId="70" applyNumberFormat="1" applyFont="1" applyFill="1" applyBorder="1" applyAlignment="1">
      <alignment horizontal="center"/>
    </xf>
    <xf numFmtId="9" fontId="15" fillId="0" borderId="1" xfId="70" applyFont="1" applyBorder="1" applyAlignment="1">
      <alignment horizontal="center" vertical="center"/>
    </xf>
    <xf numFmtId="9" fontId="15" fillId="0" borderId="1" xfId="70" applyFont="1" applyFill="1" applyBorder="1" applyAlignment="1">
      <alignment horizontal="center" vertical="center"/>
    </xf>
    <xf numFmtId="9" fontId="15" fillId="0" borderId="8" xfId="70" applyFont="1" applyFill="1" applyBorder="1" applyAlignment="1">
      <alignment horizontal="center" vertical="center"/>
    </xf>
    <xf numFmtId="164" fontId="30" fillId="0" borderId="0" xfId="38" applyNumberFormat="1" applyFont="1" applyBorder="1"/>
    <xf numFmtId="0" fontId="16" fillId="40" borderId="11" xfId="0" applyFont="1" applyFill="1" applyBorder="1" applyAlignment="1">
      <alignment wrapText="1"/>
    </xf>
    <xf numFmtId="44" fontId="0" fillId="0" borderId="10" xfId="38" applyFont="1" applyBorder="1"/>
    <xf numFmtId="44" fontId="0" fillId="0" borderId="41" xfId="38" applyFont="1" applyBorder="1"/>
    <xf numFmtId="44" fontId="0" fillId="0" borderId="16" xfId="38" applyFont="1" applyBorder="1"/>
    <xf numFmtId="44" fontId="0" fillId="0" borderId="99" xfId="38" applyFont="1" applyBorder="1"/>
    <xf numFmtId="44" fontId="0" fillId="0" borderId="82" xfId="38" applyFont="1" applyBorder="1"/>
    <xf numFmtId="44" fontId="0" fillId="0" borderId="98" xfId="38" applyFont="1" applyBorder="1"/>
    <xf numFmtId="44" fontId="0" fillId="0" borderId="100" xfId="0" applyNumberFormat="1" applyFont="1" applyFill="1" applyBorder="1"/>
    <xf numFmtId="44" fontId="0" fillId="0" borderId="80" xfId="38" applyFont="1" applyBorder="1"/>
    <xf numFmtId="44" fontId="0" fillId="0" borderId="84" xfId="38" applyFont="1" applyBorder="1"/>
    <xf numFmtId="44" fontId="0" fillId="0" borderId="96" xfId="38" applyFont="1" applyBorder="1"/>
    <xf numFmtId="44" fontId="0" fillId="0" borderId="95" xfId="38" applyFont="1" applyBorder="1" applyAlignment="1">
      <alignment vertical="center" wrapText="1"/>
    </xf>
    <xf numFmtId="44" fontId="0" fillId="0" borderId="101" xfId="38" applyFont="1" applyBorder="1" applyAlignment="1">
      <alignment vertical="center" wrapText="1"/>
    </xf>
    <xf numFmtId="164" fontId="16" fillId="0" borderId="0" xfId="38" applyNumberFormat="1" applyFont="1" applyBorder="1"/>
    <xf numFmtId="164" fontId="33" fillId="0" borderId="0" xfId="38" applyNumberFormat="1" applyFont="1" applyFill="1" applyBorder="1"/>
    <xf numFmtId="164" fontId="0" fillId="40" borderId="42" xfId="38" applyNumberFormat="1" applyFont="1" applyFill="1" applyBorder="1"/>
    <xf numFmtId="164" fontId="30" fillId="0" borderId="51" xfId="38" applyNumberFormat="1" applyFont="1" applyFill="1" applyBorder="1"/>
    <xf numFmtId="164" fontId="30" fillId="0" borderId="10" xfId="38" applyNumberFormat="1" applyFont="1" applyFill="1" applyBorder="1"/>
    <xf numFmtId="164" fontId="30" fillId="0" borderId="12" xfId="38" applyNumberFormat="1" applyFont="1" applyBorder="1"/>
    <xf numFmtId="164" fontId="30" fillId="0" borderId="75" xfId="38" applyNumberFormat="1" applyFont="1" applyFill="1" applyBorder="1"/>
    <xf numFmtId="164" fontId="31" fillId="0" borderId="42" xfId="38" applyNumberFormat="1" applyFont="1" applyFill="1" applyBorder="1"/>
    <xf numFmtId="9" fontId="30" fillId="0" borderId="25" xfId="70" applyFont="1" applyFill="1" applyBorder="1" applyAlignment="1">
      <alignment horizontal="center"/>
    </xf>
    <xf numFmtId="0" fontId="16" fillId="0" borderId="94" xfId="0" applyFont="1" applyFill="1" applyBorder="1"/>
    <xf numFmtId="164" fontId="0" fillId="40" borderId="100" xfId="38" applyNumberFormat="1" applyFont="1" applyFill="1" applyBorder="1"/>
    <xf numFmtId="164" fontId="30" fillId="0" borderId="99" xfId="38" applyNumberFormat="1" applyFont="1" applyFill="1" applyBorder="1"/>
    <xf numFmtId="164" fontId="30" fillId="0" borderId="99" xfId="0" applyNumberFormat="1" applyFont="1" applyFill="1" applyBorder="1"/>
    <xf numFmtId="164" fontId="30" fillId="0" borderId="38" xfId="38" applyNumberFormat="1" applyFont="1" applyFill="1" applyBorder="1"/>
    <xf numFmtId="164" fontId="31" fillId="0" borderId="100" xfId="38" applyNumberFormat="1" applyFont="1" applyFill="1" applyBorder="1"/>
    <xf numFmtId="9" fontId="30" fillId="0" borderId="93" xfId="70" applyFont="1" applyFill="1" applyBorder="1" applyAlignment="1">
      <alignment horizontal="center"/>
    </xf>
    <xf numFmtId="164" fontId="30" fillId="0" borderId="0" xfId="38" applyNumberFormat="1" applyFont="1"/>
    <xf numFmtId="164" fontId="30" fillId="0" borderId="90" xfId="0" applyNumberFormat="1" applyFont="1" applyFill="1" applyBorder="1"/>
    <xf numFmtId="164" fontId="30" fillId="0" borderId="2" xfId="38" applyNumberFormat="1" applyFont="1" applyBorder="1"/>
    <xf numFmtId="164" fontId="30" fillId="0" borderId="3" xfId="38" applyNumberFormat="1" applyFont="1" applyFill="1" applyBorder="1"/>
    <xf numFmtId="164" fontId="30" fillId="0" borderId="40" xfId="38" applyNumberFormat="1" applyFont="1" applyFill="1" applyBorder="1"/>
    <xf numFmtId="164" fontId="31" fillId="0" borderId="102" xfId="38" applyNumberFormat="1" applyFont="1" applyFill="1" applyBorder="1"/>
    <xf numFmtId="9" fontId="30" fillId="0" borderId="104" xfId="70" applyFont="1" applyFill="1" applyBorder="1" applyAlignment="1">
      <alignment horizontal="center"/>
    </xf>
    <xf numFmtId="9" fontId="30" fillId="0" borderId="27" xfId="70" applyFont="1" applyFill="1" applyBorder="1" applyAlignment="1">
      <alignment horizontal="center"/>
    </xf>
    <xf numFmtId="0" fontId="16" fillId="40" borderId="74" xfId="0" applyFont="1" applyFill="1" applyBorder="1" applyAlignment="1">
      <alignment horizontal="center" vertical="center" wrapText="1"/>
    </xf>
    <xf numFmtId="165" fontId="0" fillId="0" borderId="19" xfId="28" applyNumberFormat="1" applyFont="1" applyBorder="1"/>
    <xf numFmtId="165" fontId="0" fillId="0" borderId="42" xfId="28" applyNumberFormat="1" applyFont="1" applyBorder="1"/>
    <xf numFmtId="165" fontId="0" fillId="0" borderId="99" xfId="28" applyNumberFormat="1" applyFont="1" applyBorder="1"/>
    <xf numFmtId="165" fontId="0" fillId="0" borderId="99" xfId="28" applyNumberFormat="1" applyFont="1" applyBorder="1" applyAlignment="1">
      <alignment horizontal="right"/>
    </xf>
    <xf numFmtId="165" fontId="0" fillId="0" borderId="100" xfId="28" applyNumberFormat="1" applyFont="1" applyBorder="1"/>
    <xf numFmtId="165" fontId="0" fillId="0" borderId="99" xfId="28" applyNumberFormat="1" applyFont="1" applyFill="1" applyBorder="1" applyAlignment="1">
      <alignment horizontal="center" vertical="center" wrapText="1"/>
    </xf>
    <xf numFmtId="165" fontId="0" fillId="0" borderId="99" xfId="28" applyNumberFormat="1" applyFont="1" applyFill="1" applyBorder="1" applyAlignment="1">
      <alignment horizontal="right" vertical="center" wrapText="1"/>
    </xf>
    <xf numFmtId="165" fontId="0" fillId="0" borderId="100" xfId="28" applyNumberFormat="1" applyFont="1" applyFill="1" applyBorder="1" applyAlignment="1">
      <alignment horizontal="right" vertical="center" wrapText="1"/>
    </xf>
    <xf numFmtId="0" fontId="65" fillId="0" borderId="95" xfId="0" applyFont="1" applyBorder="1"/>
    <xf numFmtId="165" fontId="66" fillId="0" borderId="80" xfId="28" applyNumberFormat="1" applyFont="1" applyBorder="1"/>
    <xf numFmtId="165" fontId="66" fillId="0" borderId="101" xfId="28" applyNumberFormat="1" applyFont="1" applyBorder="1" applyAlignment="1">
      <alignment horizontal="right"/>
    </xf>
    <xf numFmtId="165" fontId="66" fillId="0" borderId="102" xfId="28" applyNumberFormat="1" applyFont="1" applyBorder="1" applyAlignment="1">
      <alignment horizontal="right"/>
    </xf>
    <xf numFmtId="0" fontId="0" fillId="0" borderId="19" xfId="0" applyFont="1" applyBorder="1"/>
    <xf numFmtId="0" fontId="0" fillId="0" borderId="99" xfId="0" applyFont="1" applyBorder="1"/>
    <xf numFmtId="0" fontId="0" fillId="0" borderId="98" xfId="0" applyFont="1" applyBorder="1"/>
    <xf numFmtId="0" fontId="0" fillId="0" borderId="80" xfId="0" applyFont="1" applyBorder="1"/>
    <xf numFmtId="164" fontId="30" fillId="0" borderId="16" xfId="38" applyNumberFormat="1" applyFont="1" applyBorder="1"/>
    <xf numFmtId="166" fontId="0" fillId="0" borderId="41" xfId="70" applyNumberFormat="1" applyFont="1" applyBorder="1" applyAlignment="1">
      <alignment horizontal="center"/>
    </xf>
    <xf numFmtId="164" fontId="30" fillId="0" borderId="60" xfId="38" applyNumberFormat="1" applyFont="1" applyBorder="1"/>
    <xf numFmtId="164" fontId="30" fillId="0" borderId="58" xfId="38" applyNumberFormat="1" applyFont="1" applyBorder="1"/>
    <xf numFmtId="165" fontId="0" fillId="0" borderId="80" xfId="28" applyNumberFormat="1" applyFont="1" applyFill="1" applyBorder="1" applyAlignment="1">
      <alignment wrapText="1"/>
    </xf>
    <xf numFmtId="166" fontId="0" fillId="0" borderId="54" xfId="70" applyNumberFormat="1" applyFont="1" applyBorder="1" applyAlignment="1">
      <alignment horizontal="center"/>
    </xf>
    <xf numFmtId="0" fontId="16" fillId="0" borderId="101" xfId="0" applyFont="1" applyBorder="1" applyAlignment="1">
      <alignment horizontal="center"/>
    </xf>
    <xf numFmtId="165" fontId="0" fillId="0" borderId="80" xfId="28" applyNumberFormat="1" applyFont="1" applyBorder="1"/>
    <xf numFmtId="166" fontId="0" fillId="0" borderId="84" xfId="70" applyNumberFormat="1" applyFont="1" applyBorder="1" applyAlignment="1">
      <alignment horizontal="center"/>
    </xf>
    <xf numFmtId="164" fontId="28" fillId="0" borderId="57" xfId="38" applyNumberFormat="1" applyFont="1" applyBorder="1"/>
    <xf numFmtId="164" fontId="28" fillId="0" borderId="54" xfId="38" applyNumberFormat="1" applyFont="1" applyBorder="1"/>
    <xf numFmtId="9" fontId="30" fillId="0" borderId="99" xfId="70" applyFont="1" applyBorder="1"/>
    <xf numFmtId="164" fontId="31" fillId="0" borderId="10" xfId="34" applyNumberFormat="1" applyFont="1" applyFill="1" applyBorder="1" applyAlignment="1">
      <alignment horizontal="center"/>
    </xf>
    <xf numFmtId="164" fontId="30" fillId="0" borderId="10" xfId="34" applyNumberFormat="1" applyFont="1" applyFill="1" applyBorder="1" applyAlignment="1">
      <alignment horizontal="center"/>
    </xf>
    <xf numFmtId="164" fontId="31" fillId="0" borderId="42" xfId="34" applyNumberFormat="1" applyFont="1" applyFill="1" applyBorder="1" applyAlignment="1">
      <alignment horizontal="center"/>
    </xf>
    <xf numFmtId="164" fontId="31" fillId="0" borderId="99" xfId="34" applyNumberFormat="1" applyFont="1" applyFill="1" applyBorder="1" applyAlignment="1">
      <alignment horizontal="center"/>
    </xf>
    <xf numFmtId="164" fontId="30" fillId="0" borderId="99" xfId="34" applyNumberFormat="1" applyFont="1" applyFill="1" applyBorder="1" applyAlignment="1">
      <alignment horizontal="center"/>
    </xf>
    <xf numFmtId="164" fontId="31" fillId="0" borderId="100" xfId="34" applyNumberFormat="1" applyFont="1" applyFill="1" applyBorder="1" applyAlignment="1">
      <alignment horizontal="center"/>
    </xf>
    <xf numFmtId="164" fontId="30" fillId="0" borderId="99" xfId="34" applyNumberFormat="1" applyFont="1" applyBorder="1" applyAlignment="1">
      <alignment horizontal="center"/>
    </xf>
    <xf numFmtId="164" fontId="31" fillId="0" borderId="3" xfId="34" applyNumberFormat="1" applyFont="1" applyFill="1" applyBorder="1" applyAlignment="1">
      <alignment horizontal="center"/>
    </xf>
    <xf numFmtId="164" fontId="30" fillId="0" borderId="3" xfId="34" applyNumberFormat="1" applyFont="1" applyFill="1" applyBorder="1" applyAlignment="1">
      <alignment horizontal="center"/>
    </xf>
    <xf numFmtId="164" fontId="31" fillId="0" borderId="102" xfId="34" applyNumberFormat="1" applyFont="1" applyFill="1" applyBorder="1" applyAlignment="1">
      <alignment horizontal="center"/>
    </xf>
    <xf numFmtId="164" fontId="28" fillId="0" borderId="1" xfId="0" applyNumberFormat="1" applyFont="1" applyFill="1" applyBorder="1" applyAlignment="1">
      <alignment horizontal="center"/>
    </xf>
    <xf numFmtId="164" fontId="28" fillId="0" borderId="4" xfId="38" applyNumberFormat="1" applyFont="1" applyFill="1" applyBorder="1" applyAlignment="1">
      <alignment horizontal="center"/>
    </xf>
    <xf numFmtId="164" fontId="62" fillId="0" borderId="1" xfId="34" applyNumberFormat="1" applyFont="1" applyFill="1" applyBorder="1" applyAlignment="1">
      <alignment horizontal="center"/>
    </xf>
    <xf numFmtId="165" fontId="66" fillId="0" borderId="102" xfId="28" applyNumberFormat="1" applyFont="1" applyBorder="1"/>
    <xf numFmtId="0" fontId="58" fillId="0" borderId="0" xfId="0" applyFont="1" applyBorder="1"/>
    <xf numFmtId="44" fontId="58" fillId="0" borderId="0" xfId="0" applyNumberFormat="1" applyFont="1" applyBorder="1"/>
    <xf numFmtId="1" fontId="58" fillId="0" borderId="0" xfId="0" applyNumberFormat="1" applyFont="1"/>
    <xf numFmtId="1" fontId="58" fillId="0" borderId="99" xfId="0" applyNumberFormat="1" applyFont="1" applyBorder="1"/>
    <xf numFmtId="168" fontId="85" fillId="0" borderId="0" xfId="2647" applyNumberFormat="1" applyFont="1"/>
    <xf numFmtId="168" fontId="85" fillId="0" borderId="0" xfId="2647" applyNumberFormat="1" applyFont="1" applyAlignment="1">
      <alignment horizontal="right"/>
    </xf>
    <xf numFmtId="168" fontId="86" fillId="0" borderId="0" xfId="2647" applyNumberFormat="1" applyFont="1"/>
    <xf numFmtId="170" fontId="87" fillId="0" borderId="0" xfId="2647" applyNumberFormat="1" applyFont="1"/>
    <xf numFmtId="170" fontId="87" fillId="0" borderId="0" xfId="2647" applyNumberFormat="1" applyFont="1" applyAlignment="1">
      <alignment horizontal="right"/>
    </xf>
    <xf numFmtId="170" fontId="88" fillId="0" borderId="0" xfId="2647" applyNumberFormat="1" applyFont="1" applyFill="1" applyAlignment="1">
      <alignment horizontal="right"/>
    </xf>
    <xf numFmtId="168" fontId="89" fillId="51" borderId="116" xfId="2647" applyNumberFormat="1" applyFont="1" applyFill="1" applyBorder="1" applyAlignment="1">
      <alignment horizontal="right"/>
    </xf>
    <xf numFmtId="168" fontId="89" fillId="51" borderId="118" xfId="2647" applyNumberFormat="1" applyFont="1" applyFill="1" applyBorder="1" applyAlignment="1">
      <alignment horizontal="right"/>
    </xf>
    <xf numFmtId="170" fontId="89" fillId="51" borderId="114" xfId="2647" applyNumberFormat="1" applyFont="1" applyFill="1" applyBorder="1" applyAlignment="1">
      <alignment horizontal="right"/>
    </xf>
    <xf numFmtId="170" fontId="85" fillId="51" borderId="0" xfId="2647" applyNumberFormat="1" applyFont="1" applyFill="1" applyAlignment="1">
      <alignment horizontal="right"/>
    </xf>
    <xf numFmtId="168" fontId="87" fillId="51" borderId="0" xfId="2647" applyNumberFormat="1" applyFont="1" applyFill="1" applyAlignment="1">
      <alignment horizontal="left" indent="1"/>
    </xf>
    <xf numFmtId="170" fontId="85" fillId="0" borderId="0" xfId="2647" applyNumberFormat="1" applyFont="1"/>
    <xf numFmtId="170" fontId="90" fillId="0" borderId="0" xfId="2647" applyNumberFormat="1" applyFont="1" applyAlignment="1">
      <alignment horizontal="right"/>
    </xf>
    <xf numFmtId="170" fontId="91" fillId="0" borderId="0" xfId="2647" applyNumberFormat="1" applyFont="1" applyFill="1" applyAlignment="1">
      <alignment horizontal="right"/>
    </xf>
    <xf numFmtId="168" fontId="89" fillId="51" borderId="113" xfId="2647" applyNumberFormat="1" applyFont="1" applyFill="1" applyBorder="1" applyAlignment="1">
      <alignment horizontal="right"/>
    </xf>
    <xf numFmtId="168" fontId="89" fillId="51" borderId="0" xfId="2647" applyNumberFormat="1" applyFont="1" applyFill="1" applyBorder="1" applyAlignment="1">
      <alignment horizontal="right"/>
    </xf>
    <xf numFmtId="170" fontId="92" fillId="51" borderId="112" xfId="2647" applyNumberFormat="1" applyFont="1" applyFill="1" applyBorder="1" applyAlignment="1">
      <alignment horizontal="right"/>
    </xf>
    <xf numFmtId="170" fontId="93" fillId="51" borderId="0" xfId="2647" applyNumberFormat="1" applyFont="1" applyFill="1" applyAlignment="1">
      <alignment horizontal="right"/>
    </xf>
    <xf numFmtId="170" fontId="93" fillId="51" borderId="0" xfId="2647" applyNumberFormat="1" applyFont="1" applyFill="1" applyAlignment="1">
      <alignment horizontal="left" indent="1"/>
    </xf>
    <xf numFmtId="170" fontId="93" fillId="0" borderId="0" xfId="2647" applyNumberFormat="1" applyFont="1"/>
    <xf numFmtId="170" fontId="89" fillId="51" borderId="112" xfId="2647" applyNumberFormat="1" applyFont="1" applyFill="1" applyBorder="1" applyAlignment="1">
      <alignment horizontal="right"/>
    </xf>
    <xf numFmtId="170" fontId="85" fillId="51" borderId="0" xfId="2647" applyNumberFormat="1" applyFont="1" applyFill="1" applyAlignment="1">
      <alignment horizontal="left" indent="1"/>
    </xf>
    <xf numFmtId="170" fontId="94" fillId="51" borderId="0" xfId="2647" applyNumberFormat="1" applyFont="1" applyFill="1"/>
    <xf numFmtId="170" fontId="85" fillId="0" borderId="0" xfId="2647" applyNumberFormat="1" applyFont="1" applyAlignment="1">
      <alignment horizontal="right"/>
    </xf>
    <xf numFmtId="170" fontId="85" fillId="51" borderId="0" xfId="2647" applyNumberFormat="1" applyFont="1" applyFill="1"/>
    <xf numFmtId="170" fontId="87" fillId="51" borderId="0" xfId="2647" applyNumberFormat="1" applyFont="1" applyFill="1" applyAlignment="1">
      <alignment horizontal="left" indent="1"/>
    </xf>
    <xf numFmtId="170" fontId="90" fillId="0" borderId="0" xfId="2647" applyNumberFormat="1" applyFont="1"/>
    <xf numFmtId="168" fontId="87" fillId="0" borderId="0" xfId="2647" applyNumberFormat="1" applyFont="1" applyAlignment="1">
      <alignment horizontal="right"/>
    </xf>
    <xf numFmtId="168" fontId="89" fillId="51" borderId="111" xfId="2647" applyNumberFormat="1" applyFont="1" applyFill="1" applyBorder="1" applyAlignment="1">
      <alignment horizontal="right"/>
    </xf>
    <xf numFmtId="168" fontId="89" fillId="51" borderId="117" xfId="2647" applyNumberFormat="1" applyFont="1" applyFill="1" applyBorder="1" applyAlignment="1">
      <alignment horizontal="right"/>
    </xf>
    <xf numFmtId="168" fontId="89" fillId="51" borderId="109" xfId="2647" applyNumberFormat="1" applyFont="1" applyFill="1" applyBorder="1" applyAlignment="1">
      <alignment horizontal="right"/>
    </xf>
    <xf numFmtId="168" fontId="85" fillId="51" borderId="0" xfId="2647" applyNumberFormat="1" applyFont="1" applyFill="1" applyAlignment="1">
      <alignment horizontal="right"/>
    </xf>
    <xf numFmtId="166" fontId="94" fillId="51" borderId="0" xfId="2647" applyNumberFormat="1" applyFont="1" applyFill="1"/>
    <xf numFmtId="168" fontId="89" fillId="0" borderId="0" xfId="2647" applyNumberFormat="1" applyFont="1" applyFill="1" applyAlignment="1">
      <alignment horizontal="right"/>
    </xf>
    <xf numFmtId="166" fontId="87" fillId="0" borderId="0" xfId="2647" applyNumberFormat="1" applyFont="1"/>
    <xf numFmtId="166" fontId="87" fillId="0" borderId="0" xfId="2647" applyNumberFormat="1" applyFont="1" applyAlignment="1">
      <alignment horizontal="right"/>
    </xf>
    <xf numFmtId="166" fontId="95" fillId="0" borderId="0" xfId="2647" applyNumberFormat="1" applyFont="1" applyAlignment="1">
      <alignment horizontal="right"/>
    </xf>
    <xf numFmtId="166" fontId="96" fillId="51" borderId="116" xfId="2647" applyNumberFormat="1" applyFont="1" applyFill="1" applyBorder="1" applyAlignment="1">
      <alignment horizontal="right"/>
    </xf>
    <xf numFmtId="166" fontId="96" fillId="51" borderId="118" xfId="2647" applyNumberFormat="1" applyFont="1" applyFill="1" applyBorder="1" applyAlignment="1">
      <alignment horizontal="right"/>
    </xf>
    <xf numFmtId="166" fontId="96" fillId="51" borderId="114" xfId="2647" applyNumberFormat="1" applyFont="1" applyFill="1" applyBorder="1" applyAlignment="1">
      <alignment horizontal="right"/>
    </xf>
    <xf numFmtId="166" fontId="87" fillId="51" borderId="0" xfId="2647" applyNumberFormat="1" applyFont="1" applyFill="1" applyAlignment="1">
      <alignment horizontal="right"/>
    </xf>
    <xf numFmtId="166" fontId="85" fillId="0" borderId="0" xfId="2647" applyNumberFormat="1" applyFont="1"/>
    <xf numFmtId="166" fontId="93" fillId="0" borderId="0" xfId="2647" applyNumberFormat="1" applyFont="1" applyAlignment="1">
      <alignment horizontal="right"/>
    </xf>
    <xf numFmtId="166" fontId="97" fillId="0" borderId="0" xfId="2647" applyNumberFormat="1" applyFont="1" applyAlignment="1">
      <alignment horizontal="right"/>
    </xf>
    <xf numFmtId="166" fontId="92" fillId="51" borderId="113" xfId="2647" applyNumberFormat="1" applyFont="1" applyFill="1" applyBorder="1" applyAlignment="1">
      <alignment horizontal="right"/>
    </xf>
    <xf numFmtId="166" fontId="92" fillId="51" borderId="0" xfId="2647" applyNumberFormat="1" applyFont="1" applyFill="1" applyBorder="1" applyAlignment="1">
      <alignment horizontal="right"/>
    </xf>
    <xf numFmtId="166" fontId="92" fillId="51" borderId="112" xfId="2647" applyNumberFormat="1" applyFont="1" applyFill="1" applyBorder="1" applyAlignment="1">
      <alignment horizontal="right"/>
    </xf>
    <xf numFmtId="166" fontId="93" fillId="51" borderId="0" xfId="2647" applyNumberFormat="1" applyFont="1" applyFill="1" applyAlignment="1">
      <alignment horizontal="right"/>
    </xf>
    <xf numFmtId="166" fontId="93" fillId="51" borderId="0" xfId="2647" applyNumberFormat="1" applyFont="1" applyFill="1" applyAlignment="1">
      <alignment horizontal="left" indent="1"/>
    </xf>
    <xf numFmtId="166" fontId="93" fillId="0" borderId="0" xfId="2647" applyNumberFormat="1" applyFont="1"/>
    <xf numFmtId="166" fontId="85" fillId="0" borderId="0" xfId="2647" applyNumberFormat="1" applyFont="1" applyAlignment="1">
      <alignment horizontal="right"/>
    </xf>
    <xf numFmtId="166" fontId="89" fillId="51" borderId="113" xfId="2647" applyNumberFormat="1" applyFont="1" applyFill="1" applyBorder="1" applyAlignment="1">
      <alignment horizontal="right"/>
    </xf>
    <xf numFmtId="166" fontId="89" fillId="51" borderId="0" xfId="2647" applyNumberFormat="1" applyFont="1" applyFill="1" applyBorder="1" applyAlignment="1">
      <alignment horizontal="right"/>
    </xf>
    <xf numFmtId="166" fontId="89" fillId="51" borderId="112" xfId="2647" applyNumberFormat="1" applyFont="1" applyFill="1" applyBorder="1" applyAlignment="1">
      <alignment horizontal="right"/>
    </xf>
    <xf numFmtId="166" fontId="85" fillId="51" borderId="0" xfId="2647" applyNumberFormat="1" applyFont="1" applyFill="1" applyAlignment="1">
      <alignment horizontal="right"/>
    </xf>
    <xf numFmtId="166" fontId="85" fillId="51" borderId="0" xfId="2647" applyNumberFormat="1" applyFont="1" applyFill="1" applyAlignment="1">
      <alignment horizontal="left" indent="1"/>
    </xf>
    <xf numFmtId="166" fontId="85" fillId="51" borderId="0" xfId="2647" applyNumberFormat="1" applyFont="1" applyFill="1"/>
    <xf numFmtId="168" fontId="87" fillId="0" borderId="0" xfId="2647" applyNumberFormat="1" applyFont="1"/>
    <xf numFmtId="168" fontId="90" fillId="0" borderId="0" xfId="2647" applyNumberFormat="1" applyFont="1"/>
    <xf numFmtId="166" fontId="90" fillId="0" borderId="0" xfId="2647" applyNumberFormat="1" applyFont="1" applyAlignment="1">
      <alignment horizontal="right"/>
    </xf>
    <xf numFmtId="168" fontId="93" fillId="51" borderId="0" xfId="2647" applyNumberFormat="1" applyFont="1" applyFill="1" applyAlignment="1">
      <alignment horizontal="left" indent="1"/>
    </xf>
    <xf numFmtId="166" fontId="87" fillId="51" borderId="0" xfId="2647" applyNumberFormat="1" applyFont="1" applyFill="1" applyAlignment="1">
      <alignment horizontal="left" indent="1"/>
    </xf>
    <xf numFmtId="170" fontId="96" fillId="51" borderId="111" xfId="2647" applyNumberFormat="1" applyFont="1" applyFill="1" applyBorder="1" applyAlignment="1">
      <alignment horizontal="right"/>
    </xf>
    <xf numFmtId="170" fontId="96" fillId="51" borderId="117" xfId="2647" applyNumberFormat="1" applyFont="1" applyFill="1" applyBorder="1" applyAlignment="1">
      <alignment horizontal="right"/>
    </xf>
    <xf numFmtId="170" fontId="96" fillId="51" borderId="109" xfId="2647" applyNumberFormat="1" applyFont="1" applyFill="1" applyBorder="1" applyAlignment="1">
      <alignment horizontal="right"/>
    </xf>
    <xf numFmtId="168" fontId="95" fillId="0" borderId="0" xfId="2647" applyNumberFormat="1" applyFont="1" applyAlignment="1">
      <alignment horizontal="right"/>
    </xf>
    <xf numFmtId="168" fontId="95" fillId="0" borderId="0" xfId="2647" applyNumberFormat="1" applyFont="1" applyFill="1" applyAlignment="1">
      <alignment horizontal="right"/>
    </xf>
    <xf numFmtId="168" fontId="96" fillId="51" borderId="116" xfId="2647" applyNumberFormat="1" applyFont="1" applyFill="1" applyBorder="1" applyAlignment="1">
      <alignment horizontal="right"/>
    </xf>
    <xf numFmtId="168" fontId="96" fillId="51" borderId="118" xfId="2647" applyNumberFormat="1" applyFont="1" applyFill="1" applyBorder="1" applyAlignment="1">
      <alignment horizontal="right"/>
    </xf>
    <xf numFmtId="168" fontId="96" fillId="51" borderId="114" xfId="2647" applyNumberFormat="1" applyFont="1" applyFill="1" applyBorder="1" applyAlignment="1">
      <alignment horizontal="right"/>
    </xf>
    <xf numFmtId="168" fontId="87" fillId="51" borderId="0" xfId="2647" applyNumberFormat="1" applyFont="1" applyFill="1" applyAlignment="1">
      <alignment horizontal="right"/>
    </xf>
    <xf numFmtId="168" fontId="90" fillId="0" borderId="0" xfId="2647" applyNumberFormat="1" applyFont="1" applyAlignment="1">
      <alignment horizontal="right"/>
    </xf>
    <xf numFmtId="168" fontId="97" fillId="0" borderId="0" xfId="2647" applyNumberFormat="1" applyFont="1" applyFill="1" applyAlignment="1">
      <alignment horizontal="right"/>
    </xf>
    <xf numFmtId="168" fontId="92" fillId="51" borderId="113" xfId="2647" applyNumberFormat="1" applyFont="1" applyFill="1" applyBorder="1" applyAlignment="1">
      <alignment horizontal="right"/>
    </xf>
    <xf numFmtId="168" fontId="92" fillId="51" borderId="0" xfId="2647" applyNumberFormat="1" applyFont="1" applyFill="1" applyBorder="1" applyAlignment="1">
      <alignment horizontal="right"/>
    </xf>
    <xf numFmtId="168" fontId="92" fillId="51" borderId="112" xfId="2647" applyNumberFormat="1" applyFont="1" applyFill="1" applyBorder="1" applyAlignment="1">
      <alignment horizontal="right"/>
    </xf>
    <xf numFmtId="168" fontId="93" fillId="51" borderId="0" xfId="2647" applyNumberFormat="1" applyFont="1" applyFill="1" applyAlignment="1">
      <alignment horizontal="right"/>
    </xf>
    <xf numFmtId="168" fontId="93" fillId="0" borderId="0" xfId="2647" applyNumberFormat="1" applyFont="1"/>
    <xf numFmtId="168" fontId="89" fillId="51" borderId="112" xfId="2647" applyNumberFormat="1" applyFont="1" applyFill="1" applyBorder="1" applyAlignment="1">
      <alignment horizontal="right"/>
    </xf>
    <xf numFmtId="168" fontId="85" fillId="51" borderId="0" xfId="2647" applyNumberFormat="1" applyFont="1" applyFill="1" applyAlignment="1">
      <alignment horizontal="left" indent="1"/>
    </xf>
    <xf numFmtId="168" fontId="94" fillId="51" borderId="0" xfId="2647" applyNumberFormat="1" applyFont="1" applyFill="1"/>
    <xf numFmtId="168" fontId="85" fillId="51" borderId="0" xfId="2647" applyNumberFormat="1" applyFont="1" applyFill="1"/>
    <xf numFmtId="168" fontId="96" fillId="51" borderId="113" xfId="2647" applyNumberFormat="1" applyFont="1" applyFill="1" applyBorder="1" applyAlignment="1">
      <alignment horizontal="right"/>
    </xf>
    <xf numFmtId="168" fontId="96" fillId="51" borderId="0" xfId="2647" applyNumberFormat="1" applyFont="1" applyFill="1" applyBorder="1" applyAlignment="1">
      <alignment horizontal="right"/>
    </xf>
    <xf numFmtId="168" fontId="96" fillId="51" borderId="112" xfId="2647" applyNumberFormat="1" applyFont="1" applyFill="1" applyBorder="1" applyAlignment="1">
      <alignment horizontal="right"/>
    </xf>
    <xf numFmtId="170" fontId="89" fillId="51" borderId="109" xfId="2647" applyNumberFormat="1" applyFont="1" applyFill="1" applyBorder="1" applyAlignment="1">
      <alignment horizontal="right"/>
    </xf>
    <xf numFmtId="0" fontId="90" fillId="52" borderId="0" xfId="2647" applyFont="1" applyFill="1" applyAlignment="1">
      <alignment horizontal="right"/>
    </xf>
    <xf numFmtId="0" fontId="93" fillId="52" borderId="0" xfId="2647" applyFont="1" applyFill="1" applyAlignment="1">
      <alignment horizontal="right"/>
    </xf>
    <xf numFmtId="168" fontId="90" fillId="52" borderId="0" xfId="2647" applyNumberFormat="1" applyFont="1" applyFill="1" applyAlignment="1">
      <alignment horizontal="right"/>
    </xf>
    <xf numFmtId="168" fontId="94" fillId="52" borderId="0" xfId="2647" applyNumberFormat="1" applyFont="1" applyFill="1"/>
    <xf numFmtId="0" fontId="87" fillId="52" borderId="0" xfId="2647" applyFont="1" applyFill="1" applyAlignment="1">
      <alignment horizontal="right"/>
    </xf>
    <xf numFmtId="168" fontId="85" fillId="52" borderId="0" xfId="2647" applyNumberFormat="1" applyFont="1" applyFill="1"/>
    <xf numFmtId="168" fontId="98" fillId="52" borderId="0" xfId="2647" applyNumberFormat="1" applyFont="1" applyFill="1"/>
    <xf numFmtId="168" fontId="87" fillId="52" borderId="0" xfId="2647" applyNumberFormat="1" applyFont="1" applyFill="1"/>
    <xf numFmtId="168" fontId="85" fillId="0" borderId="0" xfId="2647" applyNumberFormat="1" applyFont="1" applyFill="1"/>
    <xf numFmtId="170" fontId="87" fillId="0" borderId="0" xfId="2647" applyNumberFormat="1" applyFont="1" applyFill="1" applyAlignment="1">
      <alignment horizontal="right"/>
    </xf>
    <xf numFmtId="170" fontId="96" fillId="0" borderId="0" xfId="2647" applyNumberFormat="1" applyFont="1" applyFill="1" applyBorder="1" applyAlignment="1">
      <alignment horizontal="right"/>
    </xf>
    <xf numFmtId="170" fontId="89" fillId="0" borderId="0" xfId="2647" applyNumberFormat="1" applyFont="1" applyFill="1" applyBorder="1" applyAlignment="1">
      <alignment horizontal="left"/>
    </xf>
    <xf numFmtId="166" fontId="87" fillId="0" borderId="0" xfId="2647" applyNumberFormat="1" applyFont="1" applyFill="1" applyAlignment="1">
      <alignment horizontal="left" indent="1"/>
    </xf>
    <xf numFmtId="170" fontId="96" fillId="51" borderId="116" xfId="2647" applyNumberFormat="1" applyFont="1" applyFill="1" applyBorder="1" applyAlignment="1">
      <alignment horizontal="right"/>
    </xf>
    <xf numFmtId="168" fontId="85" fillId="51" borderId="118" xfId="2647" applyNumberFormat="1" applyFont="1" applyFill="1" applyBorder="1" applyAlignment="1">
      <alignment horizontal="right"/>
    </xf>
    <xf numFmtId="170" fontId="96" fillId="51" borderId="114" xfId="2647" applyNumberFormat="1" applyFont="1" applyFill="1" applyBorder="1" applyAlignment="1">
      <alignment horizontal="right"/>
    </xf>
    <xf numFmtId="170" fontId="87" fillId="51" borderId="0" xfId="2647" applyNumberFormat="1" applyFont="1" applyFill="1" applyAlignment="1">
      <alignment horizontal="right"/>
    </xf>
    <xf numFmtId="170" fontId="96" fillId="51" borderId="113" xfId="2647" applyNumberFormat="1" applyFont="1" applyFill="1" applyBorder="1" applyAlignment="1">
      <alignment horizontal="right"/>
    </xf>
    <xf numFmtId="170" fontId="96" fillId="51" borderId="0" xfId="2647" applyNumberFormat="1" applyFont="1" applyFill="1" applyBorder="1" applyAlignment="1">
      <alignment horizontal="right"/>
    </xf>
    <xf numFmtId="170" fontId="96" fillId="51" borderId="112" xfId="2647" applyNumberFormat="1" applyFont="1" applyFill="1" applyBorder="1" applyAlignment="1">
      <alignment horizontal="right"/>
    </xf>
    <xf numFmtId="170" fontId="96" fillId="51" borderId="118" xfId="2647" applyNumberFormat="1" applyFont="1" applyFill="1" applyBorder="1" applyAlignment="1">
      <alignment horizontal="right"/>
    </xf>
    <xf numFmtId="170" fontId="89" fillId="51" borderId="107" xfId="2647" applyNumberFormat="1" applyFont="1" applyFill="1" applyBorder="1" applyAlignment="1">
      <alignment horizontal="left"/>
    </xf>
    <xf numFmtId="170" fontId="89" fillId="51" borderId="113" xfId="2647" applyNumberFormat="1" applyFont="1" applyFill="1" applyBorder="1" applyAlignment="1">
      <alignment horizontal="right"/>
    </xf>
    <xf numFmtId="170" fontId="89" fillId="51" borderId="107" xfId="2647" applyNumberFormat="1" applyFont="1" applyFill="1" applyBorder="1" applyAlignment="1">
      <alignment horizontal="right"/>
    </xf>
    <xf numFmtId="168" fontId="94" fillId="51" borderId="0" xfId="2647" applyNumberFormat="1" applyFont="1" applyFill="1" applyAlignment="1">
      <alignment horizontal="left"/>
    </xf>
    <xf numFmtId="170" fontId="89" fillId="51" borderId="0" xfId="2647" applyNumberFormat="1" applyFont="1" applyFill="1" applyBorder="1" applyAlignment="1">
      <alignment horizontal="right"/>
    </xf>
    <xf numFmtId="166" fontId="85" fillId="0" borderId="0" xfId="2647" applyNumberFormat="1" applyFont="1" applyAlignment="1">
      <alignment horizontal="left" indent="1"/>
    </xf>
    <xf numFmtId="166" fontId="88" fillId="0" borderId="0" xfId="2647" applyNumberFormat="1" applyFont="1" applyFill="1" applyAlignment="1">
      <alignment horizontal="right"/>
    </xf>
    <xf numFmtId="166" fontId="89" fillId="51" borderId="116" xfId="2647" applyNumberFormat="1" applyFont="1" applyFill="1" applyBorder="1" applyAlignment="1">
      <alignment horizontal="right"/>
    </xf>
    <xf numFmtId="166" fontId="89" fillId="51" borderId="118" xfId="2647" applyNumberFormat="1" applyFont="1" applyFill="1" applyBorder="1" applyAlignment="1">
      <alignment horizontal="right"/>
    </xf>
    <xf numFmtId="166" fontId="96" fillId="51" borderId="112" xfId="2647" applyNumberFormat="1" applyFont="1" applyFill="1" applyBorder="1" applyAlignment="1">
      <alignment horizontal="right"/>
    </xf>
    <xf numFmtId="166" fontId="89" fillId="0" borderId="0" xfId="2647" applyNumberFormat="1" applyFont="1" applyFill="1" applyBorder="1" applyAlignment="1">
      <alignment horizontal="right"/>
    </xf>
    <xf numFmtId="168" fontId="85" fillId="0" borderId="0" xfId="2647" applyNumberFormat="1" applyFont="1" applyAlignment="1">
      <alignment horizontal="left" indent="1"/>
    </xf>
    <xf numFmtId="168" fontId="88" fillId="0" borderId="0" xfId="2647" applyNumberFormat="1" applyFont="1" applyFill="1" applyAlignment="1">
      <alignment horizontal="right"/>
    </xf>
    <xf numFmtId="168" fontId="85" fillId="51" borderId="113" xfId="2647" applyNumberFormat="1" applyFont="1" applyFill="1" applyBorder="1" applyAlignment="1">
      <alignment horizontal="right"/>
    </xf>
    <xf numFmtId="168" fontId="85" fillId="51" borderId="0" xfId="2647" applyNumberFormat="1" applyFont="1" applyFill="1" applyBorder="1" applyAlignment="1">
      <alignment horizontal="right"/>
    </xf>
    <xf numFmtId="166" fontId="94" fillId="51" borderId="0" xfId="2647" applyNumberFormat="1" applyFont="1" applyFill="1" applyAlignment="1">
      <alignment horizontal="left"/>
    </xf>
    <xf numFmtId="166" fontId="85" fillId="51" borderId="113" xfId="2647" applyNumberFormat="1" applyFont="1" applyFill="1" applyBorder="1" applyAlignment="1">
      <alignment horizontal="right"/>
    </xf>
    <xf numFmtId="166" fontId="85" fillId="51" borderId="0" xfId="2647" applyNumberFormat="1" applyFont="1" applyFill="1" applyBorder="1" applyAlignment="1">
      <alignment horizontal="right"/>
    </xf>
    <xf numFmtId="166" fontId="85" fillId="51" borderId="112" xfId="2647" applyNumberFormat="1" applyFont="1" applyFill="1" applyBorder="1" applyAlignment="1">
      <alignment horizontal="right"/>
    </xf>
    <xf numFmtId="2" fontId="85" fillId="51" borderId="0" xfId="2647" applyNumberFormat="1" applyFont="1" applyFill="1" applyAlignment="1">
      <alignment horizontal="right"/>
    </xf>
    <xf numFmtId="166" fontId="87" fillId="51" borderId="0" xfId="2647" applyNumberFormat="1" applyFont="1" applyFill="1" applyAlignment="1">
      <alignment horizontal="right" indent="1"/>
    </xf>
    <xf numFmtId="168" fontId="88" fillId="0" borderId="0" xfId="2647" applyNumberFormat="1" applyFont="1" applyAlignment="1">
      <alignment horizontal="right"/>
    </xf>
    <xf numFmtId="168" fontId="91" fillId="0" borderId="0" xfId="2647" applyNumberFormat="1" applyFont="1" applyAlignment="1">
      <alignment horizontal="right"/>
    </xf>
    <xf numFmtId="168" fontId="85" fillId="0" borderId="0" xfId="2647" applyNumberFormat="1" applyFont="1" applyFill="1" applyAlignment="1">
      <alignment horizontal="right"/>
    </xf>
    <xf numFmtId="168" fontId="85" fillId="51" borderId="112" xfId="2647" applyNumberFormat="1" applyFont="1" applyFill="1" applyBorder="1" applyAlignment="1">
      <alignment horizontal="right"/>
    </xf>
    <xf numFmtId="168" fontId="91" fillId="0" borderId="0" xfId="2647" applyNumberFormat="1" applyFont="1" applyFill="1" applyAlignment="1">
      <alignment horizontal="right"/>
    </xf>
    <xf numFmtId="166" fontId="88" fillId="0" borderId="0" xfId="2647" applyNumberFormat="1" applyFont="1"/>
    <xf numFmtId="166" fontId="88" fillId="0" borderId="0" xfId="2647" applyNumberFormat="1" applyFont="1" applyAlignment="1">
      <alignment horizontal="right"/>
    </xf>
    <xf numFmtId="166" fontId="88" fillId="51" borderId="113" xfId="2647" applyNumberFormat="1" applyFont="1" applyFill="1" applyBorder="1" applyAlignment="1">
      <alignment horizontal="right"/>
    </xf>
    <xf numFmtId="166" fontId="88" fillId="51" borderId="0" xfId="2647" applyNumberFormat="1" applyFont="1" applyFill="1" applyBorder="1" applyAlignment="1">
      <alignment horizontal="right"/>
    </xf>
    <xf numFmtId="166" fontId="88" fillId="51" borderId="112" xfId="2647" applyNumberFormat="1" applyFont="1" applyFill="1" applyBorder="1" applyAlignment="1">
      <alignment horizontal="right"/>
    </xf>
    <xf numFmtId="166" fontId="88" fillId="51" borderId="0" xfId="2647" applyNumberFormat="1" applyFont="1" applyFill="1" applyAlignment="1">
      <alignment horizontal="right"/>
    </xf>
    <xf numFmtId="166" fontId="88" fillId="51" borderId="0" xfId="2647" applyNumberFormat="1" applyFont="1" applyFill="1" applyAlignment="1">
      <alignment horizontal="right" indent="1"/>
    </xf>
    <xf numFmtId="169" fontId="87" fillId="51" borderId="0" xfId="2647" applyNumberFormat="1" applyFont="1" applyFill="1" applyAlignment="1">
      <alignment horizontal="left" indent="1"/>
    </xf>
    <xf numFmtId="168" fontId="97" fillId="0" borderId="0" xfId="2647" applyNumberFormat="1" applyFont="1" applyAlignment="1">
      <alignment horizontal="right"/>
    </xf>
    <xf numFmtId="168" fontId="85" fillId="51" borderId="111" xfId="2647" applyNumberFormat="1" applyFont="1" applyFill="1" applyBorder="1" applyAlignment="1">
      <alignment horizontal="right"/>
    </xf>
    <xf numFmtId="168" fontId="85" fillId="51" borderId="117" xfId="2647" applyNumberFormat="1" applyFont="1" applyFill="1" applyBorder="1" applyAlignment="1">
      <alignment horizontal="right"/>
    </xf>
    <xf numFmtId="168" fontId="85" fillId="51" borderId="109" xfId="2647" applyNumberFormat="1" applyFont="1" applyFill="1" applyBorder="1" applyAlignment="1">
      <alignment horizontal="right"/>
    </xf>
    <xf numFmtId="168" fontId="93" fillId="52" borderId="0" xfId="2647" applyNumberFormat="1" applyFont="1" applyFill="1" applyAlignment="1">
      <alignment horizontal="right"/>
    </xf>
    <xf numFmtId="168" fontId="85" fillId="0" borderId="0" xfId="2647" applyNumberFormat="1" applyFont="1" applyBorder="1" applyAlignment="1">
      <alignment horizontal="right"/>
    </xf>
    <xf numFmtId="170" fontId="89" fillId="51" borderId="116" xfId="2647" applyNumberFormat="1" applyFont="1" applyFill="1" applyBorder="1" applyAlignment="1">
      <alignment horizontal="right"/>
    </xf>
    <xf numFmtId="170" fontId="89" fillId="51" borderId="115" xfId="2647" applyNumberFormat="1" applyFont="1" applyFill="1" applyBorder="1" applyAlignment="1">
      <alignment horizontal="right"/>
    </xf>
    <xf numFmtId="168" fontId="89" fillId="51" borderId="107" xfId="2647" applyNumberFormat="1" applyFont="1" applyFill="1" applyBorder="1" applyAlignment="1">
      <alignment horizontal="right"/>
    </xf>
    <xf numFmtId="168" fontId="89" fillId="51" borderId="110" xfId="2647" applyNumberFormat="1" applyFont="1" applyFill="1" applyBorder="1" applyAlignment="1">
      <alignment horizontal="right"/>
    </xf>
    <xf numFmtId="168" fontId="96" fillId="51" borderId="109" xfId="2647" applyNumberFormat="1" applyFont="1" applyFill="1" applyBorder="1" applyAlignment="1">
      <alignment horizontal="right"/>
    </xf>
    <xf numFmtId="168" fontId="89" fillId="0" borderId="0" xfId="2647" applyNumberFormat="1" applyFont="1" applyFill="1" applyBorder="1" applyAlignment="1">
      <alignment horizontal="right"/>
    </xf>
    <xf numFmtId="168" fontId="96" fillId="0" borderId="0" xfId="2647" applyNumberFormat="1" applyFont="1" applyFill="1" applyBorder="1" applyAlignment="1">
      <alignment horizontal="right"/>
    </xf>
    <xf numFmtId="170" fontId="99" fillId="51" borderId="0" xfId="2647" applyNumberFormat="1" applyFont="1" applyFill="1" applyAlignment="1">
      <alignment horizontal="right"/>
    </xf>
    <xf numFmtId="170" fontId="99" fillId="51" borderId="0" xfId="2647" applyNumberFormat="1" applyFont="1" applyFill="1" applyBorder="1" applyAlignment="1">
      <alignment horizontal="right"/>
    </xf>
    <xf numFmtId="170" fontId="96" fillId="51" borderId="0" xfId="2647" applyNumberFormat="1" applyFont="1" applyFill="1" applyBorder="1" applyAlignment="1">
      <alignment horizontal="left"/>
    </xf>
    <xf numFmtId="170" fontId="92" fillId="51" borderId="113" xfId="2647" applyNumberFormat="1" applyFont="1" applyFill="1" applyBorder="1" applyAlignment="1">
      <alignment horizontal="right"/>
    </xf>
    <xf numFmtId="170" fontId="92" fillId="51" borderId="107" xfId="2647" applyNumberFormat="1" applyFont="1" applyFill="1" applyBorder="1" applyAlignment="1">
      <alignment horizontal="right"/>
    </xf>
    <xf numFmtId="170" fontId="100" fillId="51" borderId="112" xfId="2647" applyNumberFormat="1" applyFont="1" applyFill="1" applyBorder="1" applyAlignment="1">
      <alignment horizontal="right"/>
    </xf>
    <xf numFmtId="170" fontId="99" fillId="51" borderId="113" xfId="2647" applyNumberFormat="1" applyFont="1" applyFill="1" applyBorder="1" applyAlignment="1">
      <alignment horizontal="right"/>
    </xf>
    <xf numFmtId="166" fontId="96" fillId="0" borderId="0" xfId="2647" applyNumberFormat="1" applyFont="1" applyFill="1" applyBorder="1" applyAlignment="1">
      <alignment horizontal="right"/>
    </xf>
    <xf numFmtId="166" fontId="85" fillId="0" borderId="0" xfId="2647" applyNumberFormat="1" applyFont="1" applyFill="1" applyBorder="1" applyAlignment="1">
      <alignment horizontal="right"/>
    </xf>
    <xf numFmtId="168" fontId="89" fillId="51" borderId="115" xfId="2647" applyNumberFormat="1" applyFont="1" applyFill="1" applyBorder="1" applyAlignment="1">
      <alignment horizontal="right"/>
    </xf>
    <xf numFmtId="168" fontId="92" fillId="51" borderId="107" xfId="2647" applyNumberFormat="1" applyFont="1" applyFill="1" applyBorder="1" applyAlignment="1">
      <alignment horizontal="right"/>
    </xf>
    <xf numFmtId="168" fontId="100" fillId="51" borderId="112" xfId="2647" applyNumberFormat="1" applyFont="1" applyFill="1" applyBorder="1" applyAlignment="1">
      <alignment horizontal="right"/>
    </xf>
    <xf numFmtId="169" fontId="94" fillId="51" borderId="0" xfId="2647" applyNumberFormat="1" applyFont="1" applyFill="1" applyAlignment="1">
      <alignment horizontal="left"/>
    </xf>
    <xf numFmtId="166" fontId="85" fillId="0" borderId="0" xfId="2647" applyNumberFormat="1" applyFont="1" applyFill="1"/>
    <xf numFmtId="166" fontId="85" fillId="0" borderId="0" xfId="2647" applyNumberFormat="1" applyFont="1" applyFill="1" applyAlignment="1">
      <alignment horizontal="right"/>
    </xf>
    <xf numFmtId="168" fontId="94" fillId="0" borderId="0" xfId="2647" applyNumberFormat="1" applyFont="1" applyFill="1" applyAlignment="1">
      <alignment horizontal="left"/>
    </xf>
    <xf numFmtId="166" fontId="89" fillId="51" borderId="115" xfId="2647" applyNumberFormat="1" applyFont="1" applyFill="1" applyBorder="1" applyAlignment="1">
      <alignment horizontal="right"/>
    </xf>
    <xf numFmtId="166" fontId="89" fillId="51" borderId="107" xfId="2647" applyNumberFormat="1" applyFont="1" applyFill="1" applyBorder="1" applyAlignment="1">
      <alignment horizontal="right"/>
    </xf>
    <xf numFmtId="166" fontId="85" fillId="53" borderId="0" xfId="2647" applyNumberFormat="1" applyFont="1" applyFill="1"/>
    <xf numFmtId="168" fontId="89" fillId="0" borderId="119" xfId="2647" applyNumberFormat="1" applyFont="1" applyFill="1" applyBorder="1" applyAlignment="1">
      <alignment horizontal="right"/>
    </xf>
    <xf numFmtId="168" fontId="96" fillId="0" borderId="119" xfId="2647" applyNumberFormat="1" applyFont="1" applyFill="1" applyBorder="1" applyAlignment="1">
      <alignment horizontal="right"/>
    </xf>
    <xf numFmtId="168" fontId="85" fillId="0" borderId="0" xfId="2647" applyNumberFormat="1" applyFont="1" applyFill="1" applyAlignment="1">
      <alignment horizontal="left" indent="1"/>
    </xf>
    <xf numFmtId="168" fontId="85" fillId="38" borderId="0" xfId="2647" applyNumberFormat="1" applyFont="1" applyFill="1"/>
    <xf numFmtId="166" fontId="85" fillId="38" borderId="0" xfId="2647" applyNumberFormat="1" applyFont="1" applyFill="1"/>
    <xf numFmtId="170" fontId="87" fillId="38" borderId="0" xfId="2647" applyNumberFormat="1" applyFont="1" applyFill="1" applyAlignment="1">
      <alignment horizontal="right"/>
    </xf>
    <xf numFmtId="170" fontId="101" fillId="51" borderId="0" xfId="2647" applyNumberFormat="1" applyFont="1" applyFill="1" applyBorder="1" applyAlignment="1">
      <alignment horizontal="right"/>
    </xf>
    <xf numFmtId="166" fontId="91" fillId="0" borderId="0" xfId="2647" applyNumberFormat="1" applyFont="1" applyFill="1" applyAlignment="1">
      <alignment horizontal="right"/>
    </xf>
    <xf numFmtId="166" fontId="92" fillId="51" borderId="107" xfId="2647" applyNumberFormat="1" applyFont="1" applyFill="1" applyBorder="1" applyAlignment="1">
      <alignment horizontal="right"/>
    </xf>
    <xf numFmtId="166" fontId="100" fillId="51" borderId="112" xfId="2647" applyNumberFormat="1" applyFont="1" applyFill="1" applyBorder="1" applyAlignment="1">
      <alignment horizontal="right"/>
    </xf>
    <xf numFmtId="168" fontId="102" fillId="0" borderId="0" xfId="2647" applyNumberFormat="1" applyFont="1" applyFill="1" applyAlignment="1">
      <alignment horizontal="right"/>
    </xf>
    <xf numFmtId="168" fontId="96" fillId="51" borderId="115" xfId="2647" applyNumberFormat="1" applyFont="1" applyFill="1" applyBorder="1" applyAlignment="1">
      <alignment horizontal="right"/>
    </xf>
    <xf numFmtId="168" fontId="89" fillId="51" borderId="111" xfId="2647" applyNumberFormat="1" applyFont="1" applyFill="1" applyBorder="1"/>
    <xf numFmtId="168" fontId="89" fillId="51" borderId="110" xfId="2647" applyNumberFormat="1" applyFont="1" applyFill="1" applyBorder="1"/>
    <xf numFmtId="168" fontId="96" fillId="51" borderId="109" xfId="2647" applyNumberFormat="1" applyFont="1" applyFill="1" applyBorder="1"/>
    <xf numFmtId="168" fontId="98" fillId="0" borderId="0" xfId="2647" applyNumberFormat="1" applyFont="1" applyFill="1"/>
    <xf numFmtId="0" fontId="16" fillId="0" borderId="29" xfId="0" applyFont="1" applyFill="1" applyBorder="1" applyAlignment="1">
      <alignment horizontal="center" vertical="center"/>
    </xf>
    <xf numFmtId="0" fontId="16" fillId="0" borderId="25" xfId="0" applyFont="1" applyFill="1" applyBorder="1" applyAlignment="1">
      <alignment horizontal="center" vertical="center"/>
    </xf>
    <xf numFmtId="0" fontId="16" fillId="0" borderId="95" xfId="0" applyFont="1" applyFill="1" applyBorder="1" applyAlignment="1">
      <alignment horizontal="center" vertical="center"/>
    </xf>
    <xf numFmtId="0" fontId="16" fillId="0" borderId="97" xfId="0" applyFont="1" applyFill="1" applyBorder="1" applyAlignment="1">
      <alignment horizontal="center" vertical="center"/>
    </xf>
    <xf numFmtId="0" fontId="16" fillId="41" borderId="28" xfId="0" applyFont="1" applyFill="1" applyBorder="1" applyAlignment="1">
      <alignment horizontal="center" vertical="center" wrapText="1"/>
    </xf>
    <xf numFmtId="0" fontId="16" fillId="41" borderId="46" xfId="0" applyFont="1" applyFill="1" applyBorder="1" applyAlignment="1">
      <alignment horizontal="center" vertical="center" wrapText="1"/>
    </xf>
    <xf numFmtId="0" fontId="16" fillId="40" borderId="11" xfId="0" applyFont="1" applyFill="1" applyBorder="1" applyAlignment="1">
      <alignment horizontal="center"/>
    </xf>
    <xf numFmtId="0" fontId="16" fillId="40" borderId="27" xfId="0" applyFont="1" applyFill="1" applyBorder="1" applyAlignment="1">
      <alignment horizontal="center"/>
    </xf>
    <xf numFmtId="0" fontId="16" fillId="41" borderId="11" xfId="0" applyFont="1" applyFill="1" applyBorder="1" applyAlignment="1">
      <alignment horizontal="center"/>
    </xf>
    <xf numFmtId="0" fontId="16" fillId="41" borderId="9" xfId="0" applyFont="1" applyFill="1" applyBorder="1" applyAlignment="1">
      <alignment horizontal="center"/>
    </xf>
    <xf numFmtId="0" fontId="16" fillId="41" borderId="27" xfId="0" applyFont="1" applyFill="1" applyBorder="1" applyAlignment="1">
      <alignment horizontal="center"/>
    </xf>
    <xf numFmtId="0" fontId="16" fillId="41" borderId="77" xfId="0" applyFont="1" applyFill="1" applyBorder="1" applyAlignment="1">
      <alignment horizontal="center" vertical="center" wrapText="1"/>
    </xf>
    <xf numFmtId="0" fontId="16" fillId="40" borderId="11" xfId="0" applyFont="1" applyFill="1" applyBorder="1" applyAlignment="1">
      <alignment horizontal="center" vertical="center"/>
    </xf>
    <xf numFmtId="0" fontId="16" fillId="40" borderId="9" xfId="0" applyFont="1" applyFill="1" applyBorder="1" applyAlignment="1">
      <alignment horizontal="center" vertical="center"/>
    </xf>
    <xf numFmtId="0" fontId="16" fillId="40" borderId="27" xfId="0" applyFont="1" applyFill="1" applyBorder="1" applyAlignment="1">
      <alignment horizontal="center" vertical="center"/>
    </xf>
    <xf numFmtId="0" fontId="16" fillId="39" borderId="11" xfId="0" applyFont="1" applyFill="1" applyBorder="1" applyAlignment="1">
      <alignment horizontal="center" vertical="center" wrapText="1"/>
    </xf>
    <xf numFmtId="0" fontId="16" fillId="39" borderId="27" xfId="0" applyFont="1" applyFill="1" applyBorder="1" applyAlignment="1">
      <alignment horizontal="center" vertical="center" wrapText="1"/>
    </xf>
    <xf numFmtId="0" fontId="19" fillId="0" borderId="99" xfId="0" applyFont="1" applyBorder="1" applyAlignment="1">
      <alignment horizontal="center" vertical="center"/>
    </xf>
    <xf numFmtId="0" fontId="19" fillId="0" borderId="80" xfId="0" applyFont="1" applyBorder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8" fillId="6" borderId="11" xfId="0" applyFont="1" applyFill="1" applyBorder="1" applyAlignment="1">
      <alignment horizontal="center"/>
    </xf>
    <xf numFmtId="0" fontId="18" fillId="6" borderId="9" xfId="0" applyFont="1" applyFill="1" applyBorder="1" applyAlignment="1">
      <alignment horizontal="center"/>
    </xf>
    <xf numFmtId="0" fontId="18" fillId="6" borderId="27" xfId="0" applyFont="1" applyFill="1" applyBorder="1" applyAlignment="1">
      <alignment horizontal="center"/>
    </xf>
    <xf numFmtId="0" fontId="16" fillId="39" borderId="64" xfId="0" applyFont="1" applyFill="1" applyBorder="1" applyAlignment="1">
      <alignment horizontal="center" vertical="center"/>
    </xf>
    <xf numFmtId="0" fontId="16" fillId="39" borderId="77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18" fillId="5" borderId="27" xfId="0" applyFont="1" applyFill="1" applyBorder="1" applyAlignment="1">
      <alignment horizontal="center" vertical="center"/>
    </xf>
    <xf numFmtId="0" fontId="16" fillId="40" borderId="64" xfId="0" applyFont="1" applyFill="1" applyBorder="1" applyAlignment="1">
      <alignment horizontal="center" wrapText="1"/>
    </xf>
    <xf numFmtId="0" fontId="16" fillId="40" borderId="103" xfId="0" applyFont="1" applyFill="1" applyBorder="1" applyAlignment="1">
      <alignment horizontal="center" wrapText="1"/>
    </xf>
    <xf numFmtId="0" fontId="16" fillId="40" borderId="64" xfId="0" applyFont="1" applyFill="1" applyBorder="1" applyAlignment="1">
      <alignment horizontal="center"/>
    </xf>
    <xf numFmtId="0" fontId="16" fillId="40" borderId="103" xfId="0" applyFont="1" applyFill="1" applyBorder="1" applyAlignment="1">
      <alignment horizontal="center"/>
    </xf>
    <xf numFmtId="0" fontId="16" fillId="39" borderId="63" xfId="0" applyFont="1" applyFill="1" applyBorder="1" applyAlignment="1">
      <alignment horizontal="center" vertical="center"/>
    </xf>
    <xf numFmtId="0" fontId="16" fillId="39" borderId="76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 wrapText="1"/>
    </xf>
    <xf numFmtId="0" fontId="18" fillId="5" borderId="9" xfId="0" applyFont="1" applyFill="1" applyBorder="1" applyAlignment="1">
      <alignment horizontal="center" vertical="center" wrapText="1"/>
    </xf>
    <xf numFmtId="0" fontId="18" fillId="5" borderId="27" xfId="0" applyFont="1" applyFill="1" applyBorder="1" applyAlignment="1">
      <alignment horizontal="center" vertical="center" wrapText="1"/>
    </xf>
    <xf numFmtId="0" fontId="16" fillId="40" borderId="32" xfId="0" applyFont="1" applyFill="1" applyBorder="1" applyAlignment="1">
      <alignment horizontal="center" wrapText="1"/>
    </xf>
    <xf numFmtId="0" fontId="16" fillId="40" borderId="24" xfId="0" applyFont="1" applyFill="1" applyBorder="1" applyAlignment="1">
      <alignment horizontal="center"/>
    </xf>
    <xf numFmtId="0" fontId="16" fillId="40" borderId="32" xfId="0" applyFont="1" applyFill="1" applyBorder="1" applyAlignment="1">
      <alignment horizontal="center"/>
    </xf>
    <xf numFmtId="0" fontId="18" fillId="6" borderId="46" xfId="0" applyFont="1" applyFill="1" applyBorder="1" applyAlignment="1">
      <alignment horizontal="center"/>
    </xf>
    <xf numFmtId="0" fontId="18" fillId="6" borderId="47" xfId="0" applyFont="1" applyFill="1" applyBorder="1" applyAlignment="1">
      <alignment horizontal="center"/>
    </xf>
    <xf numFmtId="0" fontId="18" fillId="41" borderId="11" xfId="0" applyFont="1" applyFill="1" applyBorder="1" applyAlignment="1">
      <alignment horizontal="center"/>
    </xf>
    <xf numFmtId="0" fontId="18" fillId="41" borderId="9" xfId="0" applyFont="1" applyFill="1" applyBorder="1" applyAlignment="1">
      <alignment horizontal="center"/>
    </xf>
    <xf numFmtId="0" fontId="18" fillId="41" borderId="27" xfId="0" applyFont="1" applyFill="1" applyBorder="1" applyAlignment="1">
      <alignment horizontal="center"/>
    </xf>
    <xf numFmtId="0" fontId="18" fillId="42" borderId="11" xfId="0" applyFont="1" applyFill="1" applyBorder="1" applyAlignment="1">
      <alignment horizontal="center"/>
    </xf>
    <xf numFmtId="0" fontId="18" fillId="42" borderId="9" xfId="0" applyFont="1" applyFill="1" applyBorder="1" applyAlignment="1">
      <alignment horizontal="center"/>
    </xf>
    <xf numFmtId="0" fontId="18" fillId="42" borderId="27" xfId="0" applyFont="1" applyFill="1" applyBorder="1" applyAlignment="1">
      <alignment horizontal="center"/>
    </xf>
    <xf numFmtId="0" fontId="16" fillId="0" borderId="11" xfId="0" applyFont="1" applyBorder="1" applyAlignment="1">
      <alignment horizontal="center" vertical="center" wrapText="1"/>
    </xf>
    <xf numFmtId="0" fontId="16" fillId="0" borderId="9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0" fontId="18" fillId="6" borderId="74" xfId="0" applyFont="1" applyFill="1" applyBorder="1" applyAlignment="1">
      <alignment horizontal="center"/>
    </xf>
    <xf numFmtId="0" fontId="18" fillId="6" borderId="103" xfId="0" applyFont="1" applyFill="1" applyBorder="1" applyAlignment="1">
      <alignment horizontal="center"/>
    </xf>
    <xf numFmtId="0" fontId="16" fillId="6" borderId="11" xfId="0" applyFont="1" applyFill="1" applyBorder="1" applyAlignment="1">
      <alignment horizontal="center" vertical="center"/>
    </xf>
    <xf numFmtId="0" fontId="16" fillId="6" borderId="9" xfId="0" applyFont="1" applyFill="1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36" xfId="0" applyFont="1" applyBorder="1" applyAlignment="1">
      <alignment horizontal="center" vertical="center"/>
    </xf>
    <xf numFmtId="0" fontId="19" fillId="0" borderId="98" xfId="0" applyFont="1" applyBorder="1" applyAlignment="1">
      <alignment horizontal="center" vertical="center"/>
    </xf>
    <xf numFmtId="0" fontId="19" fillId="0" borderId="90" xfId="0" applyFont="1" applyBorder="1" applyAlignment="1">
      <alignment horizontal="center" vertical="center"/>
    </xf>
    <xf numFmtId="0" fontId="19" fillId="0" borderId="96" xfId="0" applyFont="1" applyBorder="1" applyAlignment="1">
      <alignment horizontal="center" vertical="center"/>
    </xf>
    <xf numFmtId="0" fontId="19" fillId="0" borderId="55" xfId="0" applyFont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16" fillId="0" borderId="26" xfId="0" applyFont="1" applyFill="1" applyBorder="1" applyAlignment="1">
      <alignment horizontal="center" vertical="center"/>
    </xf>
    <xf numFmtId="0" fontId="55" fillId="0" borderId="120" xfId="1563" applyFont="1" applyBorder="1" applyAlignment="1">
      <alignment horizontal="center"/>
    </xf>
    <xf numFmtId="0" fontId="55" fillId="0" borderId="0" xfId="1563" applyFont="1" applyBorder="1" applyAlignment="1">
      <alignment horizontal="center"/>
    </xf>
    <xf numFmtId="0" fontId="5" fillId="47" borderId="120" xfId="1563" applyFill="1" applyBorder="1" applyAlignment="1">
      <alignment horizontal="center"/>
    </xf>
    <xf numFmtId="0" fontId="5" fillId="47" borderId="0" xfId="1563" applyFill="1" applyBorder="1" applyAlignment="1">
      <alignment horizontal="center"/>
    </xf>
    <xf numFmtId="0" fontId="5" fillId="44" borderId="120" xfId="1563" applyFill="1" applyBorder="1" applyAlignment="1">
      <alignment horizontal="center"/>
    </xf>
    <xf numFmtId="0" fontId="5" fillId="44" borderId="0" xfId="1563" applyFill="1" applyBorder="1" applyAlignment="1">
      <alignment horizontal="center"/>
    </xf>
    <xf numFmtId="0" fontId="5" fillId="48" borderId="120" xfId="1563" applyFill="1" applyBorder="1" applyAlignment="1">
      <alignment horizontal="center"/>
    </xf>
    <xf numFmtId="0" fontId="5" fillId="48" borderId="0" xfId="1563" applyFill="1" applyBorder="1" applyAlignment="1">
      <alignment horizontal="center"/>
    </xf>
  </cellXfs>
  <cellStyles count="2650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Comma 2" xfId="29"/>
    <cellStyle name="Comma 3" xfId="30"/>
    <cellStyle name="Comma 4" xfId="31"/>
    <cellStyle name="Comma 4 2" xfId="32"/>
    <cellStyle name="Comma 5" xfId="33"/>
    <cellStyle name="Currency" xfId="34" builtinId="4"/>
    <cellStyle name="Currency 10" xfId="80"/>
    <cellStyle name="Currency 10 2" xfId="2510"/>
    <cellStyle name="Currency 2" xfId="35"/>
    <cellStyle name="Currency 3" xfId="36"/>
    <cellStyle name="Currency 4" xfId="37"/>
    <cellStyle name="Currency 4 2" xfId="38"/>
    <cellStyle name="Currency 5" xfId="39"/>
    <cellStyle name="Currency 5 2" xfId="40"/>
    <cellStyle name="Currency 6" xfId="41"/>
    <cellStyle name="Currency 7" xfId="42"/>
    <cellStyle name="Currency 7 2" xfId="43"/>
    <cellStyle name="Currency 8" xfId="44"/>
    <cellStyle name="Currency 9" xfId="45"/>
    <cellStyle name="Explanatory Text" xfId="46" builtinId="53" customBuilti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Followed Hyperlink" xfId="1074" builtinId="9" hidden="1"/>
    <cellStyle name="Followed Hyperlink" xfId="1076" builtinId="9" hidden="1"/>
    <cellStyle name="Followed Hyperlink" xfId="1078" builtinId="9" hidden="1"/>
    <cellStyle name="Followed Hyperlink" xfId="1080" builtinId="9" hidden="1"/>
    <cellStyle name="Followed Hyperlink" xfId="1082" builtinId="9" hidden="1"/>
    <cellStyle name="Followed Hyperlink" xfId="1084" builtinId="9" hidden="1"/>
    <cellStyle name="Followed Hyperlink" xfId="1086" builtinId="9" hidden="1"/>
    <cellStyle name="Followed Hyperlink" xfId="1088" builtinId="9" hidden="1"/>
    <cellStyle name="Followed Hyperlink" xfId="1090" builtinId="9" hidden="1"/>
    <cellStyle name="Followed Hyperlink" xfId="1092" builtinId="9" hidden="1"/>
    <cellStyle name="Followed Hyperlink" xfId="1094" builtinId="9" hidden="1"/>
    <cellStyle name="Followed Hyperlink" xfId="1096" builtinId="9" hidden="1"/>
    <cellStyle name="Followed Hyperlink" xfId="1098" builtinId="9" hidden="1"/>
    <cellStyle name="Followed Hyperlink" xfId="1100" builtinId="9" hidden="1"/>
    <cellStyle name="Followed Hyperlink" xfId="1102" builtinId="9" hidden="1"/>
    <cellStyle name="Followed Hyperlink" xfId="1104" builtinId="9" hidden="1"/>
    <cellStyle name="Followed Hyperlink" xfId="1106" builtinId="9" hidden="1"/>
    <cellStyle name="Followed Hyperlink" xfId="1108" builtinId="9" hidden="1"/>
    <cellStyle name="Followed Hyperlink" xfId="1110" builtinId="9" hidden="1"/>
    <cellStyle name="Followed Hyperlink" xfId="1112" builtinId="9" hidden="1"/>
    <cellStyle name="Followed Hyperlink" xfId="1114" builtinId="9" hidden="1"/>
    <cellStyle name="Followed Hyperlink" xfId="1116" builtinId="9" hidden="1"/>
    <cellStyle name="Followed Hyperlink" xfId="1118" builtinId="9" hidden="1"/>
    <cellStyle name="Followed Hyperlink" xfId="1120" builtinId="9" hidden="1"/>
    <cellStyle name="Followed Hyperlink" xfId="1122" builtinId="9" hidden="1"/>
    <cellStyle name="Followed Hyperlink" xfId="1124" builtinId="9" hidden="1"/>
    <cellStyle name="Followed Hyperlink" xfId="1126" builtinId="9" hidden="1"/>
    <cellStyle name="Followed Hyperlink" xfId="1128" builtinId="9" hidden="1"/>
    <cellStyle name="Followed Hyperlink" xfId="1130" builtinId="9" hidden="1"/>
    <cellStyle name="Followed Hyperlink" xfId="1132" builtinId="9" hidden="1"/>
    <cellStyle name="Followed Hyperlink" xfId="1134" builtinId="9" hidden="1"/>
    <cellStyle name="Followed Hyperlink" xfId="1136" builtinId="9" hidden="1"/>
    <cellStyle name="Followed Hyperlink" xfId="1138" builtinId="9" hidden="1"/>
    <cellStyle name="Followed Hyperlink" xfId="1140" builtinId="9" hidden="1"/>
    <cellStyle name="Followed Hyperlink" xfId="1142" builtinId="9" hidden="1"/>
    <cellStyle name="Followed Hyperlink" xfId="1144" builtinId="9" hidden="1"/>
    <cellStyle name="Followed Hyperlink" xfId="1146" builtinId="9" hidden="1"/>
    <cellStyle name="Followed Hyperlink" xfId="1148" builtinId="9" hidden="1"/>
    <cellStyle name="Followed Hyperlink" xfId="1150" builtinId="9" hidden="1"/>
    <cellStyle name="Followed Hyperlink" xfId="1152" builtinId="9" hidden="1"/>
    <cellStyle name="Followed Hyperlink" xfId="1154" builtinId="9" hidden="1"/>
    <cellStyle name="Followed Hyperlink" xfId="1156" builtinId="9" hidden="1"/>
    <cellStyle name="Followed Hyperlink" xfId="1158" builtinId="9" hidden="1"/>
    <cellStyle name="Followed Hyperlink" xfId="1160" builtinId="9" hidden="1"/>
    <cellStyle name="Followed Hyperlink" xfId="1162" builtinId="9" hidden="1"/>
    <cellStyle name="Followed Hyperlink" xfId="1164" builtinId="9" hidden="1"/>
    <cellStyle name="Followed Hyperlink" xfId="1166" builtinId="9" hidden="1"/>
    <cellStyle name="Followed Hyperlink" xfId="1168" builtinId="9" hidden="1"/>
    <cellStyle name="Followed Hyperlink" xfId="1170" builtinId="9" hidden="1"/>
    <cellStyle name="Followed Hyperlink" xfId="1172" builtinId="9" hidden="1"/>
    <cellStyle name="Followed Hyperlink" xfId="1174" builtinId="9" hidden="1"/>
    <cellStyle name="Followed Hyperlink" xfId="1176" builtinId="9" hidden="1"/>
    <cellStyle name="Followed Hyperlink" xfId="1178" builtinId="9" hidden="1"/>
    <cellStyle name="Followed Hyperlink" xfId="1180" builtinId="9" hidden="1"/>
    <cellStyle name="Followed Hyperlink" xfId="1182" builtinId="9" hidden="1"/>
    <cellStyle name="Followed Hyperlink" xfId="1184" builtinId="9" hidden="1"/>
    <cellStyle name="Followed Hyperlink" xfId="1186" builtinId="9" hidden="1"/>
    <cellStyle name="Followed Hyperlink" xfId="1188" builtinId="9" hidden="1"/>
    <cellStyle name="Followed Hyperlink" xfId="1190" builtinId="9" hidden="1"/>
    <cellStyle name="Followed Hyperlink" xfId="1192" builtinId="9" hidden="1"/>
    <cellStyle name="Followed Hyperlink" xfId="1194" builtinId="9" hidden="1"/>
    <cellStyle name="Followed Hyperlink" xfId="1196" builtinId="9" hidden="1"/>
    <cellStyle name="Followed Hyperlink" xfId="1198" builtinId="9" hidden="1"/>
    <cellStyle name="Followed Hyperlink" xfId="1200" builtinId="9" hidden="1"/>
    <cellStyle name="Followed Hyperlink" xfId="1202" builtinId="9" hidden="1"/>
    <cellStyle name="Followed Hyperlink" xfId="1204" builtinId="9" hidden="1"/>
    <cellStyle name="Followed Hyperlink" xfId="1206" builtinId="9" hidden="1"/>
    <cellStyle name="Followed Hyperlink" xfId="1208" builtinId="9" hidden="1"/>
    <cellStyle name="Followed Hyperlink" xfId="1210" builtinId="9" hidden="1"/>
    <cellStyle name="Followed Hyperlink" xfId="1212" builtinId="9" hidden="1"/>
    <cellStyle name="Followed Hyperlink" xfId="1214" builtinId="9" hidden="1"/>
    <cellStyle name="Followed Hyperlink" xfId="1216" builtinId="9" hidden="1"/>
    <cellStyle name="Followed Hyperlink" xfId="1218" builtinId="9" hidden="1"/>
    <cellStyle name="Followed Hyperlink" xfId="1220" builtinId="9" hidden="1"/>
    <cellStyle name="Followed Hyperlink" xfId="1222" builtinId="9" hidden="1"/>
    <cellStyle name="Followed Hyperlink" xfId="1224" builtinId="9" hidden="1"/>
    <cellStyle name="Followed Hyperlink" xfId="1226" builtinId="9" hidden="1"/>
    <cellStyle name="Followed Hyperlink" xfId="1228" builtinId="9" hidden="1"/>
    <cellStyle name="Followed Hyperlink" xfId="1230" builtinId="9" hidden="1"/>
    <cellStyle name="Followed Hyperlink" xfId="1232" builtinId="9" hidden="1"/>
    <cellStyle name="Followed Hyperlink" xfId="1234" builtinId="9" hidden="1"/>
    <cellStyle name="Followed Hyperlink" xfId="1236" builtinId="9" hidden="1"/>
    <cellStyle name="Followed Hyperlink" xfId="1238" builtinId="9" hidden="1"/>
    <cellStyle name="Followed Hyperlink" xfId="1240" builtinId="9" hidden="1"/>
    <cellStyle name="Followed Hyperlink" xfId="1242" builtinId="9" hidden="1"/>
    <cellStyle name="Followed Hyperlink" xfId="1244" builtinId="9" hidden="1"/>
    <cellStyle name="Followed Hyperlink" xfId="1246" builtinId="9" hidden="1"/>
    <cellStyle name="Followed Hyperlink" xfId="1248" builtinId="9" hidden="1"/>
    <cellStyle name="Followed Hyperlink" xfId="1250" builtinId="9" hidden="1"/>
    <cellStyle name="Followed Hyperlink" xfId="1252" builtinId="9" hidden="1"/>
    <cellStyle name="Followed Hyperlink" xfId="1254" builtinId="9" hidden="1"/>
    <cellStyle name="Followed Hyperlink" xfId="1256" builtinId="9" hidden="1"/>
    <cellStyle name="Followed Hyperlink" xfId="1258" builtinId="9" hidden="1"/>
    <cellStyle name="Followed Hyperlink" xfId="1260" builtinId="9" hidden="1"/>
    <cellStyle name="Followed Hyperlink" xfId="1262" builtinId="9" hidden="1"/>
    <cellStyle name="Followed Hyperlink" xfId="1264" builtinId="9" hidden="1"/>
    <cellStyle name="Followed Hyperlink" xfId="1266" builtinId="9" hidden="1"/>
    <cellStyle name="Followed Hyperlink" xfId="1268" builtinId="9" hidden="1"/>
    <cellStyle name="Followed Hyperlink" xfId="1270" builtinId="9" hidden="1"/>
    <cellStyle name="Followed Hyperlink" xfId="1272" builtinId="9" hidden="1"/>
    <cellStyle name="Followed Hyperlink" xfId="1274" builtinId="9" hidden="1"/>
    <cellStyle name="Followed Hyperlink" xfId="1276" builtinId="9" hidden="1"/>
    <cellStyle name="Followed Hyperlink" xfId="1278" builtinId="9" hidden="1"/>
    <cellStyle name="Followed Hyperlink" xfId="1280" builtinId="9" hidden="1"/>
    <cellStyle name="Followed Hyperlink" xfId="1282" builtinId="9" hidden="1"/>
    <cellStyle name="Followed Hyperlink" xfId="1284" builtinId="9" hidden="1"/>
    <cellStyle name="Followed Hyperlink" xfId="1286" builtinId="9" hidden="1"/>
    <cellStyle name="Followed Hyperlink" xfId="1288" builtinId="9" hidden="1"/>
    <cellStyle name="Followed Hyperlink" xfId="1290" builtinId="9" hidden="1"/>
    <cellStyle name="Followed Hyperlink" xfId="1292" builtinId="9" hidden="1"/>
    <cellStyle name="Followed Hyperlink" xfId="1294" builtinId="9" hidden="1"/>
    <cellStyle name="Followed Hyperlink" xfId="1296" builtinId="9" hidden="1"/>
    <cellStyle name="Followed Hyperlink" xfId="1298" builtinId="9" hidden="1"/>
    <cellStyle name="Followed Hyperlink" xfId="1300" builtinId="9" hidden="1"/>
    <cellStyle name="Followed Hyperlink" xfId="1302" builtinId="9" hidden="1"/>
    <cellStyle name="Followed Hyperlink" xfId="1304" builtinId="9" hidden="1"/>
    <cellStyle name="Followed Hyperlink" xfId="1306" builtinId="9" hidden="1"/>
    <cellStyle name="Followed Hyperlink" xfId="1308" builtinId="9" hidden="1"/>
    <cellStyle name="Followed Hyperlink" xfId="1310" builtinId="9" hidden="1"/>
    <cellStyle name="Followed Hyperlink" xfId="1312" builtinId="9" hidden="1"/>
    <cellStyle name="Followed Hyperlink" xfId="1314" builtinId="9" hidden="1"/>
    <cellStyle name="Followed Hyperlink" xfId="1316" builtinId="9" hidden="1"/>
    <cellStyle name="Followed Hyperlink" xfId="1318" builtinId="9" hidden="1"/>
    <cellStyle name="Followed Hyperlink" xfId="1320" builtinId="9" hidden="1"/>
    <cellStyle name="Followed Hyperlink" xfId="1322" builtinId="9" hidden="1"/>
    <cellStyle name="Followed Hyperlink" xfId="1324" builtinId="9" hidden="1"/>
    <cellStyle name="Followed Hyperlink" xfId="1326" builtinId="9" hidden="1"/>
    <cellStyle name="Followed Hyperlink" xfId="1328" builtinId="9" hidden="1"/>
    <cellStyle name="Followed Hyperlink" xfId="1330" builtinId="9" hidden="1"/>
    <cellStyle name="Followed Hyperlink" xfId="1332" builtinId="9" hidden="1"/>
    <cellStyle name="Followed Hyperlink" xfId="1334" builtinId="9" hidden="1"/>
    <cellStyle name="Followed Hyperlink" xfId="1336" builtinId="9" hidden="1"/>
    <cellStyle name="Followed Hyperlink" xfId="1338" builtinId="9" hidden="1"/>
    <cellStyle name="Followed Hyperlink" xfId="1340" builtinId="9" hidden="1"/>
    <cellStyle name="Followed Hyperlink" xfId="1342" builtinId="9" hidden="1"/>
    <cellStyle name="Followed Hyperlink" xfId="1344" builtinId="9" hidden="1"/>
    <cellStyle name="Followed Hyperlink" xfId="1346" builtinId="9" hidden="1"/>
    <cellStyle name="Followed Hyperlink" xfId="1348" builtinId="9" hidden="1"/>
    <cellStyle name="Followed Hyperlink" xfId="1350" builtinId="9" hidden="1"/>
    <cellStyle name="Followed Hyperlink" xfId="1352" builtinId="9" hidden="1"/>
    <cellStyle name="Followed Hyperlink" xfId="1354" builtinId="9" hidden="1"/>
    <cellStyle name="Followed Hyperlink" xfId="1356" builtinId="9" hidden="1"/>
    <cellStyle name="Followed Hyperlink" xfId="1358" builtinId="9" hidden="1"/>
    <cellStyle name="Followed Hyperlink" xfId="1360" builtinId="9" hidden="1"/>
    <cellStyle name="Followed Hyperlink" xfId="1362" builtinId="9" hidden="1"/>
    <cellStyle name="Followed Hyperlink" xfId="1364" builtinId="9" hidden="1"/>
    <cellStyle name="Followed Hyperlink" xfId="1366" builtinId="9" hidden="1"/>
    <cellStyle name="Followed Hyperlink" xfId="1368" builtinId="9" hidden="1"/>
    <cellStyle name="Followed Hyperlink" xfId="1370" builtinId="9" hidden="1"/>
    <cellStyle name="Followed Hyperlink" xfId="1372" builtinId="9" hidden="1"/>
    <cellStyle name="Followed Hyperlink" xfId="1374" builtinId="9" hidden="1"/>
    <cellStyle name="Followed Hyperlink" xfId="1376" builtinId="9" hidden="1"/>
    <cellStyle name="Followed Hyperlink" xfId="1378" builtinId="9" hidden="1"/>
    <cellStyle name="Followed Hyperlink" xfId="1380" builtinId="9" hidden="1"/>
    <cellStyle name="Followed Hyperlink" xfId="1382" builtinId="9" hidden="1"/>
    <cellStyle name="Followed Hyperlink" xfId="1384" builtinId="9" hidden="1"/>
    <cellStyle name="Followed Hyperlink" xfId="1386" builtinId="9" hidden="1"/>
    <cellStyle name="Followed Hyperlink" xfId="1388" builtinId="9" hidden="1"/>
    <cellStyle name="Followed Hyperlink" xfId="1390" builtinId="9" hidden="1"/>
    <cellStyle name="Followed Hyperlink" xfId="1392" builtinId="9" hidden="1"/>
    <cellStyle name="Followed Hyperlink" xfId="1394" builtinId="9" hidden="1"/>
    <cellStyle name="Followed Hyperlink" xfId="1396" builtinId="9" hidden="1"/>
    <cellStyle name="Followed Hyperlink" xfId="1398" builtinId="9" hidden="1"/>
    <cellStyle name="Followed Hyperlink" xfId="1400" builtinId="9" hidden="1"/>
    <cellStyle name="Followed Hyperlink" xfId="1402" builtinId="9" hidden="1"/>
    <cellStyle name="Followed Hyperlink" xfId="1404" builtinId="9" hidden="1"/>
    <cellStyle name="Followed Hyperlink" xfId="1406" builtinId="9" hidden="1"/>
    <cellStyle name="Followed Hyperlink" xfId="1408" builtinId="9" hidden="1"/>
    <cellStyle name="Followed Hyperlink" xfId="1410" builtinId="9" hidden="1"/>
    <cellStyle name="Followed Hyperlink" xfId="1412" builtinId="9" hidden="1"/>
    <cellStyle name="Followed Hyperlink" xfId="1414" builtinId="9" hidden="1"/>
    <cellStyle name="Followed Hyperlink" xfId="1416" builtinId="9" hidden="1"/>
    <cellStyle name="Followed Hyperlink" xfId="1418" builtinId="9" hidden="1"/>
    <cellStyle name="Followed Hyperlink" xfId="1420" builtinId="9" hidden="1"/>
    <cellStyle name="Followed Hyperlink" xfId="1422" builtinId="9" hidden="1"/>
    <cellStyle name="Followed Hyperlink" xfId="1424" builtinId="9" hidden="1"/>
    <cellStyle name="Followed Hyperlink" xfId="1426" builtinId="9" hidden="1"/>
    <cellStyle name="Followed Hyperlink" xfId="1428" builtinId="9" hidden="1"/>
    <cellStyle name="Followed Hyperlink" xfId="1430" builtinId="9" hidden="1"/>
    <cellStyle name="Followed Hyperlink" xfId="1432" builtinId="9" hidden="1"/>
    <cellStyle name="Followed Hyperlink" xfId="1434" builtinId="9" hidden="1"/>
    <cellStyle name="Followed Hyperlink" xfId="1436" builtinId="9" hidden="1"/>
    <cellStyle name="Followed Hyperlink" xfId="1438" builtinId="9" hidden="1"/>
    <cellStyle name="Followed Hyperlink" xfId="1440" builtinId="9" hidden="1"/>
    <cellStyle name="Followed Hyperlink" xfId="1442" builtinId="9" hidden="1"/>
    <cellStyle name="Followed Hyperlink" xfId="1444" builtinId="9" hidden="1"/>
    <cellStyle name="Followed Hyperlink" xfId="1446" builtinId="9" hidden="1"/>
    <cellStyle name="Followed Hyperlink" xfId="1448" builtinId="9" hidden="1"/>
    <cellStyle name="Followed Hyperlink" xfId="1450" builtinId="9" hidden="1"/>
    <cellStyle name="Followed Hyperlink" xfId="1452" builtinId="9" hidden="1"/>
    <cellStyle name="Followed Hyperlink" xfId="1454" builtinId="9" hidden="1"/>
    <cellStyle name="Followed Hyperlink" xfId="1456" builtinId="9" hidden="1"/>
    <cellStyle name="Followed Hyperlink" xfId="1458" builtinId="9" hidden="1"/>
    <cellStyle name="Followed Hyperlink" xfId="1460" builtinId="9" hidden="1"/>
    <cellStyle name="Followed Hyperlink" xfId="1462" builtinId="9" hidden="1"/>
    <cellStyle name="Followed Hyperlink" xfId="1464" builtinId="9" hidden="1"/>
    <cellStyle name="Followed Hyperlink" xfId="1466" builtinId="9" hidden="1"/>
    <cellStyle name="Followed Hyperlink" xfId="1468" builtinId="9" hidden="1"/>
    <cellStyle name="Followed Hyperlink" xfId="1470" builtinId="9" hidden="1"/>
    <cellStyle name="Followed Hyperlink" xfId="1472" builtinId="9" hidden="1"/>
    <cellStyle name="Followed Hyperlink" xfId="1474" builtinId="9" hidden="1"/>
    <cellStyle name="Followed Hyperlink" xfId="1476" builtinId="9" hidden="1"/>
    <cellStyle name="Followed Hyperlink" xfId="1478" builtinId="9" hidden="1"/>
    <cellStyle name="Followed Hyperlink" xfId="1480" builtinId="9" hidden="1"/>
    <cellStyle name="Followed Hyperlink" xfId="1482" builtinId="9" hidden="1"/>
    <cellStyle name="Followed Hyperlink" xfId="1484" builtinId="9" hidden="1"/>
    <cellStyle name="Followed Hyperlink" xfId="1486" builtinId="9" hidden="1"/>
    <cellStyle name="Followed Hyperlink" xfId="1488" builtinId="9" hidden="1"/>
    <cellStyle name="Followed Hyperlink" xfId="1490" builtinId="9" hidden="1"/>
    <cellStyle name="Followed Hyperlink" xfId="1492" builtinId="9" hidden="1"/>
    <cellStyle name="Followed Hyperlink" xfId="1494" builtinId="9" hidden="1"/>
    <cellStyle name="Followed Hyperlink" xfId="1496" builtinId="9" hidden="1"/>
    <cellStyle name="Followed Hyperlink" xfId="1498" builtinId="9" hidden="1"/>
    <cellStyle name="Followed Hyperlink" xfId="1500" builtinId="9" hidden="1"/>
    <cellStyle name="Followed Hyperlink" xfId="1502" builtinId="9" hidden="1"/>
    <cellStyle name="Followed Hyperlink" xfId="1504" builtinId="9" hidden="1"/>
    <cellStyle name="Followed Hyperlink" xfId="1506" builtinId="9" hidden="1"/>
    <cellStyle name="Followed Hyperlink" xfId="1508" builtinId="9" hidden="1"/>
    <cellStyle name="Followed Hyperlink" xfId="1510" builtinId="9" hidden="1"/>
    <cellStyle name="Followed Hyperlink" xfId="1512" builtinId="9" hidden="1"/>
    <cellStyle name="Followed Hyperlink" xfId="1514" builtinId="9" hidden="1"/>
    <cellStyle name="Followed Hyperlink" xfId="1516" builtinId="9" hidden="1"/>
    <cellStyle name="Followed Hyperlink" xfId="1518" builtinId="9" hidden="1"/>
    <cellStyle name="Followed Hyperlink" xfId="1520" builtinId="9" hidden="1"/>
    <cellStyle name="Followed Hyperlink" xfId="1522" builtinId="9" hidden="1"/>
    <cellStyle name="Followed Hyperlink" xfId="1524" builtinId="9" hidden="1"/>
    <cellStyle name="Followed Hyperlink" xfId="1526" builtinId="9" hidden="1"/>
    <cellStyle name="Followed Hyperlink" xfId="1528" builtinId="9" hidden="1"/>
    <cellStyle name="Followed Hyperlink" xfId="1530" builtinId="9" hidden="1"/>
    <cellStyle name="Followed Hyperlink" xfId="1532" builtinId="9" hidden="1"/>
    <cellStyle name="Followed Hyperlink" xfId="1534" builtinId="9" hidden="1"/>
    <cellStyle name="Followed Hyperlink" xfId="1536" builtinId="9" hidden="1"/>
    <cellStyle name="Followed Hyperlink" xfId="1538" builtinId="9" hidden="1"/>
    <cellStyle name="Followed Hyperlink" xfId="1540" builtinId="9" hidden="1"/>
    <cellStyle name="Followed Hyperlink" xfId="1542" builtinId="9" hidden="1"/>
    <cellStyle name="Followed Hyperlink" xfId="1544" builtinId="9" hidden="1"/>
    <cellStyle name="Followed Hyperlink" xfId="1546" builtinId="9" hidden="1"/>
    <cellStyle name="Followed Hyperlink" xfId="1548" builtinId="9" hidden="1"/>
    <cellStyle name="Followed Hyperlink" xfId="1550" builtinId="9" hidden="1"/>
    <cellStyle name="Followed Hyperlink" xfId="1552" builtinId="9" hidden="1"/>
    <cellStyle name="Followed Hyperlink" xfId="1554" builtinId="9" hidden="1"/>
    <cellStyle name="Followed Hyperlink" xfId="1556" builtinId="9" hidden="1"/>
    <cellStyle name="Followed Hyperlink" xfId="1558" builtinId="9" hidden="1"/>
    <cellStyle name="Followed Hyperlink" xfId="1560" builtinId="9" hidden="1"/>
    <cellStyle name="Followed Hyperlink" xfId="1562" builtinId="9" hidden="1"/>
    <cellStyle name="Followed Hyperlink" xfId="1566" builtinId="9" hidden="1"/>
    <cellStyle name="Followed Hyperlink" xfId="1568" builtinId="9" hidden="1"/>
    <cellStyle name="Followed Hyperlink" xfId="1570" builtinId="9" hidden="1"/>
    <cellStyle name="Followed Hyperlink" xfId="1572" builtinId="9" hidden="1"/>
    <cellStyle name="Followed Hyperlink" xfId="1574" builtinId="9" hidden="1"/>
    <cellStyle name="Followed Hyperlink" xfId="1576" builtinId="9" hidden="1"/>
    <cellStyle name="Followed Hyperlink" xfId="1579" builtinId="9" hidden="1"/>
    <cellStyle name="Followed Hyperlink" xfId="1581" builtinId="9" hidden="1"/>
    <cellStyle name="Followed Hyperlink" xfId="1583" builtinId="9" hidden="1"/>
    <cellStyle name="Followed Hyperlink" xfId="1585" builtinId="9" hidden="1"/>
    <cellStyle name="Followed Hyperlink" xfId="1587" builtinId="9" hidden="1"/>
    <cellStyle name="Followed Hyperlink" xfId="1589" builtinId="9" hidden="1"/>
    <cellStyle name="Followed Hyperlink" xfId="1591" builtinId="9" hidden="1"/>
    <cellStyle name="Followed Hyperlink" xfId="1593" builtinId="9" hidden="1"/>
    <cellStyle name="Followed Hyperlink" xfId="1595" builtinId="9" hidden="1"/>
    <cellStyle name="Followed Hyperlink" xfId="1597" builtinId="9" hidden="1"/>
    <cellStyle name="Followed Hyperlink" xfId="1599" builtinId="9" hidden="1"/>
    <cellStyle name="Followed Hyperlink" xfId="1601" builtinId="9" hidden="1"/>
    <cellStyle name="Followed Hyperlink" xfId="1603" builtinId="9" hidden="1"/>
    <cellStyle name="Followed Hyperlink" xfId="1605" builtinId="9" hidden="1"/>
    <cellStyle name="Followed Hyperlink" xfId="1607" builtinId="9" hidden="1"/>
    <cellStyle name="Followed Hyperlink" xfId="1609" builtinId="9" hidden="1"/>
    <cellStyle name="Followed Hyperlink" xfId="1611" builtinId="9" hidden="1"/>
    <cellStyle name="Followed Hyperlink" xfId="1613" builtinId="9" hidden="1"/>
    <cellStyle name="Followed Hyperlink" xfId="1615" builtinId="9" hidden="1"/>
    <cellStyle name="Followed Hyperlink" xfId="1617" builtinId="9" hidden="1"/>
    <cellStyle name="Followed Hyperlink" xfId="1619" builtinId="9" hidden="1"/>
    <cellStyle name="Followed Hyperlink" xfId="1621" builtinId="9" hidden="1"/>
    <cellStyle name="Followed Hyperlink" xfId="1623" builtinId="9" hidden="1"/>
    <cellStyle name="Followed Hyperlink" xfId="1625" builtinId="9" hidden="1"/>
    <cellStyle name="Followed Hyperlink" xfId="1627" builtinId="9" hidden="1"/>
    <cellStyle name="Followed Hyperlink" xfId="1629" builtinId="9" hidden="1"/>
    <cellStyle name="Followed Hyperlink" xfId="1631" builtinId="9" hidden="1"/>
    <cellStyle name="Followed Hyperlink" xfId="1633" builtinId="9" hidden="1"/>
    <cellStyle name="Followed Hyperlink" xfId="1635" builtinId="9" hidden="1"/>
    <cellStyle name="Followed Hyperlink" xfId="1637" builtinId="9" hidden="1"/>
    <cellStyle name="Followed Hyperlink" xfId="1639" builtinId="9" hidden="1"/>
    <cellStyle name="Followed Hyperlink" xfId="1641" builtinId="9" hidden="1"/>
    <cellStyle name="Followed Hyperlink" xfId="1643" builtinId="9" hidden="1"/>
    <cellStyle name="Followed Hyperlink" xfId="1645" builtinId="9" hidden="1"/>
    <cellStyle name="Followed Hyperlink" xfId="1647" builtinId="9" hidden="1"/>
    <cellStyle name="Followed Hyperlink" xfId="1649" builtinId="9" hidden="1"/>
    <cellStyle name="Followed Hyperlink" xfId="1651" builtinId="9" hidden="1"/>
    <cellStyle name="Followed Hyperlink" xfId="1653" builtinId="9" hidden="1"/>
    <cellStyle name="Followed Hyperlink" xfId="1655" builtinId="9" hidden="1"/>
    <cellStyle name="Followed Hyperlink" xfId="1657" builtinId="9" hidden="1"/>
    <cellStyle name="Followed Hyperlink" xfId="1659" builtinId="9" hidden="1"/>
    <cellStyle name="Followed Hyperlink" xfId="1661" builtinId="9" hidden="1"/>
    <cellStyle name="Followed Hyperlink" xfId="1663" builtinId="9" hidden="1"/>
    <cellStyle name="Followed Hyperlink" xfId="1665" builtinId="9" hidden="1"/>
    <cellStyle name="Followed Hyperlink" xfId="1667" builtinId="9" hidden="1"/>
    <cellStyle name="Followed Hyperlink" xfId="1669" builtinId="9" hidden="1"/>
    <cellStyle name="Followed Hyperlink" xfId="1671" builtinId="9" hidden="1"/>
    <cellStyle name="Followed Hyperlink" xfId="1673" builtinId="9" hidden="1"/>
    <cellStyle name="Followed Hyperlink" xfId="1675" builtinId="9" hidden="1"/>
    <cellStyle name="Followed Hyperlink" xfId="1677" builtinId="9" hidden="1"/>
    <cellStyle name="Followed Hyperlink" xfId="1679" builtinId="9" hidden="1"/>
    <cellStyle name="Followed Hyperlink" xfId="1681" builtinId="9" hidden="1"/>
    <cellStyle name="Followed Hyperlink" xfId="1683" builtinId="9" hidden="1"/>
    <cellStyle name="Followed Hyperlink" xfId="1685" builtinId="9" hidden="1"/>
    <cellStyle name="Followed Hyperlink" xfId="1687" builtinId="9" hidden="1"/>
    <cellStyle name="Followed Hyperlink" xfId="1689" builtinId="9" hidden="1"/>
    <cellStyle name="Followed Hyperlink" xfId="1691" builtinId="9" hidden="1"/>
    <cellStyle name="Followed Hyperlink" xfId="1693" builtinId="9" hidden="1"/>
    <cellStyle name="Followed Hyperlink" xfId="1695" builtinId="9" hidden="1"/>
    <cellStyle name="Followed Hyperlink" xfId="1697" builtinId="9" hidden="1"/>
    <cellStyle name="Followed Hyperlink" xfId="1699" builtinId="9" hidden="1"/>
    <cellStyle name="Followed Hyperlink" xfId="1701" builtinId="9" hidden="1"/>
    <cellStyle name="Followed Hyperlink" xfId="1703" builtinId="9" hidden="1"/>
    <cellStyle name="Followed Hyperlink" xfId="1705" builtinId="9" hidden="1"/>
    <cellStyle name="Followed Hyperlink" xfId="1707" builtinId="9" hidden="1"/>
    <cellStyle name="Followed Hyperlink" xfId="1709" builtinId="9" hidden="1"/>
    <cellStyle name="Followed Hyperlink" xfId="1711" builtinId="9" hidden="1"/>
    <cellStyle name="Followed Hyperlink" xfId="1713" builtinId="9" hidden="1"/>
    <cellStyle name="Followed Hyperlink" xfId="1715" builtinId="9" hidden="1"/>
    <cellStyle name="Followed Hyperlink" xfId="1717" builtinId="9" hidden="1"/>
    <cellStyle name="Followed Hyperlink" xfId="1719" builtinId="9" hidden="1"/>
    <cellStyle name="Followed Hyperlink" xfId="1721" builtinId="9" hidden="1"/>
    <cellStyle name="Followed Hyperlink" xfId="1723" builtinId="9" hidden="1"/>
    <cellStyle name="Followed Hyperlink" xfId="1725" builtinId="9" hidden="1"/>
    <cellStyle name="Followed Hyperlink" xfId="1727" builtinId="9" hidden="1"/>
    <cellStyle name="Followed Hyperlink" xfId="1729" builtinId="9" hidden="1"/>
    <cellStyle name="Followed Hyperlink" xfId="1731" builtinId="9" hidden="1"/>
    <cellStyle name="Followed Hyperlink" xfId="1733" builtinId="9" hidden="1"/>
    <cellStyle name="Followed Hyperlink" xfId="1735" builtinId="9" hidden="1"/>
    <cellStyle name="Followed Hyperlink" xfId="1737" builtinId="9" hidden="1"/>
    <cellStyle name="Followed Hyperlink" xfId="1739" builtinId="9" hidden="1"/>
    <cellStyle name="Followed Hyperlink" xfId="1741" builtinId="9" hidden="1"/>
    <cellStyle name="Followed Hyperlink" xfId="1743" builtinId="9" hidden="1"/>
    <cellStyle name="Followed Hyperlink" xfId="1745" builtinId="9" hidden="1"/>
    <cellStyle name="Followed Hyperlink" xfId="1747" builtinId="9" hidden="1"/>
    <cellStyle name="Followed Hyperlink" xfId="1749" builtinId="9" hidden="1"/>
    <cellStyle name="Followed Hyperlink" xfId="1751" builtinId="9" hidden="1"/>
    <cellStyle name="Followed Hyperlink" xfId="1753" builtinId="9" hidden="1"/>
    <cellStyle name="Followed Hyperlink" xfId="1755" builtinId="9" hidden="1"/>
    <cellStyle name="Followed Hyperlink" xfId="1757" builtinId="9" hidden="1"/>
    <cellStyle name="Followed Hyperlink" xfId="1759" builtinId="9" hidden="1"/>
    <cellStyle name="Followed Hyperlink" xfId="1761" builtinId="9" hidden="1"/>
    <cellStyle name="Followed Hyperlink" xfId="1763" builtinId="9" hidden="1"/>
    <cellStyle name="Followed Hyperlink" xfId="1765" builtinId="9" hidden="1"/>
    <cellStyle name="Followed Hyperlink" xfId="1767" builtinId="9" hidden="1"/>
    <cellStyle name="Followed Hyperlink" xfId="1769" builtinId="9" hidden="1"/>
    <cellStyle name="Followed Hyperlink" xfId="1771" builtinId="9" hidden="1"/>
    <cellStyle name="Followed Hyperlink" xfId="1773" builtinId="9" hidden="1"/>
    <cellStyle name="Followed Hyperlink" xfId="1775" builtinId="9" hidden="1"/>
    <cellStyle name="Followed Hyperlink" xfId="1777" builtinId="9" hidden="1"/>
    <cellStyle name="Followed Hyperlink" xfId="1779" builtinId="9" hidden="1"/>
    <cellStyle name="Followed Hyperlink" xfId="1781" builtinId="9" hidden="1"/>
    <cellStyle name="Followed Hyperlink" xfId="1783" builtinId="9" hidden="1"/>
    <cellStyle name="Followed Hyperlink" xfId="1785" builtinId="9" hidden="1"/>
    <cellStyle name="Followed Hyperlink" xfId="1787" builtinId="9" hidden="1"/>
    <cellStyle name="Followed Hyperlink" xfId="1789" builtinId="9" hidden="1"/>
    <cellStyle name="Followed Hyperlink" xfId="1791" builtinId="9" hidden="1"/>
    <cellStyle name="Followed Hyperlink" xfId="1793" builtinId="9" hidden="1"/>
    <cellStyle name="Followed Hyperlink" xfId="1795" builtinId="9" hidden="1"/>
    <cellStyle name="Followed Hyperlink" xfId="1797" builtinId="9" hidden="1"/>
    <cellStyle name="Followed Hyperlink" xfId="1799" builtinId="9" hidden="1"/>
    <cellStyle name="Followed Hyperlink" xfId="1801" builtinId="9" hidden="1"/>
    <cellStyle name="Followed Hyperlink" xfId="1803" builtinId="9" hidden="1"/>
    <cellStyle name="Followed Hyperlink" xfId="1805" builtinId="9" hidden="1"/>
    <cellStyle name="Followed Hyperlink" xfId="1807" builtinId="9" hidden="1"/>
    <cellStyle name="Followed Hyperlink" xfId="1809" builtinId="9" hidden="1"/>
    <cellStyle name="Followed Hyperlink" xfId="1811" builtinId="9" hidden="1"/>
    <cellStyle name="Followed Hyperlink" xfId="1813" builtinId="9" hidden="1"/>
    <cellStyle name="Followed Hyperlink" xfId="1815" builtinId="9" hidden="1"/>
    <cellStyle name="Followed Hyperlink" xfId="1817" builtinId="9" hidden="1"/>
    <cellStyle name="Followed Hyperlink" xfId="1819" builtinId="9" hidden="1"/>
    <cellStyle name="Followed Hyperlink" xfId="1821" builtinId="9" hidden="1"/>
    <cellStyle name="Followed Hyperlink" xfId="1823" builtinId="9" hidden="1"/>
    <cellStyle name="Followed Hyperlink" xfId="1825" builtinId="9" hidden="1"/>
    <cellStyle name="Followed Hyperlink" xfId="1827" builtinId="9" hidden="1"/>
    <cellStyle name="Followed Hyperlink" xfId="1829" builtinId="9" hidden="1"/>
    <cellStyle name="Followed Hyperlink" xfId="1831" builtinId="9" hidden="1"/>
    <cellStyle name="Followed Hyperlink" xfId="1833" builtinId="9" hidden="1"/>
    <cellStyle name="Followed Hyperlink" xfId="1835" builtinId="9" hidden="1"/>
    <cellStyle name="Followed Hyperlink" xfId="1837" builtinId="9" hidden="1"/>
    <cellStyle name="Followed Hyperlink" xfId="1839" builtinId="9" hidden="1"/>
    <cellStyle name="Followed Hyperlink" xfId="1841" builtinId="9" hidden="1"/>
    <cellStyle name="Followed Hyperlink" xfId="1843" builtinId="9" hidden="1"/>
    <cellStyle name="Followed Hyperlink" xfId="1845" builtinId="9" hidden="1"/>
    <cellStyle name="Followed Hyperlink" xfId="1847" builtinId="9" hidden="1"/>
    <cellStyle name="Followed Hyperlink" xfId="1849" builtinId="9" hidden="1"/>
    <cellStyle name="Followed Hyperlink" xfId="1851" builtinId="9" hidden="1"/>
    <cellStyle name="Followed Hyperlink" xfId="1853" builtinId="9" hidden="1"/>
    <cellStyle name="Followed Hyperlink" xfId="1855" builtinId="9" hidden="1"/>
    <cellStyle name="Followed Hyperlink" xfId="1857" builtinId="9" hidden="1"/>
    <cellStyle name="Followed Hyperlink" xfId="1859" builtinId="9" hidden="1"/>
    <cellStyle name="Followed Hyperlink" xfId="1861" builtinId="9" hidden="1"/>
    <cellStyle name="Followed Hyperlink" xfId="1863" builtinId="9" hidden="1"/>
    <cellStyle name="Followed Hyperlink" xfId="1865" builtinId="9" hidden="1"/>
    <cellStyle name="Followed Hyperlink" xfId="1867" builtinId="9" hidden="1"/>
    <cellStyle name="Followed Hyperlink" xfId="1869" builtinId="9" hidden="1"/>
    <cellStyle name="Followed Hyperlink" xfId="1871" builtinId="9" hidden="1"/>
    <cellStyle name="Followed Hyperlink" xfId="1873" builtinId="9" hidden="1"/>
    <cellStyle name="Followed Hyperlink" xfId="1875" builtinId="9" hidden="1"/>
    <cellStyle name="Followed Hyperlink" xfId="1877" builtinId="9" hidden="1"/>
    <cellStyle name="Followed Hyperlink" xfId="1879" builtinId="9" hidden="1"/>
    <cellStyle name="Followed Hyperlink" xfId="1881" builtinId="9" hidden="1"/>
    <cellStyle name="Followed Hyperlink" xfId="1883" builtinId="9" hidden="1"/>
    <cellStyle name="Followed Hyperlink" xfId="1885" builtinId="9" hidden="1"/>
    <cellStyle name="Followed Hyperlink" xfId="1887" builtinId="9" hidden="1"/>
    <cellStyle name="Followed Hyperlink" xfId="1889" builtinId="9" hidden="1"/>
    <cellStyle name="Followed Hyperlink" xfId="1891" builtinId="9" hidden="1"/>
    <cellStyle name="Followed Hyperlink" xfId="1893" builtinId="9" hidden="1"/>
    <cellStyle name="Followed Hyperlink" xfId="1895" builtinId="9" hidden="1"/>
    <cellStyle name="Followed Hyperlink" xfId="1897" builtinId="9" hidden="1"/>
    <cellStyle name="Followed Hyperlink" xfId="1899" builtinId="9" hidden="1"/>
    <cellStyle name="Followed Hyperlink" xfId="1901" builtinId="9" hidden="1"/>
    <cellStyle name="Followed Hyperlink" xfId="1903" builtinId="9" hidden="1"/>
    <cellStyle name="Followed Hyperlink" xfId="1905" builtinId="9" hidden="1"/>
    <cellStyle name="Followed Hyperlink" xfId="1907" builtinId="9" hidden="1"/>
    <cellStyle name="Followed Hyperlink" xfId="1909" builtinId="9" hidden="1"/>
    <cellStyle name="Followed Hyperlink" xfId="1911" builtinId="9" hidden="1"/>
    <cellStyle name="Followed Hyperlink" xfId="1913" builtinId="9" hidden="1"/>
    <cellStyle name="Followed Hyperlink" xfId="1915" builtinId="9" hidden="1"/>
    <cellStyle name="Followed Hyperlink" xfId="1917" builtinId="9" hidden="1"/>
    <cellStyle name="Followed Hyperlink" xfId="1919" builtinId="9" hidden="1"/>
    <cellStyle name="Followed Hyperlink" xfId="1921" builtinId="9" hidden="1"/>
    <cellStyle name="Followed Hyperlink" xfId="1923" builtinId="9" hidden="1"/>
    <cellStyle name="Followed Hyperlink" xfId="1925" builtinId="9" hidden="1"/>
    <cellStyle name="Followed Hyperlink" xfId="1927" builtinId="9" hidden="1"/>
    <cellStyle name="Followed Hyperlink" xfId="1929" builtinId="9" hidden="1"/>
    <cellStyle name="Followed Hyperlink" xfId="1931" builtinId="9" hidden="1"/>
    <cellStyle name="Followed Hyperlink" xfId="1933" builtinId="9" hidden="1"/>
    <cellStyle name="Followed Hyperlink" xfId="1935" builtinId="9" hidden="1"/>
    <cellStyle name="Followed Hyperlink" xfId="1937" builtinId="9" hidden="1"/>
    <cellStyle name="Followed Hyperlink" xfId="1939" builtinId="9" hidden="1"/>
    <cellStyle name="Followed Hyperlink" xfId="1941" builtinId="9" hidden="1"/>
    <cellStyle name="Followed Hyperlink" xfId="1943" builtinId="9" hidden="1"/>
    <cellStyle name="Followed Hyperlink" xfId="1945" builtinId="9" hidden="1"/>
    <cellStyle name="Followed Hyperlink" xfId="1947" builtinId="9" hidden="1"/>
    <cellStyle name="Followed Hyperlink" xfId="1949" builtinId="9" hidden="1"/>
    <cellStyle name="Followed Hyperlink" xfId="1951" builtinId="9" hidden="1"/>
    <cellStyle name="Followed Hyperlink" xfId="1953" builtinId="9" hidden="1"/>
    <cellStyle name="Followed Hyperlink" xfId="1955" builtinId="9" hidden="1"/>
    <cellStyle name="Followed Hyperlink" xfId="1957" builtinId="9" hidden="1"/>
    <cellStyle name="Followed Hyperlink" xfId="1959" builtinId="9" hidden="1"/>
    <cellStyle name="Followed Hyperlink" xfId="1961" builtinId="9" hidden="1"/>
    <cellStyle name="Followed Hyperlink" xfId="1963" builtinId="9" hidden="1"/>
    <cellStyle name="Followed Hyperlink" xfId="1965" builtinId="9" hidden="1"/>
    <cellStyle name="Followed Hyperlink" xfId="1967" builtinId="9" hidden="1"/>
    <cellStyle name="Followed Hyperlink" xfId="1969" builtinId="9" hidden="1"/>
    <cellStyle name="Followed Hyperlink" xfId="1971" builtinId="9" hidden="1"/>
    <cellStyle name="Followed Hyperlink" xfId="1973" builtinId="9" hidden="1"/>
    <cellStyle name="Followed Hyperlink" xfId="1975" builtinId="9" hidden="1"/>
    <cellStyle name="Followed Hyperlink" xfId="1977" builtinId="9" hidden="1"/>
    <cellStyle name="Followed Hyperlink" xfId="1979" builtinId="9" hidden="1"/>
    <cellStyle name="Followed Hyperlink" xfId="1981" builtinId="9" hidden="1"/>
    <cellStyle name="Followed Hyperlink" xfId="1983" builtinId="9" hidden="1"/>
    <cellStyle name="Followed Hyperlink" xfId="1985" builtinId="9" hidden="1"/>
    <cellStyle name="Followed Hyperlink" xfId="1987" builtinId="9" hidden="1"/>
    <cellStyle name="Followed Hyperlink" xfId="1989" builtinId="9" hidden="1"/>
    <cellStyle name="Followed Hyperlink" xfId="1991" builtinId="9" hidden="1"/>
    <cellStyle name="Followed Hyperlink" xfId="1993" builtinId="9" hidden="1"/>
    <cellStyle name="Followed Hyperlink" xfId="1995" builtinId="9" hidden="1"/>
    <cellStyle name="Followed Hyperlink" xfId="1997" builtinId="9" hidden="1"/>
    <cellStyle name="Followed Hyperlink" xfId="1999" builtinId="9" hidden="1"/>
    <cellStyle name="Followed Hyperlink" xfId="2001" builtinId="9" hidden="1"/>
    <cellStyle name="Followed Hyperlink" xfId="2003" builtinId="9" hidden="1"/>
    <cellStyle name="Followed Hyperlink" xfId="2005" builtinId="9" hidden="1"/>
    <cellStyle name="Followed Hyperlink" xfId="2007" builtinId="9" hidden="1"/>
    <cellStyle name="Followed Hyperlink" xfId="2009" builtinId="9" hidden="1"/>
    <cellStyle name="Followed Hyperlink" xfId="2011" builtinId="9" hidden="1"/>
    <cellStyle name="Followed Hyperlink" xfId="2013" builtinId="9" hidden="1"/>
    <cellStyle name="Followed Hyperlink" xfId="2015" builtinId="9" hidden="1"/>
    <cellStyle name="Followed Hyperlink" xfId="2017" builtinId="9" hidden="1"/>
    <cellStyle name="Followed Hyperlink" xfId="2019" builtinId="9" hidden="1"/>
    <cellStyle name="Followed Hyperlink" xfId="2021" builtinId="9" hidden="1"/>
    <cellStyle name="Followed Hyperlink" xfId="2023" builtinId="9" hidden="1"/>
    <cellStyle name="Followed Hyperlink" xfId="2025" builtinId="9" hidden="1"/>
    <cellStyle name="Followed Hyperlink" xfId="2027" builtinId="9" hidden="1"/>
    <cellStyle name="Followed Hyperlink" xfId="2029" builtinId="9" hidden="1"/>
    <cellStyle name="Followed Hyperlink" xfId="2031" builtinId="9" hidden="1"/>
    <cellStyle name="Followed Hyperlink" xfId="2033" builtinId="9" hidden="1"/>
    <cellStyle name="Followed Hyperlink" xfId="2035" builtinId="9" hidden="1"/>
    <cellStyle name="Followed Hyperlink" xfId="2037" builtinId="9" hidden="1"/>
    <cellStyle name="Followed Hyperlink" xfId="2039" builtinId="9" hidden="1"/>
    <cellStyle name="Followed Hyperlink" xfId="2041" builtinId="9" hidden="1"/>
    <cellStyle name="Followed Hyperlink" xfId="2043" builtinId="9" hidden="1"/>
    <cellStyle name="Followed Hyperlink" xfId="2045" builtinId="9" hidden="1"/>
    <cellStyle name="Followed Hyperlink" xfId="2047" builtinId="9" hidden="1"/>
    <cellStyle name="Followed Hyperlink" xfId="2049" builtinId="9" hidden="1"/>
    <cellStyle name="Followed Hyperlink" xfId="2051" builtinId="9" hidden="1"/>
    <cellStyle name="Followed Hyperlink" xfId="2053" builtinId="9" hidden="1"/>
    <cellStyle name="Followed Hyperlink" xfId="2055" builtinId="9" hidden="1"/>
    <cellStyle name="Followed Hyperlink" xfId="2057" builtinId="9" hidden="1"/>
    <cellStyle name="Followed Hyperlink" xfId="2059" builtinId="9" hidden="1"/>
    <cellStyle name="Followed Hyperlink" xfId="2061" builtinId="9" hidden="1"/>
    <cellStyle name="Followed Hyperlink" xfId="2063" builtinId="9" hidden="1"/>
    <cellStyle name="Followed Hyperlink" xfId="2065" builtinId="9" hidden="1"/>
    <cellStyle name="Followed Hyperlink" xfId="2067" builtinId="9" hidden="1"/>
    <cellStyle name="Followed Hyperlink" xfId="2069" builtinId="9" hidden="1"/>
    <cellStyle name="Followed Hyperlink" xfId="2071" builtinId="9" hidden="1"/>
    <cellStyle name="Followed Hyperlink" xfId="2073" builtinId="9" hidden="1"/>
    <cellStyle name="Followed Hyperlink" xfId="2075" builtinId="9" hidden="1"/>
    <cellStyle name="Followed Hyperlink" xfId="2077" builtinId="9" hidden="1"/>
    <cellStyle name="Followed Hyperlink" xfId="2079" builtinId="9" hidden="1"/>
    <cellStyle name="Followed Hyperlink" xfId="2081" builtinId="9" hidden="1"/>
    <cellStyle name="Followed Hyperlink" xfId="2083" builtinId="9" hidden="1"/>
    <cellStyle name="Followed Hyperlink" xfId="2085" builtinId="9" hidden="1"/>
    <cellStyle name="Followed Hyperlink" xfId="2087" builtinId="9" hidden="1"/>
    <cellStyle name="Followed Hyperlink" xfId="2089" builtinId="9" hidden="1"/>
    <cellStyle name="Followed Hyperlink" xfId="2091" builtinId="9" hidden="1"/>
    <cellStyle name="Followed Hyperlink" xfId="2093" builtinId="9" hidden="1"/>
    <cellStyle name="Followed Hyperlink" xfId="2095" builtinId="9" hidden="1"/>
    <cellStyle name="Followed Hyperlink" xfId="2097" builtinId="9" hidden="1"/>
    <cellStyle name="Followed Hyperlink" xfId="2099" builtinId="9" hidden="1"/>
    <cellStyle name="Followed Hyperlink" xfId="2101" builtinId="9" hidden="1"/>
    <cellStyle name="Followed Hyperlink" xfId="2103" builtinId="9" hidden="1"/>
    <cellStyle name="Followed Hyperlink" xfId="2105" builtinId="9" hidden="1"/>
    <cellStyle name="Followed Hyperlink" xfId="2107" builtinId="9" hidden="1"/>
    <cellStyle name="Followed Hyperlink" xfId="2109" builtinId="9" hidden="1"/>
    <cellStyle name="Followed Hyperlink" xfId="2111" builtinId="9" hidden="1"/>
    <cellStyle name="Followed Hyperlink" xfId="2113" builtinId="9" hidden="1"/>
    <cellStyle name="Followed Hyperlink" xfId="2115" builtinId="9" hidden="1"/>
    <cellStyle name="Followed Hyperlink" xfId="2117" builtinId="9" hidden="1"/>
    <cellStyle name="Followed Hyperlink" xfId="2119" builtinId="9" hidden="1"/>
    <cellStyle name="Followed Hyperlink" xfId="2121" builtinId="9" hidden="1"/>
    <cellStyle name="Followed Hyperlink" xfId="2123" builtinId="9" hidden="1"/>
    <cellStyle name="Followed Hyperlink" xfId="2125" builtinId="9" hidden="1"/>
    <cellStyle name="Followed Hyperlink" xfId="2127" builtinId="9" hidden="1"/>
    <cellStyle name="Followed Hyperlink" xfId="2129" builtinId="9" hidden="1"/>
    <cellStyle name="Followed Hyperlink" xfId="2131" builtinId="9" hidden="1"/>
    <cellStyle name="Followed Hyperlink" xfId="2133" builtinId="9" hidden="1"/>
    <cellStyle name="Followed Hyperlink" xfId="2135" builtinId="9" hidden="1"/>
    <cellStyle name="Followed Hyperlink" xfId="2137" builtinId="9" hidden="1"/>
    <cellStyle name="Followed Hyperlink" xfId="2139" builtinId="9" hidden="1"/>
    <cellStyle name="Followed Hyperlink" xfId="2141" builtinId="9" hidden="1"/>
    <cellStyle name="Followed Hyperlink" xfId="2143" builtinId="9" hidden="1"/>
    <cellStyle name="Followed Hyperlink" xfId="2145" builtinId="9" hidden="1"/>
    <cellStyle name="Followed Hyperlink" xfId="2147" builtinId="9" hidden="1"/>
    <cellStyle name="Followed Hyperlink" xfId="2149" builtinId="9" hidden="1"/>
    <cellStyle name="Followed Hyperlink" xfId="2151" builtinId="9" hidden="1"/>
    <cellStyle name="Followed Hyperlink" xfId="2153" builtinId="9" hidden="1"/>
    <cellStyle name="Followed Hyperlink" xfId="2155" builtinId="9" hidden="1"/>
    <cellStyle name="Followed Hyperlink" xfId="2157" builtinId="9" hidden="1"/>
    <cellStyle name="Followed Hyperlink" xfId="2159" builtinId="9" hidden="1"/>
    <cellStyle name="Followed Hyperlink" xfId="2161" builtinId="9" hidden="1"/>
    <cellStyle name="Followed Hyperlink" xfId="2163" builtinId="9" hidden="1"/>
    <cellStyle name="Followed Hyperlink" xfId="2165" builtinId="9" hidden="1"/>
    <cellStyle name="Followed Hyperlink" xfId="2167" builtinId="9" hidden="1"/>
    <cellStyle name="Followed Hyperlink" xfId="2169" builtinId="9" hidden="1"/>
    <cellStyle name="Followed Hyperlink" xfId="2171" builtinId="9" hidden="1"/>
    <cellStyle name="Followed Hyperlink" xfId="2173" builtinId="9" hidden="1"/>
    <cellStyle name="Followed Hyperlink" xfId="2175" builtinId="9" hidden="1"/>
    <cellStyle name="Followed Hyperlink" xfId="2177" builtinId="9" hidden="1"/>
    <cellStyle name="Followed Hyperlink" xfId="2179" builtinId="9" hidden="1"/>
    <cellStyle name="Followed Hyperlink" xfId="2181" builtinId="9" hidden="1"/>
    <cellStyle name="Followed Hyperlink" xfId="2183" builtinId="9" hidden="1"/>
    <cellStyle name="Followed Hyperlink" xfId="2185" builtinId="9" hidden="1"/>
    <cellStyle name="Followed Hyperlink" xfId="2187" builtinId="9" hidden="1"/>
    <cellStyle name="Followed Hyperlink" xfId="2189" builtinId="9" hidden="1"/>
    <cellStyle name="Followed Hyperlink" xfId="2191" builtinId="9" hidden="1"/>
    <cellStyle name="Followed Hyperlink" xfId="2193" builtinId="9" hidden="1"/>
    <cellStyle name="Followed Hyperlink" xfId="2195" builtinId="9" hidden="1"/>
    <cellStyle name="Followed Hyperlink" xfId="2197" builtinId="9" hidden="1"/>
    <cellStyle name="Followed Hyperlink" xfId="2199" builtinId="9" hidden="1"/>
    <cellStyle name="Followed Hyperlink" xfId="2201" builtinId="9" hidden="1"/>
    <cellStyle name="Followed Hyperlink" xfId="2203" builtinId="9" hidden="1"/>
    <cellStyle name="Followed Hyperlink" xfId="2205" builtinId="9" hidden="1"/>
    <cellStyle name="Followed Hyperlink" xfId="2207" builtinId="9" hidden="1"/>
    <cellStyle name="Followed Hyperlink" xfId="2209" builtinId="9" hidden="1"/>
    <cellStyle name="Followed Hyperlink" xfId="2211" builtinId="9" hidden="1"/>
    <cellStyle name="Followed Hyperlink" xfId="2213" builtinId="9" hidden="1"/>
    <cellStyle name="Followed Hyperlink" xfId="2215" builtinId="9" hidden="1"/>
    <cellStyle name="Followed Hyperlink" xfId="2217" builtinId="9" hidden="1"/>
    <cellStyle name="Followed Hyperlink" xfId="2219" builtinId="9" hidden="1"/>
    <cellStyle name="Followed Hyperlink" xfId="2221" builtinId="9" hidden="1"/>
    <cellStyle name="Followed Hyperlink" xfId="2223" builtinId="9" hidden="1"/>
    <cellStyle name="Followed Hyperlink" xfId="2225" builtinId="9" hidden="1"/>
    <cellStyle name="Followed Hyperlink" xfId="2227" builtinId="9" hidden="1"/>
    <cellStyle name="Followed Hyperlink" xfId="2229" builtinId="9" hidden="1"/>
    <cellStyle name="Followed Hyperlink" xfId="2231" builtinId="9" hidden="1"/>
    <cellStyle name="Followed Hyperlink" xfId="2233" builtinId="9" hidden="1"/>
    <cellStyle name="Followed Hyperlink" xfId="2235" builtinId="9" hidden="1"/>
    <cellStyle name="Followed Hyperlink" xfId="2237" builtinId="9" hidden="1"/>
    <cellStyle name="Followed Hyperlink" xfId="2239" builtinId="9" hidden="1"/>
    <cellStyle name="Followed Hyperlink" xfId="2241" builtinId="9" hidden="1"/>
    <cellStyle name="Followed Hyperlink" xfId="2243" builtinId="9" hidden="1"/>
    <cellStyle name="Followed Hyperlink" xfId="2245" builtinId="9" hidden="1"/>
    <cellStyle name="Followed Hyperlink" xfId="2247" builtinId="9" hidden="1"/>
    <cellStyle name="Followed Hyperlink" xfId="2249" builtinId="9" hidden="1"/>
    <cellStyle name="Followed Hyperlink" xfId="2251" builtinId="9" hidden="1"/>
    <cellStyle name="Followed Hyperlink" xfId="2253" builtinId="9" hidden="1"/>
    <cellStyle name="Followed Hyperlink" xfId="2255" builtinId="9" hidden="1"/>
    <cellStyle name="Followed Hyperlink" xfId="2257" builtinId="9" hidden="1"/>
    <cellStyle name="Followed Hyperlink" xfId="2259" builtinId="9" hidden="1"/>
    <cellStyle name="Followed Hyperlink" xfId="2261" builtinId="9" hidden="1"/>
    <cellStyle name="Followed Hyperlink" xfId="2263" builtinId="9" hidden="1"/>
    <cellStyle name="Followed Hyperlink" xfId="2265" builtinId="9" hidden="1"/>
    <cellStyle name="Followed Hyperlink" xfId="2267" builtinId="9" hidden="1"/>
    <cellStyle name="Followed Hyperlink" xfId="2269" builtinId="9" hidden="1"/>
    <cellStyle name="Followed Hyperlink" xfId="2271" builtinId="9" hidden="1"/>
    <cellStyle name="Followed Hyperlink" xfId="2273" builtinId="9" hidden="1"/>
    <cellStyle name="Followed Hyperlink" xfId="2275" builtinId="9" hidden="1"/>
    <cellStyle name="Followed Hyperlink" xfId="2277" builtinId="9" hidden="1"/>
    <cellStyle name="Followed Hyperlink" xfId="2279" builtinId="9" hidden="1"/>
    <cellStyle name="Followed Hyperlink" xfId="2281" builtinId="9" hidden="1"/>
    <cellStyle name="Followed Hyperlink" xfId="2283" builtinId="9" hidden="1"/>
    <cellStyle name="Followed Hyperlink" xfId="2285" builtinId="9" hidden="1"/>
    <cellStyle name="Followed Hyperlink" xfId="2287" builtinId="9" hidden="1"/>
    <cellStyle name="Followed Hyperlink" xfId="2289" builtinId="9" hidden="1"/>
    <cellStyle name="Followed Hyperlink" xfId="2291" builtinId="9" hidden="1"/>
    <cellStyle name="Followed Hyperlink" xfId="2293" builtinId="9" hidden="1"/>
    <cellStyle name="Followed Hyperlink" xfId="2295" builtinId="9" hidden="1"/>
    <cellStyle name="Followed Hyperlink" xfId="2297" builtinId="9" hidden="1"/>
    <cellStyle name="Followed Hyperlink" xfId="2299" builtinId="9" hidden="1"/>
    <cellStyle name="Followed Hyperlink" xfId="2301" builtinId="9" hidden="1"/>
    <cellStyle name="Followed Hyperlink" xfId="2303" builtinId="9" hidden="1"/>
    <cellStyle name="Followed Hyperlink" xfId="2305" builtinId="9" hidden="1"/>
    <cellStyle name="Followed Hyperlink" xfId="2307" builtinId="9" hidden="1"/>
    <cellStyle name="Followed Hyperlink" xfId="2309" builtinId="9" hidden="1"/>
    <cellStyle name="Followed Hyperlink" xfId="2311" builtinId="9" hidden="1"/>
    <cellStyle name="Followed Hyperlink" xfId="2313" builtinId="9" hidden="1"/>
    <cellStyle name="Followed Hyperlink" xfId="2315" builtinId="9" hidden="1"/>
    <cellStyle name="Followed Hyperlink" xfId="2317" builtinId="9" hidden="1"/>
    <cellStyle name="Followed Hyperlink" xfId="2319" builtinId="9" hidden="1"/>
    <cellStyle name="Followed Hyperlink" xfId="2321" builtinId="9" hidden="1"/>
    <cellStyle name="Followed Hyperlink" xfId="2323" builtinId="9" hidden="1"/>
    <cellStyle name="Followed Hyperlink" xfId="2325" builtinId="9" hidden="1"/>
    <cellStyle name="Followed Hyperlink" xfId="2327" builtinId="9" hidden="1"/>
    <cellStyle name="Followed Hyperlink" xfId="2329" builtinId="9" hidden="1"/>
    <cellStyle name="Followed Hyperlink" xfId="2331" builtinId="9" hidden="1"/>
    <cellStyle name="Followed Hyperlink" xfId="2333" builtinId="9" hidden="1"/>
    <cellStyle name="Followed Hyperlink" xfId="2335" builtinId="9" hidden="1"/>
    <cellStyle name="Followed Hyperlink" xfId="2337" builtinId="9" hidden="1"/>
    <cellStyle name="Followed Hyperlink" xfId="2339" builtinId="9" hidden="1"/>
    <cellStyle name="Followed Hyperlink" xfId="2341" builtinId="9" hidden="1"/>
    <cellStyle name="Followed Hyperlink" xfId="2343" builtinId="9" hidden="1"/>
    <cellStyle name="Followed Hyperlink" xfId="2345" builtinId="9" hidden="1"/>
    <cellStyle name="Followed Hyperlink" xfId="2347" builtinId="9" hidden="1"/>
    <cellStyle name="Followed Hyperlink" xfId="2349" builtinId="9" hidden="1"/>
    <cellStyle name="Followed Hyperlink" xfId="2351" builtinId="9" hidden="1"/>
    <cellStyle name="Followed Hyperlink" xfId="2353" builtinId="9" hidden="1"/>
    <cellStyle name="Followed Hyperlink" xfId="2355" builtinId="9" hidden="1"/>
    <cellStyle name="Followed Hyperlink" xfId="2357" builtinId="9" hidden="1"/>
    <cellStyle name="Followed Hyperlink" xfId="2359" builtinId="9" hidden="1"/>
    <cellStyle name="Followed Hyperlink" xfId="2361" builtinId="9" hidden="1"/>
    <cellStyle name="Followed Hyperlink" xfId="2363" builtinId="9" hidden="1"/>
    <cellStyle name="Followed Hyperlink" xfId="2365" builtinId="9" hidden="1"/>
    <cellStyle name="Followed Hyperlink" xfId="2367" builtinId="9" hidden="1"/>
    <cellStyle name="Followed Hyperlink" xfId="2369" builtinId="9" hidden="1"/>
    <cellStyle name="Followed Hyperlink" xfId="2371" builtinId="9" hidden="1"/>
    <cellStyle name="Followed Hyperlink" xfId="2373" builtinId="9" hidden="1"/>
    <cellStyle name="Followed Hyperlink" xfId="2375" builtinId="9" hidden="1"/>
    <cellStyle name="Followed Hyperlink" xfId="2377" builtinId="9" hidden="1"/>
    <cellStyle name="Followed Hyperlink" xfId="2379" builtinId="9" hidden="1"/>
    <cellStyle name="Followed Hyperlink" xfId="2381" builtinId="9" hidden="1"/>
    <cellStyle name="Followed Hyperlink" xfId="2383" builtinId="9" hidden="1"/>
    <cellStyle name="Followed Hyperlink" xfId="2385" builtinId="9" hidden="1"/>
    <cellStyle name="Followed Hyperlink" xfId="2387" builtinId="9" hidden="1"/>
    <cellStyle name="Followed Hyperlink" xfId="2389" builtinId="9" hidden="1"/>
    <cellStyle name="Followed Hyperlink" xfId="2391" builtinId="9" hidden="1"/>
    <cellStyle name="Followed Hyperlink" xfId="2393" builtinId="9" hidden="1"/>
    <cellStyle name="Followed Hyperlink" xfId="2395" builtinId="9" hidden="1"/>
    <cellStyle name="Followed Hyperlink" xfId="2397" builtinId="9" hidden="1"/>
    <cellStyle name="Followed Hyperlink" xfId="2399" builtinId="9" hidden="1"/>
    <cellStyle name="Followed Hyperlink" xfId="2401" builtinId="9" hidden="1"/>
    <cellStyle name="Followed Hyperlink" xfId="2403" builtinId="9" hidden="1"/>
    <cellStyle name="Followed Hyperlink" xfId="2405" builtinId="9" hidden="1"/>
    <cellStyle name="Followed Hyperlink" xfId="2407" builtinId="9" hidden="1"/>
    <cellStyle name="Followed Hyperlink" xfId="2409" builtinId="9" hidden="1"/>
    <cellStyle name="Followed Hyperlink" xfId="2411" builtinId="9" hidden="1"/>
    <cellStyle name="Followed Hyperlink" xfId="2413" builtinId="9" hidden="1"/>
    <cellStyle name="Followed Hyperlink" xfId="2415" builtinId="9" hidden="1"/>
    <cellStyle name="Followed Hyperlink" xfId="2417" builtinId="9" hidden="1"/>
    <cellStyle name="Followed Hyperlink" xfId="2419" builtinId="9" hidden="1"/>
    <cellStyle name="Followed Hyperlink" xfId="2421" builtinId="9" hidden="1"/>
    <cellStyle name="Followed Hyperlink" xfId="2423" builtinId="9" hidden="1"/>
    <cellStyle name="Followed Hyperlink" xfId="2425" builtinId="9" hidden="1"/>
    <cellStyle name="Followed Hyperlink" xfId="2427" builtinId="9" hidden="1"/>
    <cellStyle name="Followed Hyperlink" xfId="2429" builtinId="9" hidden="1"/>
    <cellStyle name="Followed Hyperlink" xfId="2431" builtinId="9" hidden="1"/>
    <cellStyle name="Followed Hyperlink" xfId="2433" builtinId="9" hidden="1"/>
    <cellStyle name="Followed Hyperlink" xfId="2435" builtinId="9" hidden="1"/>
    <cellStyle name="Followed Hyperlink" xfId="2437" builtinId="9" hidden="1"/>
    <cellStyle name="Followed Hyperlink" xfId="2439" builtinId="9" hidden="1"/>
    <cellStyle name="Followed Hyperlink" xfId="2441" builtinId="9" hidden="1"/>
    <cellStyle name="Followed Hyperlink" xfId="2443" builtinId="9" hidden="1"/>
    <cellStyle name="Followed Hyperlink" xfId="2445" builtinId="9" hidden="1"/>
    <cellStyle name="Followed Hyperlink" xfId="2447" builtinId="9" hidden="1"/>
    <cellStyle name="Followed Hyperlink" xfId="2449" builtinId="9" hidden="1"/>
    <cellStyle name="Followed Hyperlink" xfId="2451" builtinId="9" hidden="1"/>
    <cellStyle name="Followed Hyperlink" xfId="2453" builtinId="9" hidden="1"/>
    <cellStyle name="Followed Hyperlink" xfId="2455" builtinId="9" hidden="1"/>
    <cellStyle name="Followed Hyperlink" xfId="2457" builtinId="9" hidden="1"/>
    <cellStyle name="Followed Hyperlink" xfId="2459" builtinId="9" hidden="1"/>
    <cellStyle name="Followed Hyperlink" xfId="2461" builtinId="9" hidden="1"/>
    <cellStyle name="Followed Hyperlink" xfId="2463" builtinId="9" hidden="1"/>
    <cellStyle name="Followed Hyperlink" xfId="2465" builtinId="9" hidden="1"/>
    <cellStyle name="Followed Hyperlink" xfId="2467" builtinId="9" hidden="1"/>
    <cellStyle name="Followed Hyperlink" xfId="2469" builtinId="9" hidden="1"/>
    <cellStyle name="Followed Hyperlink" xfId="2471" builtinId="9" hidden="1"/>
    <cellStyle name="Followed Hyperlink" xfId="2473" builtinId="9" hidden="1"/>
    <cellStyle name="Followed Hyperlink" xfId="2475" builtinId="9" hidden="1"/>
    <cellStyle name="Followed Hyperlink" xfId="2477" builtinId="9" hidden="1"/>
    <cellStyle name="Followed Hyperlink" xfId="2479" builtinId="9" hidden="1"/>
    <cellStyle name="Followed Hyperlink" xfId="2481" builtinId="9" hidden="1"/>
    <cellStyle name="Followed Hyperlink" xfId="2483" builtinId="9" hidden="1"/>
    <cellStyle name="Followed Hyperlink" xfId="2485" builtinId="9" hidden="1"/>
    <cellStyle name="Followed Hyperlink" xfId="2487" builtinId="9" hidden="1"/>
    <cellStyle name="Followed Hyperlink" xfId="2489" builtinId="9" hidden="1"/>
    <cellStyle name="Followed Hyperlink" xfId="2491" builtinId="9" hidden="1"/>
    <cellStyle name="Followed Hyperlink" xfId="2493" builtinId="9" hidden="1"/>
    <cellStyle name="Followed Hyperlink" xfId="2495" builtinId="9" hidden="1"/>
    <cellStyle name="Followed Hyperlink" xfId="2497" builtinId="9" hidden="1"/>
    <cellStyle name="Followed Hyperlink" xfId="2499" builtinId="9" hidden="1"/>
    <cellStyle name="Followed Hyperlink" xfId="2501" builtinId="9" hidden="1"/>
    <cellStyle name="Followed Hyperlink" xfId="2503" builtinId="9" hidden="1"/>
    <cellStyle name="Followed Hyperlink" xfId="2505" builtinId="9" hidden="1"/>
    <cellStyle name="Followed Hyperlink" xfId="2507" builtinId="9" hidden="1"/>
    <cellStyle name="Followed Hyperlink" xfId="2512" builtinId="9" hidden="1"/>
    <cellStyle name="Followed Hyperlink" xfId="2514" builtinId="9" hidden="1"/>
    <cellStyle name="Followed Hyperlink" xfId="2516" builtinId="9" hidden="1"/>
    <cellStyle name="Followed Hyperlink" xfId="2518" builtinId="9" hidden="1"/>
    <cellStyle name="Followed Hyperlink" xfId="2520" builtinId="9" hidden="1"/>
    <cellStyle name="Followed Hyperlink" xfId="2522" builtinId="9" hidden="1"/>
    <cellStyle name="Followed Hyperlink" xfId="2524" builtinId="9" hidden="1"/>
    <cellStyle name="Followed Hyperlink" xfId="2526" builtinId="9" hidden="1"/>
    <cellStyle name="Followed Hyperlink" xfId="2528" builtinId="9" hidden="1"/>
    <cellStyle name="Followed Hyperlink" xfId="2530" builtinId="9" hidden="1"/>
    <cellStyle name="Followed Hyperlink" xfId="2532" builtinId="9" hidden="1"/>
    <cellStyle name="Followed Hyperlink" xfId="2534" builtinId="9" hidden="1"/>
    <cellStyle name="Followed Hyperlink" xfId="2536" builtinId="9" hidden="1"/>
    <cellStyle name="Followed Hyperlink" xfId="2538" builtinId="9" hidden="1"/>
    <cellStyle name="Followed Hyperlink" xfId="2540" builtinId="9" hidden="1"/>
    <cellStyle name="Followed Hyperlink" xfId="2542" builtinId="9" hidden="1"/>
    <cellStyle name="Followed Hyperlink" xfId="2544" builtinId="9" hidden="1"/>
    <cellStyle name="Followed Hyperlink" xfId="2546" builtinId="9" hidden="1"/>
    <cellStyle name="Followed Hyperlink" xfId="2548" builtinId="9" hidden="1"/>
    <cellStyle name="Followed Hyperlink" xfId="2550" builtinId="9" hidden="1"/>
    <cellStyle name="Followed Hyperlink" xfId="2552" builtinId="9" hidden="1"/>
    <cellStyle name="Followed Hyperlink" xfId="2554" builtinId="9" hidden="1"/>
    <cellStyle name="Followed Hyperlink" xfId="2556" builtinId="9" hidden="1"/>
    <cellStyle name="Followed Hyperlink" xfId="2558" builtinId="9" hidden="1"/>
    <cellStyle name="Followed Hyperlink" xfId="2560" builtinId="9" hidden="1"/>
    <cellStyle name="Followed Hyperlink" xfId="2562" builtinId="9" hidden="1"/>
    <cellStyle name="Followed Hyperlink" xfId="2564" builtinId="9" hidden="1"/>
    <cellStyle name="Followed Hyperlink" xfId="2566" builtinId="9" hidden="1"/>
    <cellStyle name="Followed Hyperlink" xfId="2568" builtinId="9" hidden="1"/>
    <cellStyle name="Followed Hyperlink" xfId="2570" builtinId="9" hidden="1"/>
    <cellStyle name="Followed Hyperlink" xfId="2572" builtinId="9" hidden="1"/>
    <cellStyle name="Followed Hyperlink" xfId="2574" builtinId="9" hidden="1"/>
    <cellStyle name="Followed Hyperlink" xfId="2576" builtinId="9" hidden="1"/>
    <cellStyle name="Followed Hyperlink" xfId="2578" builtinId="9" hidden="1"/>
    <cellStyle name="Followed Hyperlink" xfId="2580" builtinId="9" hidden="1"/>
    <cellStyle name="Followed Hyperlink" xfId="2582" builtinId="9" hidden="1"/>
    <cellStyle name="Followed Hyperlink" xfId="2584" builtinId="9" hidden="1"/>
    <cellStyle name="Followed Hyperlink" xfId="2586" builtinId="9" hidden="1"/>
    <cellStyle name="Followed Hyperlink" xfId="2588" builtinId="9" hidden="1"/>
    <cellStyle name="Followed Hyperlink" xfId="2590" builtinId="9" hidden="1"/>
    <cellStyle name="Followed Hyperlink" xfId="2592" builtinId="9" hidden="1"/>
    <cellStyle name="Followed Hyperlink" xfId="2594" builtinId="9" hidden="1"/>
    <cellStyle name="Followed Hyperlink" xfId="2596" builtinId="9" hidden="1"/>
    <cellStyle name="Followed Hyperlink" xfId="2598" builtinId="9" hidden="1"/>
    <cellStyle name="Followed Hyperlink" xfId="2600" builtinId="9" hidden="1"/>
    <cellStyle name="Followed Hyperlink" xfId="2602" builtinId="9" hidden="1"/>
    <cellStyle name="Followed Hyperlink" xfId="2604" builtinId="9" hidden="1"/>
    <cellStyle name="Followed Hyperlink" xfId="2606" builtinId="9" hidden="1"/>
    <cellStyle name="Followed Hyperlink" xfId="2608" builtinId="9" hidden="1"/>
    <cellStyle name="Followed Hyperlink" xfId="2610" builtinId="9" hidden="1"/>
    <cellStyle name="Followed Hyperlink" xfId="2612" builtinId="9" hidden="1"/>
    <cellStyle name="Followed Hyperlink" xfId="2614" builtinId="9" hidden="1"/>
    <cellStyle name="Followed Hyperlink" xfId="2616" builtinId="9" hidden="1"/>
    <cellStyle name="Followed Hyperlink" xfId="2618" builtinId="9" hidden="1"/>
    <cellStyle name="Followed Hyperlink" xfId="2620" builtinId="9" hidden="1"/>
    <cellStyle name="Followed Hyperlink" xfId="2622" builtinId="9" hidden="1"/>
    <cellStyle name="Followed Hyperlink" xfId="2624" builtinId="9" hidden="1"/>
    <cellStyle name="Followed Hyperlink" xfId="2626" builtinId="9" hidden="1"/>
    <cellStyle name="Followed Hyperlink" xfId="2628" builtinId="9" hidden="1"/>
    <cellStyle name="Followed Hyperlink" xfId="2630" builtinId="9" hidden="1"/>
    <cellStyle name="Followed Hyperlink" xfId="2632" builtinId="9" hidden="1"/>
    <cellStyle name="Followed Hyperlink" xfId="2634" builtinId="9" hidden="1"/>
    <cellStyle name="Followed Hyperlink" xfId="2636" builtinId="9" hidden="1"/>
    <cellStyle name="Followed Hyperlink" xfId="2638" builtinId="9" hidden="1"/>
    <cellStyle name="Followed Hyperlink" xfId="2640" builtinId="9" hidden="1"/>
    <cellStyle name="Followed Hyperlink" xfId="2642" builtinId="9" hidden="1"/>
    <cellStyle name="Followed Hyperlink" xfId="2644" builtinId="9" hidden="1"/>
    <cellStyle name="Followed Hyperlink" xfId="2646" builtinId="9" hidden="1"/>
    <cellStyle name="Followed Hyperlink" xfId="2649" builtinId="9" hidden="1"/>
    <cellStyle name="Good" xfId="47" builtinId="26" customBuiltin="1"/>
    <cellStyle name="Heading 1" xfId="48" builtinId="16" customBuiltin="1"/>
    <cellStyle name="Heading 2" xfId="49" builtinId="17" customBuiltin="1"/>
    <cellStyle name="Heading 3" xfId="50" builtinId="18" customBuiltin="1"/>
    <cellStyle name="Heading 4" xfId="51" builtinId="19" customBuiltin="1"/>
    <cellStyle name="Hyperlink" xfId="1561" builtinId="8" hidden="1"/>
    <cellStyle name="Hyperlink" xfId="1565" builtinId="8" hidden="1"/>
    <cellStyle name="Hyperlink" xfId="1567" builtinId="8" hidden="1"/>
    <cellStyle name="Hyperlink" xfId="1569" builtinId="8" hidden="1"/>
    <cellStyle name="Hyperlink" xfId="1571" builtinId="8" hidden="1"/>
    <cellStyle name="Hyperlink" xfId="1573" builtinId="8" hidden="1"/>
    <cellStyle name="Hyperlink" xfId="1575" builtinId="8" hidden="1"/>
    <cellStyle name="Hyperlink" xfId="1578" builtinId="8" hidden="1"/>
    <cellStyle name="Hyperlink" xfId="1580" builtinId="8" hidden="1"/>
    <cellStyle name="Hyperlink" xfId="1582" builtinId="8" hidden="1"/>
    <cellStyle name="Hyperlink" xfId="1584" builtinId="8" hidden="1"/>
    <cellStyle name="Hyperlink" xfId="1586" builtinId="8" hidden="1"/>
    <cellStyle name="Hyperlink" xfId="1588" builtinId="8" hidden="1"/>
    <cellStyle name="Hyperlink" xfId="1590" builtinId="8" hidden="1"/>
    <cellStyle name="Hyperlink" xfId="1592" builtinId="8" hidden="1"/>
    <cellStyle name="Hyperlink" xfId="1594" builtinId="8" hidden="1"/>
    <cellStyle name="Hyperlink" xfId="1596" builtinId="8" hidden="1"/>
    <cellStyle name="Hyperlink" xfId="1598" builtinId="8" hidden="1"/>
    <cellStyle name="Hyperlink" xfId="1600" builtinId="8" hidden="1"/>
    <cellStyle name="Hyperlink" xfId="1602" builtinId="8" hidden="1"/>
    <cellStyle name="Hyperlink" xfId="1604" builtinId="8" hidden="1"/>
    <cellStyle name="Hyperlink" xfId="1606" builtinId="8" hidden="1"/>
    <cellStyle name="Hyperlink" xfId="1608" builtinId="8" hidden="1"/>
    <cellStyle name="Hyperlink" xfId="1610" builtinId="8" hidden="1"/>
    <cellStyle name="Hyperlink" xfId="1612" builtinId="8" hidden="1"/>
    <cellStyle name="Hyperlink" xfId="1614" builtinId="8" hidden="1"/>
    <cellStyle name="Hyperlink" xfId="1616" builtinId="8" hidden="1"/>
    <cellStyle name="Hyperlink" xfId="1618" builtinId="8" hidden="1"/>
    <cellStyle name="Hyperlink" xfId="1620" builtinId="8" hidden="1"/>
    <cellStyle name="Hyperlink" xfId="1622" builtinId="8" hidden="1"/>
    <cellStyle name="Hyperlink" xfId="1624" builtinId="8" hidden="1"/>
    <cellStyle name="Hyperlink" xfId="1626" builtinId="8" hidden="1"/>
    <cellStyle name="Hyperlink" xfId="1628" builtinId="8" hidden="1"/>
    <cellStyle name="Hyperlink" xfId="1630" builtinId="8" hidden="1"/>
    <cellStyle name="Hyperlink" xfId="1632" builtinId="8" hidden="1"/>
    <cellStyle name="Hyperlink" xfId="1634" builtinId="8" hidden="1"/>
    <cellStyle name="Hyperlink" xfId="1636" builtinId="8" hidden="1"/>
    <cellStyle name="Hyperlink" xfId="1638" builtinId="8" hidden="1"/>
    <cellStyle name="Hyperlink" xfId="1640" builtinId="8" hidden="1"/>
    <cellStyle name="Hyperlink" xfId="1642" builtinId="8" hidden="1"/>
    <cellStyle name="Hyperlink" xfId="1644" builtinId="8" hidden="1"/>
    <cellStyle name="Hyperlink" xfId="1646" builtinId="8" hidden="1"/>
    <cellStyle name="Hyperlink" xfId="1648" builtinId="8" hidden="1"/>
    <cellStyle name="Hyperlink" xfId="1650" builtinId="8" hidden="1"/>
    <cellStyle name="Hyperlink" xfId="1652" builtinId="8" hidden="1"/>
    <cellStyle name="Hyperlink" xfId="1654" builtinId="8" hidden="1"/>
    <cellStyle name="Hyperlink" xfId="1656" builtinId="8" hidden="1"/>
    <cellStyle name="Hyperlink" xfId="1658" builtinId="8" hidden="1"/>
    <cellStyle name="Hyperlink" xfId="1660" builtinId="8" hidden="1"/>
    <cellStyle name="Hyperlink" xfId="1662" builtinId="8" hidden="1"/>
    <cellStyle name="Hyperlink" xfId="1664" builtinId="8" hidden="1"/>
    <cellStyle name="Hyperlink" xfId="1666" builtinId="8" hidden="1"/>
    <cellStyle name="Hyperlink" xfId="1668" builtinId="8" hidden="1"/>
    <cellStyle name="Hyperlink" xfId="1670" builtinId="8" hidden="1"/>
    <cellStyle name="Hyperlink" xfId="1672" builtinId="8" hidden="1"/>
    <cellStyle name="Hyperlink" xfId="1674" builtinId="8" hidden="1"/>
    <cellStyle name="Hyperlink" xfId="1676" builtinId="8" hidden="1"/>
    <cellStyle name="Hyperlink" xfId="1678" builtinId="8" hidden="1"/>
    <cellStyle name="Hyperlink" xfId="1680" builtinId="8" hidden="1"/>
    <cellStyle name="Hyperlink" xfId="1682" builtinId="8" hidden="1"/>
    <cellStyle name="Hyperlink" xfId="1684" builtinId="8" hidden="1"/>
    <cellStyle name="Hyperlink" xfId="1686" builtinId="8" hidden="1"/>
    <cellStyle name="Hyperlink" xfId="1688" builtinId="8" hidden="1"/>
    <cellStyle name="Hyperlink" xfId="1690" builtinId="8" hidden="1"/>
    <cellStyle name="Hyperlink" xfId="1692" builtinId="8" hidden="1"/>
    <cellStyle name="Hyperlink" xfId="1694" builtinId="8" hidden="1"/>
    <cellStyle name="Hyperlink" xfId="1696" builtinId="8" hidden="1"/>
    <cellStyle name="Hyperlink" xfId="1698" builtinId="8" hidden="1"/>
    <cellStyle name="Hyperlink" xfId="1700" builtinId="8" hidden="1"/>
    <cellStyle name="Hyperlink" xfId="1702" builtinId="8" hidden="1"/>
    <cellStyle name="Hyperlink" xfId="1704" builtinId="8" hidden="1"/>
    <cellStyle name="Hyperlink" xfId="1706" builtinId="8" hidden="1"/>
    <cellStyle name="Hyperlink" xfId="1708" builtinId="8" hidden="1"/>
    <cellStyle name="Hyperlink" xfId="1710" builtinId="8" hidden="1"/>
    <cellStyle name="Hyperlink" xfId="1712" builtinId="8" hidden="1"/>
    <cellStyle name="Hyperlink" xfId="1714" builtinId="8" hidden="1"/>
    <cellStyle name="Hyperlink" xfId="1716" builtinId="8" hidden="1"/>
    <cellStyle name="Hyperlink" xfId="1718" builtinId="8" hidden="1"/>
    <cellStyle name="Hyperlink" xfId="1720" builtinId="8" hidden="1"/>
    <cellStyle name="Hyperlink" xfId="1722" builtinId="8" hidden="1"/>
    <cellStyle name="Hyperlink" xfId="1724" builtinId="8" hidden="1"/>
    <cellStyle name="Hyperlink" xfId="1726" builtinId="8" hidden="1"/>
    <cellStyle name="Hyperlink" xfId="1728" builtinId="8" hidden="1"/>
    <cellStyle name="Hyperlink" xfId="1730" builtinId="8" hidden="1"/>
    <cellStyle name="Hyperlink" xfId="1732" builtinId="8" hidden="1"/>
    <cellStyle name="Hyperlink" xfId="1734" builtinId="8" hidden="1"/>
    <cellStyle name="Hyperlink" xfId="1736" builtinId="8" hidden="1"/>
    <cellStyle name="Hyperlink" xfId="1738" builtinId="8" hidden="1"/>
    <cellStyle name="Hyperlink" xfId="1740" builtinId="8" hidden="1"/>
    <cellStyle name="Hyperlink" xfId="1742" builtinId="8" hidden="1"/>
    <cellStyle name="Hyperlink" xfId="1744" builtinId="8" hidden="1"/>
    <cellStyle name="Hyperlink" xfId="1746" builtinId="8" hidden="1"/>
    <cellStyle name="Hyperlink" xfId="1748" builtinId="8" hidden="1"/>
    <cellStyle name="Hyperlink" xfId="1750" builtinId="8" hidden="1"/>
    <cellStyle name="Hyperlink" xfId="1752" builtinId="8" hidden="1"/>
    <cellStyle name="Hyperlink" xfId="1754" builtinId="8" hidden="1"/>
    <cellStyle name="Hyperlink" xfId="1756" builtinId="8" hidden="1"/>
    <cellStyle name="Hyperlink" xfId="1758" builtinId="8" hidden="1"/>
    <cellStyle name="Hyperlink" xfId="1760" builtinId="8" hidden="1"/>
    <cellStyle name="Hyperlink" xfId="1762" builtinId="8" hidden="1"/>
    <cellStyle name="Hyperlink" xfId="1764" builtinId="8" hidden="1"/>
    <cellStyle name="Hyperlink" xfId="1766" builtinId="8" hidden="1"/>
    <cellStyle name="Hyperlink" xfId="1768" builtinId="8" hidden="1"/>
    <cellStyle name="Hyperlink" xfId="1770" builtinId="8" hidden="1"/>
    <cellStyle name="Hyperlink" xfId="1772" builtinId="8" hidden="1"/>
    <cellStyle name="Hyperlink" xfId="1774" builtinId="8" hidden="1"/>
    <cellStyle name="Hyperlink" xfId="1776" builtinId="8" hidden="1"/>
    <cellStyle name="Hyperlink" xfId="1778" builtinId="8" hidden="1"/>
    <cellStyle name="Hyperlink" xfId="1780" builtinId="8" hidden="1"/>
    <cellStyle name="Hyperlink" xfId="1782" builtinId="8" hidden="1"/>
    <cellStyle name="Hyperlink" xfId="1784" builtinId="8" hidden="1"/>
    <cellStyle name="Hyperlink" xfId="1786" builtinId="8" hidden="1"/>
    <cellStyle name="Hyperlink" xfId="1788" builtinId="8" hidden="1"/>
    <cellStyle name="Hyperlink" xfId="1790" builtinId="8" hidden="1"/>
    <cellStyle name="Hyperlink" xfId="1792" builtinId="8" hidden="1"/>
    <cellStyle name="Hyperlink" xfId="1794" builtinId="8" hidden="1"/>
    <cellStyle name="Hyperlink" xfId="1796" builtinId="8" hidden="1"/>
    <cellStyle name="Hyperlink" xfId="1798" builtinId="8" hidden="1"/>
    <cellStyle name="Hyperlink" xfId="1800" builtinId="8" hidden="1"/>
    <cellStyle name="Hyperlink" xfId="1802" builtinId="8" hidden="1"/>
    <cellStyle name="Hyperlink" xfId="1804" builtinId="8" hidden="1"/>
    <cellStyle name="Hyperlink" xfId="1806" builtinId="8" hidden="1"/>
    <cellStyle name="Hyperlink" xfId="1808" builtinId="8" hidden="1"/>
    <cellStyle name="Hyperlink" xfId="1810" builtinId="8" hidden="1"/>
    <cellStyle name="Hyperlink" xfId="1812" builtinId="8" hidden="1"/>
    <cellStyle name="Hyperlink" xfId="1814" builtinId="8" hidden="1"/>
    <cellStyle name="Hyperlink" xfId="1816" builtinId="8" hidden="1"/>
    <cellStyle name="Hyperlink" xfId="1818" builtinId="8" hidden="1"/>
    <cellStyle name="Hyperlink" xfId="1820" builtinId="8" hidden="1"/>
    <cellStyle name="Hyperlink" xfId="1822" builtinId="8" hidden="1"/>
    <cellStyle name="Hyperlink" xfId="1824" builtinId="8" hidden="1"/>
    <cellStyle name="Hyperlink" xfId="1826" builtinId="8" hidden="1"/>
    <cellStyle name="Hyperlink" xfId="1828" builtinId="8" hidden="1"/>
    <cellStyle name="Hyperlink" xfId="1830" builtinId="8" hidden="1"/>
    <cellStyle name="Hyperlink" xfId="1832" builtinId="8" hidden="1"/>
    <cellStyle name="Hyperlink" xfId="1834" builtinId="8" hidden="1"/>
    <cellStyle name="Hyperlink" xfId="1836" builtinId="8" hidden="1"/>
    <cellStyle name="Hyperlink" xfId="1838" builtinId="8" hidden="1"/>
    <cellStyle name="Hyperlink" xfId="1840" builtinId="8" hidden="1"/>
    <cellStyle name="Hyperlink" xfId="1842" builtinId="8" hidden="1"/>
    <cellStyle name="Hyperlink" xfId="1844" builtinId="8" hidden="1"/>
    <cellStyle name="Hyperlink" xfId="1846" builtinId="8" hidden="1"/>
    <cellStyle name="Hyperlink" xfId="1848" builtinId="8" hidden="1"/>
    <cellStyle name="Hyperlink" xfId="1850" builtinId="8" hidden="1"/>
    <cellStyle name="Hyperlink" xfId="1852" builtinId="8" hidden="1"/>
    <cellStyle name="Hyperlink" xfId="1854" builtinId="8" hidden="1"/>
    <cellStyle name="Hyperlink" xfId="1856" builtinId="8" hidden="1"/>
    <cellStyle name="Hyperlink" xfId="1858" builtinId="8" hidden="1"/>
    <cellStyle name="Hyperlink" xfId="1860" builtinId="8" hidden="1"/>
    <cellStyle name="Hyperlink" xfId="1862" builtinId="8" hidden="1"/>
    <cellStyle name="Hyperlink" xfId="1864" builtinId="8" hidden="1"/>
    <cellStyle name="Hyperlink" xfId="1866" builtinId="8" hidden="1"/>
    <cellStyle name="Hyperlink" xfId="1868" builtinId="8" hidden="1"/>
    <cellStyle name="Hyperlink" xfId="1870" builtinId="8" hidden="1"/>
    <cellStyle name="Hyperlink" xfId="1872" builtinId="8" hidden="1"/>
    <cellStyle name="Hyperlink" xfId="1874" builtinId="8" hidden="1"/>
    <cellStyle name="Hyperlink" xfId="1876" builtinId="8" hidden="1"/>
    <cellStyle name="Hyperlink" xfId="1878" builtinId="8" hidden="1"/>
    <cellStyle name="Hyperlink" xfId="1880" builtinId="8" hidden="1"/>
    <cellStyle name="Hyperlink" xfId="1882" builtinId="8" hidden="1"/>
    <cellStyle name="Hyperlink" xfId="1884" builtinId="8" hidden="1"/>
    <cellStyle name="Hyperlink" xfId="1886" builtinId="8" hidden="1"/>
    <cellStyle name="Hyperlink" xfId="1888" builtinId="8" hidden="1"/>
    <cellStyle name="Hyperlink" xfId="1890" builtinId="8" hidden="1"/>
    <cellStyle name="Hyperlink" xfId="1892" builtinId="8" hidden="1"/>
    <cellStyle name="Hyperlink" xfId="1894" builtinId="8" hidden="1"/>
    <cellStyle name="Hyperlink" xfId="1896" builtinId="8" hidden="1"/>
    <cellStyle name="Hyperlink" xfId="1898" builtinId="8" hidden="1"/>
    <cellStyle name="Hyperlink" xfId="1900" builtinId="8" hidden="1"/>
    <cellStyle name="Hyperlink" xfId="1902" builtinId="8" hidden="1"/>
    <cellStyle name="Hyperlink" xfId="1904" builtinId="8" hidden="1"/>
    <cellStyle name="Hyperlink" xfId="1906" builtinId="8" hidden="1"/>
    <cellStyle name="Hyperlink" xfId="1908" builtinId="8" hidden="1"/>
    <cellStyle name="Hyperlink" xfId="1910" builtinId="8" hidden="1"/>
    <cellStyle name="Hyperlink" xfId="1912" builtinId="8" hidden="1"/>
    <cellStyle name="Hyperlink" xfId="1914" builtinId="8" hidden="1"/>
    <cellStyle name="Hyperlink" xfId="1916" builtinId="8" hidden="1"/>
    <cellStyle name="Hyperlink" xfId="1918" builtinId="8" hidden="1"/>
    <cellStyle name="Hyperlink" xfId="1920" builtinId="8" hidden="1"/>
    <cellStyle name="Hyperlink" xfId="1922" builtinId="8" hidden="1"/>
    <cellStyle name="Hyperlink" xfId="1924" builtinId="8" hidden="1"/>
    <cellStyle name="Hyperlink" xfId="1926" builtinId="8" hidden="1"/>
    <cellStyle name="Hyperlink" xfId="1928" builtinId="8" hidden="1"/>
    <cellStyle name="Hyperlink" xfId="1930" builtinId="8" hidden="1"/>
    <cellStyle name="Hyperlink" xfId="1932" builtinId="8" hidden="1"/>
    <cellStyle name="Hyperlink" xfId="1934" builtinId="8" hidden="1"/>
    <cellStyle name="Hyperlink" xfId="1936" builtinId="8" hidden="1"/>
    <cellStyle name="Hyperlink" xfId="1938" builtinId="8" hidden="1"/>
    <cellStyle name="Hyperlink" xfId="1940" builtinId="8" hidden="1"/>
    <cellStyle name="Hyperlink" xfId="1942" builtinId="8" hidden="1"/>
    <cellStyle name="Hyperlink" xfId="1944" builtinId="8" hidden="1"/>
    <cellStyle name="Hyperlink" xfId="1946" builtinId="8" hidden="1"/>
    <cellStyle name="Hyperlink" xfId="1948" builtinId="8" hidden="1"/>
    <cellStyle name="Hyperlink" xfId="1950" builtinId="8" hidden="1"/>
    <cellStyle name="Hyperlink" xfId="1952" builtinId="8" hidden="1"/>
    <cellStyle name="Hyperlink" xfId="1954" builtinId="8" hidden="1"/>
    <cellStyle name="Hyperlink" xfId="1956" builtinId="8" hidden="1"/>
    <cellStyle name="Hyperlink" xfId="1958" builtinId="8" hidden="1"/>
    <cellStyle name="Hyperlink" xfId="1960" builtinId="8" hidden="1"/>
    <cellStyle name="Hyperlink" xfId="1962" builtinId="8" hidden="1"/>
    <cellStyle name="Hyperlink" xfId="1964" builtinId="8" hidden="1"/>
    <cellStyle name="Hyperlink" xfId="1966" builtinId="8" hidden="1"/>
    <cellStyle name="Hyperlink" xfId="1968" builtinId="8" hidden="1"/>
    <cellStyle name="Hyperlink" xfId="1970" builtinId="8" hidden="1"/>
    <cellStyle name="Hyperlink" xfId="1972" builtinId="8" hidden="1"/>
    <cellStyle name="Hyperlink" xfId="1974" builtinId="8" hidden="1"/>
    <cellStyle name="Hyperlink" xfId="1976" builtinId="8" hidden="1"/>
    <cellStyle name="Hyperlink" xfId="1978" builtinId="8" hidden="1"/>
    <cellStyle name="Hyperlink" xfId="1980" builtinId="8" hidden="1"/>
    <cellStyle name="Hyperlink" xfId="1982" builtinId="8" hidden="1"/>
    <cellStyle name="Hyperlink" xfId="1984" builtinId="8" hidden="1"/>
    <cellStyle name="Hyperlink" xfId="1986" builtinId="8" hidden="1"/>
    <cellStyle name="Hyperlink" xfId="1988" builtinId="8" hidden="1"/>
    <cellStyle name="Hyperlink" xfId="1990" builtinId="8" hidden="1"/>
    <cellStyle name="Hyperlink" xfId="1992" builtinId="8" hidden="1"/>
    <cellStyle name="Hyperlink" xfId="1994" builtinId="8" hidden="1"/>
    <cellStyle name="Hyperlink" xfId="1996" builtinId="8" hidden="1"/>
    <cellStyle name="Hyperlink" xfId="1998" builtinId="8" hidden="1"/>
    <cellStyle name="Hyperlink" xfId="2000" builtinId="8" hidden="1"/>
    <cellStyle name="Hyperlink" xfId="2002" builtinId="8" hidden="1"/>
    <cellStyle name="Hyperlink" xfId="2004" builtinId="8" hidden="1"/>
    <cellStyle name="Hyperlink" xfId="2006" builtinId="8" hidden="1"/>
    <cellStyle name="Hyperlink" xfId="2008" builtinId="8" hidden="1"/>
    <cellStyle name="Hyperlink" xfId="2010" builtinId="8" hidden="1"/>
    <cellStyle name="Hyperlink" xfId="2012" builtinId="8" hidden="1"/>
    <cellStyle name="Hyperlink" xfId="2014" builtinId="8" hidden="1"/>
    <cellStyle name="Hyperlink" xfId="2016" builtinId="8" hidden="1"/>
    <cellStyle name="Hyperlink" xfId="2018" builtinId="8" hidden="1"/>
    <cellStyle name="Hyperlink" xfId="2020" builtinId="8" hidden="1"/>
    <cellStyle name="Hyperlink" xfId="2022" builtinId="8" hidden="1"/>
    <cellStyle name="Hyperlink" xfId="2024" builtinId="8" hidden="1"/>
    <cellStyle name="Hyperlink" xfId="2026" builtinId="8" hidden="1"/>
    <cellStyle name="Hyperlink" xfId="2028" builtinId="8" hidden="1"/>
    <cellStyle name="Hyperlink" xfId="2030" builtinId="8" hidden="1"/>
    <cellStyle name="Hyperlink" xfId="2032" builtinId="8" hidden="1"/>
    <cellStyle name="Hyperlink" xfId="2034" builtinId="8" hidden="1"/>
    <cellStyle name="Hyperlink" xfId="2036" builtinId="8" hidden="1"/>
    <cellStyle name="Hyperlink" xfId="2038" builtinId="8" hidden="1"/>
    <cellStyle name="Hyperlink" xfId="2040" builtinId="8" hidden="1"/>
    <cellStyle name="Hyperlink" xfId="2042" builtinId="8" hidden="1"/>
    <cellStyle name="Hyperlink" xfId="2044" builtinId="8" hidden="1"/>
    <cellStyle name="Hyperlink" xfId="2046" builtinId="8" hidden="1"/>
    <cellStyle name="Hyperlink" xfId="2048" builtinId="8" hidden="1"/>
    <cellStyle name="Hyperlink" xfId="2050" builtinId="8" hidden="1"/>
    <cellStyle name="Hyperlink" xfId="2052" builtinId="8" hidden="1"/>
    <cellStyle name="Hyperlink" xfId="2054" builtinId="8" hidden="1"/>
    <cellStyle name="Hyperlink" xfId="2056" builtinId="8" hidden="1"/>
    <cellStyle name="Hyperlink" xfId="2058" builtinId="8" hidden="1"/>
    <cellStyle name="Hyperlink" xfId="2060" builtinId="8" hidden="1"/>
    <cellStyle name="Hyperlink" xfId="2062" builtinId="8" hidden="1"/>
    <cellStyle name="Hyperlink" xfId="2064" builtinId="8" hidden="1"/>
    <cellStyle name="Hyperlink" xfId="2066" builtinId="8" hidden="1"/>
    <cellStyle name="Hyperlink" xfId="2068" builtinId="8" hidden="1"/>
    <cellStyle name="Hyperlink" xfId="2070" builtinId="8" hidden="1"/>
    <cellStyle name="Hyperlink" xfId="2072" builtinId="8" hidden="1"/>
    <cellStyle name="Hyperlink" xfId="2074" builtinId="8" hidden="1"/>
    <cellStyle name="Hyperlink" xfId="2076" builtinId="8" hidden="1"/>
    <cellStyle name="Hyperlink" xfId="2078" builtinId="8" hidden="1"/>
    <cellStyle name="Hyperlink" xfId="2080" builtinId="8" hidden="1"/>
    <cellStyle name="Hyperlink" xfId="2082" builtinId="8" hidden="1"/>
    <cellStyle name="Hyperlink" xfId="2084" builtinId="8" hidden="1"/>
    <cellStyle name="Hyperlink" xfId="2086" builtinId="8" hidden="1"/>
    <cellStyle name="Hyperlink" xfId="2088" builtinId="8" hidden="1"/>
    <cellStyle name="Hyperlink" xfId="2090" builtinId="8" hidden="1"/>
    <cellStyle name="Hyperlink" xfId="2092" builtinId="8" hidden="1"/>
    <cellStyle name="Hyperlink" xfId="2094" builtinId="8" hidden="1"/>
    <cellStyle name="Hyperlink" xfId="2096" builtinId="8" hidden="1"/>
    <cellStyle name="Hyperlink" xfId="2098" builtinId="8" hidden="1"/>
    <cellStyle name="Hyperlink" xfId="2100" builtinId="8" hidden="1"/>
    <cellStyle name="Hyperlink" xfId="2102" builtinId="8" hidden="1"/>
    <cellStyle name="Hyperlink" xfId="2104" builtinId="8" hidden="1"/>
    <cellStyle name="Hyperlink" xfId="2106" builtinId="8" hidden="1"/>
    <cellStyle name="Hyperlink" xfId="2108" builtinId="8" hidden="1"/>
    <cellStyle name="Hyperlink" xfId="2110" builtinId="8" hidden="1"/>
    <cellStyle name="Hyperlink" xfId="2112" builtinId="8" hidden="1"/>
    <cellStyle name="Hyperlink" xfId="2114" builtinId="8" hidden="1"/>
    <cellStyle name="Hyperlink" xfId="2116" builtinId="8" hidden="1"/>
    <cellStyle name="Hyperlink" xfId="2118" builtinId="8" hidden="1"/>
    <cellStyle name="Hyperlink" xfId="2120" builtinId="8" hidden="1"/>
    <cellStyle name="Hyperlink" xfId="2122" builtinId="8" hidden="1"/>
    <cellStyle name="Hyperlink" xfId="2124" builtinId="8" hidden="1"/>
    <cellStyle name="Hyperlink" xfId="2126" builtinId="8" hidden="1"/>
    <cellStyle name="Hyperlink" xfId="2128" builtinId="8" hidden="1"/>
    <cellStyle name="Hyperlink" xfId="2130" builtinId="8" hidden="1"/>
    <cellStyle name="Hyperlink" xfId="2132" builtinId="8" hidden="1"/>
    <cellStyle name="Hyperlink" xfId="2134" builtinId="8" hidden="1"/>
    <cellStyle name="Hyperlink" xfId="2136" builtinId="8" hidden="1"/>
    <cellStyle name="Hyperlink" xfId="2138" builtinId="8" hidden="1"/>
    <cellStyle name="Hyperlink" xfId="2140" builtinId="8" hidden="1"/>
    <cellStyle name="Hyperlink" xfId="2142" builtinId="8" hidden="1"/>
    <cellStyle name="Hyperlink" xfId="2144" builtinId="8" hidden="1"/>
    <cellStyle name="Hyperlink" xfId="2146" builtinId="8" hidden="1"/>
    <cellStyle name="Hyperlink" xfId="2148" builtinId="8" hidden="1"/>
    <cellStyle name="Hyperlink" xfId="2150" builtinId="8" hidden="1"/>
    <cellStyle name="Hyperlink" xfId="2152" builtinId="8" hidden="1"/>
    <cellStyle name="Hyperlink" xfId="2154" builtinId="8" hidden="1"/>
    <cellStyle name="Hyperlink" xfId="2156" builtinId="8" hidden="1"/>
    <cellStyle name="Hyperlink" xfId="2158" builtinId="8" hidden="1"/>
    <cellStyle name="Hyperlink" xfId="2160" builtinId="8" hidden="1"/>
    <cellStyle name="Hyperlink" xfId="2162" builtinId="8" hidden="1"/>
    <cellStyle name="Hyperlink" xfId="2164" builtinId="8" hidden="1"/>
    <cellStyle name="Hyperlink" xfId="2166" builtinId="8" hidden="1"/>
    <cellStyle name="Hyperlink" xfId="2168" builtinId="8" hidden="1"/>
    <cellStyle name="Hyperlink" xfId="2170" builtinId="8" hidden="1"/>
    <cellStyle name="Hyperlink" xfId="2172" builtinId="8" hidden="1"/>
    <cellStyle name="Hyperlink" xfId="2174" builtinId="8" hidden="1"/>
    <cellStyle name="Hyperlink" xfId="2176" builtinId="8" hidden="1"/>
    <cellStyle name="Hyperlink" xfId="2178" builtinId="8" hidden="1"/>
    <cellStyle name="Hyperlink" xfId="2180" builtinId="8" hidden="1"/>
    <cellStyle name="Hyperlink" xfId="2182" builtinId="8" hidden="1"/>
    <cellStyle name="Hyperlink" xfId="2184" builtinId="8" hidden="1"/>
    <cellStyle name="Hyperlink" xfId="2186" builtinId="8" hidden="1"/>
    <cellStyle name="Hyperlink" xfId="2188" builtinId="8" hidden="1"/>
    <cellStyle name="Hyperlink" xfId="2190" builtinId="8" hidden="1"/>
    <cellStyle name="Hyperlink" xfId="2192" builtinId="8" hidden="1"/>
    <cellStyle name="Hyperlink" xfId="2194" builtinId="8" hidden="1"/>
    <cellStyle name="Hyperlink" xfId="2196" builtinId="8" hidden="1"/>
    <cellStyle name="Hyperlink" xfId="2198" builtinId="8" hidden="1"/>
    <cellStyle name="Hyperlink" xfId="2200" builtinId="8" hidden="1"/>
    <cellStyle name="Hyperlink" xfId="2202" builtinId="8" hidden="1"/>
    <cellStyle name="Hyperlink" xfId="2204" builtinId="8" hidden="1"/>
    <cellStyle name="Hyperlink" xfId="2206" builtinId="8" hidden="1"/>
    <cellStyle name="Hyperlink" xfId="2208" builtinId="8" hidden="1"/>
    <cellStyle name="Hyperlink" xfId="2210" builtinId="8" hidden="1"/>
    <cellStyle name="Hyperlink" xfId="2212" builtinId="8" hidden="1"/>
    <cellStyle name="Hyperlink" xfId="2214" builtinId="8" hidden="1"/>
    <cellStyle name="Hyperlink" xfId="2216" builtinId="8" hidden="1"/>
    <cellStyle name="Hyperlink" xfId="2218" builtinId="8" hidden="1"/>
    <cellStyle name="Hyperlink" xfId="2220" builtinId="8" hidden="1"/>
    <cellStyle name="Hyperlink" xfId="2222" builtinId="8" hidden="1"/>
    <cellStyle name="Hyperlink" xfId="2224" builtinId="8" hidden="1"/>
    <cellStyle name="Hyperlink" xfId="2226" builtinId="8" hidden="1"/>
    <cellStyle name="Hyperlink" xfId="2228" builtinId="8" hidden="1"/>
    <cellStyle name="Hyperlink" xfId="2230" builtinId="8" hidden="1"/>
    <cellStyle name="Hyperlink" xfId="2232" builtinId="8" hidden="1"/>
    <cellStyle name="Hyperlink" xfId="2234" builtinId="8" hidden="1"/>
    <cellStyle name="Hyperlink" xfId="2236" builtinId="8" hidden="1"/>
    <cellStyle name="Hyperlink" xfId="2238" builtinId="8" hidden="1"/>
    <cellStyle name="Hyperlink" xfId="2240" builtinId="8" hidden="1"/>
    <cellStyle name="Hyperlink" xfId="2242" builtinId="8" hidden="1"/>
    <cellStyle name="Hyperlink" xfId="2244" builtinId="8" hidden="1"/>
    <cellStyle name="Hyperlink" xfId="2246" builtinId="8" hidden="1"/>
    <cellStyle name="Hyperlink" xfId="2248" builtinId="8" hidden="1"/>
    <cellStyle name="Hyperlink" xfId="2250" builtinId="8" hidden="1"/>
    <cellStyle name="Hyperlink" xfId="2252" builtinId="8" hidden="1"/>
    <cellStyle name="Hyperlink" xfId="2254" builtinId="8" hidden="1"/>
    <cellStyle name="Hyperlink" xfId="2256" builtinId="8" hidden="1"/>
    <cellStyle name="Hyperlink" xfId="2258" builtinId="8" hidden="1"/>
    <cellStyle name="Hyperlink" xfId="2260" builtinId="8" hidden="1"/>
    <cellStyle name="Hyperlink" xfId="2262" builtinId="8" hidden="1"/>
    <cellStyle name="Hyperlink" xfId="2264" builtinId="8" hidden="1"/>
    <cellStyle name="Hyperlink" xfId="2266" builtinId="8" hidden="1"/>
    <cellStyle name="Hyperlink" xfId="2268" builtinId="8" hidden="1"/>
    <cellStyle name="Hyperlink" xfId="2270" builtinId="8" hidden="1"/>
    <cellStyle name="Hyperlink" xfId="2272" builtinId="8" hidden="1"/>
    <cellStyle name="Hyperlink" xfId="2274" builtinId="8" hidden="1"/>
    <cellStyle name="Hyperlink" xfId="2276" builtinId="8" hidden="1"/>
    <cellStyle name="Hyperlink" xfId="2278" builtinId="8" hidden="1"/>
    <cellStyle name="Hyperlink" xfId="2280" builtinId="8" hidden="1"/>
    <cellStyle name="Hyperlink" xfId="2282" builtinId="8" hidden="1"/>
    <cellStyle name="Hyperlink" xfId="2284" builtinId="8" hidden="1"/>
    <cellStyle name="Hyperlink" xfId="2286" builtinId="8" hidden="1"/>
    <cellStyle name="Hyperlink" xfId="2288" builtinId="8" hidden="1"/>
    <cellStyle name="Hyperlink" xfId="2290" builtinId="8" hidden="1"/>
    <cellStyle name="Hyperlink" xfId="2292" builtinId="8" hidden="1"/>
    <cellStyle name="Hyperlink" xfId="2294" builtinId="8" hidden="1"/>
    <cellStyle name="Hyperlink" xfId="2296" builtinId="8" hidden="1"/>
    <cellStyle name="Hyperlink" xfId="2298" builtinId="8" hidden="1"/>
    <cellStyle name="Hyperlink" xfId="2300" builtinId="8" hidden="1"/>
    <cellStyle name="Hyperlink" xfId="2302" builtinId="8" hidden="1"/>
    <cellStyle name="Hyperlink" xfId="2304" builtinId="8" hidden="1"/>
    <cellStyle name="Hyperlink" xfId="2306" builtinId="8" hidden="1"/>
    <cellStyle name="Hyperlink" xfId="2308" builtinId="8" hidden="1"/>
    <cellStyle name="Hyperlink" xfId="2310" builtinId="8" hidden="1"/>
    <cellStyle name="Hyperlink" xfId="2312" builtinId="8" hidden="1"/>
    <cellStyle name="Hyperlink" xfId="2314" builtinId="8" hidden="1"/>
    <cellStyle name="Hyperlink" xfId="2316" builtinId="8" hidden="1"/>
    <cellStyle name="Hyperlink" xfId="2318" builtinId="8" hidden="1"/>
    <cellStyle name="Hyperlink" xfId="2320" builtinId="8" hidden="1"/>
    <cellStyle name="Hyperlink" xfId="2322" builtinId="8" hidden="1"/>
    <cellStyle name="Hyperlink" xfId="2324" builtinId="8" hidden="1"/>
    <cellStyle name="Hyperlink" xfId="2326" builtinId="8" hidden="1"/>
    <cellStyle name="Hyperlink" xfId="2328" builtinId="8" hidden="1"/>
    <cellStyle name="Hyperlink" xfId="2330" builtinId="8" hidden="1"/>
    <cellStyle name="Hyperlink" xfId="2332" builtinId="8" hidden="1"/>
    <cellStyle name="Hyperlink" xfId="2334" builtinId="8" hidden="1"/>
    <cellStyle name="Hyperlink" xfId="2336" builtinId="8" hidden="1"/>
    <cellStyle name="Hyperlink" xfId="2338" builtinId="8" hidden="1"/>
    <cellStyle name="Hyperlink" xfId="2340" builtinId="8" hidden="1"/>
    <cellStyle name="Hyperlink" xfId="2342" builtinId="8" hidden="1"/>
    <cellStyle name="Hyperlink" xfId="2344" builtinId="8" hidden="1"/>
    <cellStyle name="Hyperlink" xfId="2346" builtinId="8" hidden="1"/>
    <cellStyle name="Hyperlink" xfId="2348" builtinId="8" hidden="1"/>
    <cellStyle name="Hyperlink" xfId="2350" builtinId="8" hidden="1"/>
    <cellStyle name="Hyperlink" xfId="2352" builtinId="8" hidden="1"/>
    <cellStyle name="Hyperlink" xfId="2354" builtinId="8" hidden="1"/>
    <cellStyle name="Hyperlink" xfId="2356" builtinId="8" hidden="1"/>
    <cellStyle name="Hyperlink" xfId="2358" builtinId="8" hidden="1"/>
    <cellStyle name="Hyperlink" xfId="2360" builtinId="8" hidden="1"/>
    <cellStyle name="Hyperlink" xfId="2362" builtinId="8" hidden="1"/>
    <cellStyle name="Hyperlink" xfId="2364" builtinId="8" hidden="1"/>
    <cellStyle name="Hyperlink" xfId="2366" builtinId="8" hidden="1"/>
    <cellStyle name="Hyperlink" xfId="2368" builtinId="8" hidden="1"/>
    <cellStyle name="Hyperlink" xfId="2370" builtinId="8" hidden="1"/>
    <cellStyle name="Hyperlink" xfId="2372" builtinId="8" hidden="1"/>
    <cellStyle name="Hyperlink" xfId="2374" builtinId="8" hidden="1"/>
    <cellStyle name="Hyperlink" xfId="2376" builtinId="8" hidden="1"/>
    <cellStyle name="Hyperlink" xfId="2378" builtinId="8" hidden="1"/>
    <cellStyle name="Hyperlink" xfId="2380" builtinId="8" hidden="1"/>
    <cellStyle name="Hyperlink" xfId="2382" builtinId="8" hidden="1"/>
    <cellStyle name="Hyperlink" xfId="2384" builtinId="8" hidden="1"/>
    <cellStyle name="Hyperlink" xfId="2386" builtinId="8" hidden="1"/>
    <cellStyle name="Hyperlink" xfId="2388" builtinId="8" hidden="1"/>
    <cellStyle name="Hyperlink" xfId="2390" builtinId="8" hidden="1"/>
    <cellStyle name="Hyperlink" xfId="2392" builtinId="8" hidden="1"/>
    <cellStyle name="Hyperlink" xfId="2394" builtinId="8" hidden="1"/>
    <cellStyle name="Hyperlink" xfId="2396" builtinId="8" hidden="1"/>
    <cellStyle name="Hyperlink" xfId="2398" builtinId="8" hidden="1"/>
    <cellStyle name="Hyperlink" xfId="2400" builtinId="8" hidden="1"/>
    <cellStyle name="Hyperlink" xfId="2402" builtinId="8" hidden="1"/>
    <cellStyle name="Hyperlink" xfId="2404" builtinId="8" hidden="1"/>
    <cellStyle name="Hyperlink" xfId="2406" builtinId="8" hidden="1"/>
    <cellStyle name="Hyperlink" xfId="2408" builtinId="8" hidden="1"/>
    <cellStyle name="Hyperlink" xfId="2410" builtinId="8" hidden="1"/>
    <cellStyle name="Hyperlink" xfId="2412" builtinId="8" hidden="1"/>
    <cellStyle name="Hyperlink" xfId="2414" builtinId="8" hidden="1"/>
    <cellStyle name="Hyperlink" xfId="2416" builtinId="8" hidden="1"/>
    <cellStyle name="Hyperlink" xfId="2418" builtinId="8" hidden="1"/>
    <cellStyle name="Hyperlink" xfId="2420" builtinId="8" hidden="1"/>
    <cellStyle name="Hyperlink" xfId="2422" builtinId="8" hidden="1"/>
    <cellStyle name="Hyperlink" xfId="2424" builtinId="8" hidden="1"/>
    <cellStyle name="Hyperlink" xfId="2426" builtinId="8" hidden="1"/>
    <cellStyle name="Hyperlink" xfId="2428" builtinId="8" hidden="1"/>
    <cellStyle name="Hyperlink" xfId="2430" builtinId="8" hidden="1"/>
    <cellStyle name="Hyperlink" xfId="2432" builtinId="8" hidden="1"/>
    <cellStyle name="Hyperlink" xfId="2434" builtinId="8" hidden="1"/>
    <cellStyle name="Hyperlink" xfId="2436" builtinId="8" hidden="1"/>
    <cellStyle name="Hyperlink" xfId="2438" builtinId="8" hidden="1"/>
    <cellStyle name="Hyperlink" xfId="2440" builtinId="8" hidden="1"/>
    <cellStyle name="Hyperlink" xfId="2442" builtinId="8" hidden="1"/>
    <cellStyle name="Hyperlink" xfId="2444" builtinId="8" hidden="1"/>
    <cellStyle name="Hyperlink" xfId="2446" builtinId="8" hidden="1"/>
    <cellStyle name="Hyperlink" xfId="2448" builtinId="8" hidden="1"/>
    <cellStyle name="Hyperlink" xfId="2450" builtinId="8" hidden="1"/>
    <cellStyle name="Hyperlink" xfId="2452" builtinId="8" hidden="1"/>
    <cellStyle name="Hyperlink" xfId="2454" builtinId="8" hidden="1"/>
    <cellStyle name="Hyperlink" xfId="2456" builtinId="8" hidden="1"/>
    <cellStyle name="Hyperlink" xfId="2458" builtinId="8" hidden="1"/>
    <cellStyle name="Hyperlink" xfId="2460" builtinId="8" hidden="1"/>
    <cellStyle name="Hyperlink" xfId="2462" builtinId="8" hidden="1"/>
    <cellStyle name="Hyperlink" xfId="2464" builtinId="8" hidden="1"/>
    <cellStyle name="Hyperlink" xfId="2466" builtinId="8" hidden="1"/>
    <cellStyle name="Hyperlink" xfId="2468" builtinId="8" hidden="1"/>
    <cellStyle name="Hyperlink" xfId="2470" builtinId="8" hidden="1"/>
    <cellStyle name="Hyperlink" xfId="2472" builtinId="8" hidden="1"/>
    <cellStyle name="Hyperlink" xfId="2474" builtinId="8" hidden="1"/>
    <cellStyle name="Hyperlink" xfId="2476" builtinId="8" hidden="1"/>
    <cellStyle name="Hyperlink" xfId="2478" builtinId="8" hidden="1"/>
    <cellStyle name="Hyperlink" xfId="2480" builtinId="8" hidden="1"/>
    <cellStyle name="Hyperlink" xfId="2482" builtinId="8" hidden="1"/>
    <cellStyle name="Hyperlink" xfId="2484" builtinId="8" hidden="1"/>
    <cellStyle name="Hyperlink" xfId="2486" builtinId="8" hidden="1"/>
    <cellStyle name="Hyperlink" xfId="2488" builtinId="8" hidden="1"/>
    <cellStyle name="Hyperlink" xfId="2490" builtinId="8" hidden="1"/>
    <cellStyle name="Hyperlink" xfId="2492" builtinId="8" hidden="1"/>
    <cellStyle name="Hyperlink" xfId="2494" builtinId="8" hidden="1"/>
    <cellStyle name="Hyperlink" xfId="2496" builtinId="8" hidden="1"/>
    <cellStyle name="Hyperlink" xfId="2498" builtinId="8" hidden="1"/>
    <cellStyle name="Hyperlink" xfId="2500" builtinId="8" hidden="1"/>
    <cellStyle name="Hyperlink" xfId="2502" builtinId="8" hidden="1"/>
    <cellStyle name="Hyperlink" xfId="2504" builtinId="8" hidden="1"/>
    <cellStyle name="Hyperlink" xfId="2506" builtinId="8" hidden="1"/>
    <cellStyle name="Hyperlink" xfId="2511" builtinId="8" hidden="1"/>
    <cellStyle name="Hyperlink" xfId="2513" builtinId="8" hidden="1"/>
    <cellStyle name="Hyperlink" xfId="2515" builtinId="8" hidden="1"/>
    <cellStyle name="Hyperlink" xfId="2517" builtinId="8" hidden="1"/>
    <cellStyle name="Hyperlink" xfId="2519" builtinId="8" hidden="1"/>
    <cellStyle name="Hyperlink" xfId="2521" builtinId="8" hidden="1"/>
    <cellStyle name="Hyperlink" xfId="2523" builtinId="8" hidden="1"/>
    <cellStyle name="Hyperlink" xfId="2525" builtinId="8" hidden="1"/>
    <cellStyle name="Hyperlink" xfId="2527" builtinId="8" hidden="1"/>
    <cellStyle name="Hyperlink" xfId="2529" builtinId="8" hidden="1"/>
    <cellStyle name="Hyperlink" xfId="2531" builtinId="8" hidden="1"/>
    <cellStyle name="Hyperlink" xfId="2533" builtinId="8" hidden="1"/>
    <cellStyle name="Hyperlink" xfId="2535" builtinId="8" hidden="1"/>
    <cellStyle name="Hyperlink" xfId="2537" builtinId="8" hidden="1"/>
    <cellStyle name="Hyperlink" xfId="2539" builtinId="8" hidden="1"/>
    <cellStyle name="Hyperlink" xfId="2541" builtinId="8" hidden="1"/>
    <cellStyle name="Hyperlink" xfId="2543" builtinId="8" hidden="1"/>
    <cellStyle name="Hyperlink" xfId="2545" builtinId="8" hidden="1"/>
    <cellStyle name="Hyperlink" xfId="2547" builtinId="8" hidden="1"/>
    <cellStyle name="Hyperlink" xfId="2549" builtinId="8" hidden="1"/>
    <cellStyle name="Hyperlink" xfId="2551" builtinId="8" hidden="1"/>
    <cellStyle name="Hyperlink" xfId="2553" builtinId="8" hidden="1"/>
    <cellStyle name="Hyperlink" xfId="2555" builtinId="8" hidden="1"/>
    <cellStyle name="Hyperlink" xfId="2557" builtinId="8" hidden="1"/>
    <cellStyle name="Hyperlink" xfId="2559" builtinId="8" hidden="1"/>
    <cellStyle name="Hyperlink" xfId="2561" builtinId="8" hidden="1"/>
    <cellStyle name="Hyperlink" xfId="2563" builtinId="8" hidden="1"/>
    <cellStyle name="Hyperlink" xfId="2565" builtinId="8" hidden="1"/>
    <cellStyle name="Hyperlink" xfId="2567" builtinId="8" hidden="1"/>
    <cellStyle name="Hyperlink" xfId="2569" builtinId="8" hidden="1"/>
    <cellStyle name="Hyperlink" xfId="2571" builtinId="8" hidden="1"/>
    <cellStyle name="Hyperlink" xfId="2573" builtinId="8" hidden="1"/>
    <cellStyle name="Hyperlink" xfId="2575" builtinId="8" hidden="1"/>
    <cellStyle name="Hyperlink" xfId="2577" builtinId="8" hidden="1"/>
    <cellStyle name="Hyperlink" xfId="2579" builtinId="8" hidden="1"/>
    <cellStyle name="Hyperlink" xfId="2581" builtinId="8" hidden="1"/>
    <cellStyle name="Hyperlink" xfId="2583" builtinId="8" hidden="1"/>
    <cellStyle name="Hyperlink" xfId="2585" builtinId="8" hidden="1"/>
    <cellStyle name="Hyperlink" xfId="2587" builtinId="8" hidden="1"/>
    <cellStyle name="Hyperlink" xfId="2589" builtinId="8" hidden="1"/>
    <cellStyle name="Hyperlink" xfId="2591" builtinId="8" hidden="1"/>
    <cellStyle name="Hyperlink" xfId="2593" builtinId="8" hidden="1"/>
    <cellStyle name="Hyperlink" xfId="2595" builtinId="8" hidden="1"/>
    <cellStyle name="Hyperlink" xfId="2597" builtinId="8" hidden="1"/>
    <cellStyle name="Hyperlink" xfId="2599" builtinId="8" hidden="1"/>
    <cellStyle name="Hyperlink" xfId="2601" builtinId="8" hidden="1"/>
    <cellStyle name="Hyperlink" xfId="2603" builtinId="8" hidden="1"/>
    <cellStyle name="Hyperlink" xfId="2605" builtinId="8" hidden="1"/>
    <cellStyle name="Hyperlink" xfId="2607" builtinId="8" hidden="1"/>
    <cellStyle name="Hyperlink" xfId="2609" builtinId="8" hidden="1"/>
    <cellStyle name="Hyperlink" xfId="2611" builtinId="8" hidden="1"/>
    <cellStyle name="Hyperlink" xfId="2613" builtinId="8" hidden="1"/>
    <cellStyle name="Hyperlink" xfId="2615" builtinId="8" hidden="1"/>
    <cellStyle name="Hyperlink" xfId="2617" builtinId="8" hidden="1"/>
    <cellStyle name="Hyperlink" xfId="2619" builtinId="8" hidden="1"/>
    <cellStyle name="Hyperlink" xfId="2621" builtinId="8" hidden="1"/>
    <cellStyle name="Hyperlink" xfId="2623" builtinId="8" hidden="1"/>
    <cellStyle name="Hyperlink" xfId="2625" builtinId="8" hidden="1"/>
    <cellStyle name="Hyperlink" xfId="2627" builtinId="8" hidden="1"/>
    <cellStyle name="Hyperlink" xfId="2629" builtinId="8" hidden="1"/>
    <cellStyle name="Hyperlink" xfId="2631" builtinId="8" hidden="1"/>
    <cellStyle name="Hyperlink" xfId="2633" builtinId="8" hidden="1"/>
    <cellStyle name="Hyperlink" xfId="2635" builtinId="8" hidden="1"/>
    <cellStyle name="Hyperlink" xfId="2637" builtinId="8" hidden="1"/>
    <cellStyle name="Hyperlink" xfId="2639" builtinId="8" hidden="1"/>
    <cellStyle name="Hyperlink" xfId="2641" builtinId="8" hidden="1"/>
    <cellStyle name="Hyperlink" xfId="2643" builtinId="8" hidden="1"/>
    <cellStyle name="Hyperlink" xfId="2645" builtinId="8" hidden="1"/>
    <cellStyle name="Hyperlink" xfId="2648" builtinId="8" hidden="1"/>
    <cellStyle name="Hyperlink 10" xfId="97"/>
    <cellStyle name="Hyperlink 100" xfId="277"/>
    <cellStyle name="Hyperlink 101" xfId="279"/>
    <cellStyle name="Hyperlink 102" xfId="281"/>
    <cellStyle name="Hyperlink 103" xfId="283"/>
    <cellStyle name="Hyperlink 104" xfId="285"/>
    <cellStyle name="Hyperlink 105" xfId="287"/>
    <cellStyle name="Hyperlink 106" xfId="289"/>
    <cellStyle name="Hyperlink 107" xfId="291"/>
    <cellStyle name="Hyperlink 108" xfId="293"/>
    <cellStyle name="Hyperlink 109" xfId="295"/>
    <cellStyle name="Hyperlink 11" xfId="99"/>
    <cellStyle name="Hyperlink 110" xfId="297"/>
    <cellStyle name="Hyperlink 111" xfId="299"/>
    <cellStyle name="Hyperlink 112" xfId="301"/>
    <cellStyle name="Hyperlink 113" xfId="303"/>
    <cellStyle name="Hyperlink 114" xfId="305"/>
    <cellStyle name="Hyperlink 115" xfId="307"/>
    <cellStyle name="Hyperlink 116" xfId="309"/>
    <cellStyle name="Hyperlink 117" xfId="311"/>
    <cellStyle name="Hyperlink 118" xfId="313"/>
    <cellStyle name="Hyperlink 119" xfId="315"/>
    <cellStyle name="Hyperlink 12" xfId="101"/>
    <cellStyle name="Hyperlink 120" xfId="317"/>
    <cellStyle name="Hyperlink 121" xfId="319"/>
    <cellStyle name="Hyperlink 122" xfId="321"/>
    <cellStyle name="Hyperlink 123" xfId="323"/>
    <cellStyle name="Hyperlink 124" xfId="325"/>
    <cellStyle name="Hyperlink 125" xfId="327"/>
    <cellStyle name="Hyperlink 126" xfId="329"/>
    <cellStyle name="Hyperlink 127" xfId="331"/>
    <cellStyle name="Hyperlink 128" xfId="333"/>
    <cellStyle name="Hyperlink 129" xfId="335"/>
    <cellStyle name="Hyperlink 13" xfId="103"/>
    <cellStyle name="Hyperlink 130" xfId="337"/>
    <cellStyle name="Hyperlink 131" xfId="339"/>
    <cellStyle name="Hyperlink 132" xfId="341"/>
    <cellStyle name="Hyperlink 133" xfId="343"/>
    <cellStyle name="Hyperlink 134" xfId="345"/>
    <cellStyle name="Hyperlink 135" xfId="347"/>
    <cellStyle name="Hyperlink 136" xfId="349"/>
    <cellStyle name="Hyperlink 137" xfId="351"/>
    <cellStyle name="Hyperlink 138" xfId="353"/>
    <cellStyle name="Hyperlink 139" xfId="355"/>
    <cellStyle name="Hyperlink 14" xfId="105"/>
    <cellStyle name="Hyperlink 140" xfId="357"/>
    <cellStyle name="Hyperlink 141" xfId="359"/>
    <cellStyle name="Hyperlink 142" xfId="361"/>
    <cellStyle name="Hyperlink 143" xfId="363"/>
    <cellStyle name="Hyperlink 144" xfId="365"/>
    <cellStyle name="Hyperlink 145" xfId="367"/>
    <cellStyle name="Hyperlink 146" xfId="369"/>
    <cellStyle name="Hyperlink 147" xfId="371"/>
    <cellStyle name="Hyperlink 148" xfId="373"/>
    <cellStyle name="Hyperlink 149" xfId="375"/>
    <cellStyle name="Hyperlink 15" xfId="107"/>
    <cellStyle name="Hyperlink 150" xfId="377"/>
    <cellStyle name="Hyperlink 151" xfId="379"/>
    <cellStyle name="Hyperlink 152" xfId="381"/>
    <cellStyle name="Hyperlink 153" xfId="383"/>
    <cellStyle name="Hyperlink 154" xfId="385"/>
    <cellStyle name="Hyperlink 155" xfId="387"/>
    <cellStyle name="Hyperlink 156" xfId="389"/>
    <cellStyle name="Hyperlink 157" xfId="391"/>
    <cellStyle name="Hyperlink 158" xfId="393"/>
    <cellStyle name="Hyperlink 159" xfId="395"/>
    <cellStyle name="Hyperlink 16" xfId="109"/>
    <cellStyle name="Hyperlink 160" xfId="397"/>
    <cellStyle name="Hyperlink 161" xfId="399"/>
    <cellStyle name="Hyperlink 162" xfId="401"/>
    <cellStyle name="Hyperlink 163" xfId="403"/>
    <cellStyle name="Hyperlink 164" xfId="405"/>
    <cellStyle name="Hyperlink 165" xfId="407"/>
    <cellStyle name="Hyperlink 166" xfId="409"/>
    <cellStyle name="Hyperlink 167" xfId="411"/>
    <cellStyle name="Hyperlink 168" xfId="413"/>
    <cellStyle name="Hyperlink 169" xfId="415"/>
    <cellStyle name="Hyperlink 17" xfId="111"/>
    <cellStyle name="Hyperlink 170" xfId="417"/>
    <cellStyle name="Hyperlink 171" xfId="419"/>
    <cellStyle name="Hyperlink 172" xfId="421"/>
    <cellStyle name="Hyperlink 173" xfId="423"/>
    <cellStyle name="Hyperlink 174" xfId="425"/>
    <cellStyle name="Hyperlink 175" xfId="427"/>
    <cellStyle name="Hyperlink 176" xfId="429"/>
    <cellStyle name="Hyperlink 177" xfId="431"/>
    <cellStyle name="Hyperlink 178" xfId="433"/>
    <cellStyle name="Hyperlink 179" xfId="435"/>
    <cellStyle name="Hyperlink 18" xfId="113"/>
    <cellStyle name="Hyperlink 180" xfId="437"/>
    <cellStyle name="Hyperlink 181" xfId="439"/>
    <cellStyle name="Hyperlink 182" xfId="441"/>
    <cellStyle name="Hyperlink 183" xfId="443"/>
    <cellStyle name="Hyperlink 184" xfId="445"/>
    <cellStyle name="Hyperlink 185" xfId="447"/>
    <cellStyle name="Hyperlink 186" xfId="449"/>
    <cellStyle name="Hyperlink 187" xfId="451"/>
    <cellStyle name="Hyperlink 188" xfId="453"/>
    <cellStyle name="Hyperlink 189" xfId="455"/>
    <cellStyle name="Hyperlink 19" xfId="115"/>
    <cellStyle name="Hyperlink 190" xfId="457"/>
    <cellStyle name="Hyperlink 191" xfId="459"/>
    <cellStyle name="Hyperlink 192" xfId="461"/>
    <cellStyle name="Hyperlink 193" xfId="463"/>
    <cellStyle name="Hyperlink 194" xfId="465"/>
    <cellStyle name="Hyperlink 195" xfId="467"/>
    <cellStyle name="Hyperlink 196" xfId="469"/>
    <cellStyle name="Hyperlink 197" xfId="471"/>
    <cellStyle name="Hyperlink 198" xfId="473"/>
    <cellStyle name="Hyperlink 199" xfId="475"/>
    <cellStyle name="Hyperlink 2" xfId="81"/>
    <cellStyle name="Hyperlink 20" xfId="117"/>
    <cellStyle name="Hyperlink 200" xfId="477"/>
    <cellStyle name="Hyperlink 201" xfId="479"/>
    <cellStyle name="Hyperlink 202" xfId="481"/>
    <cellStyle name="Hyperlink 203" xfId="483"/>
    <cellStyle name="Hyperlink 204" xfId="485"/>
    <cellStyle name="Hyperlink 205" xfId="487"/>
    <cellStyle name="Hyperlink 206" xfId="489"/>
    <cellStyle name="Hyperlink 207" xfId="491"/>
    <cellStyle name="Hyperlink 208" xfId="493"/>
    <cellStyle name="Hyperlink 209" xfId="495"/>
    <cellStyle name="Hyperlink 21" xfId="119"/>
    <cellStyle name="Hyperlink 210" xfId="497"/>
    <cellStyle name="Hyperlink 211" xfId="499"/>
    <cellStyle name="Hyperlink 212" xfId="501"/>
    <cellStyle name="Hyperlink 213" xfId="503"/>
    <cellStyle name="Hyperlink 214" xfId="505"/>
    <cellStyle name="Hyperlink 215" xfId="507"/>
    <cellStyle name="Hyperlink 216" xfId="509"/>
    <cellStyle name="Hyperlink 217" xfId="511"/>
    <cellStyle name="Hyperlink 218" xfId="513"/>
    <cellStyle name="Hyperlink 219" xfId="515"/>
    <cellStyle name="Hyperlink 22" xfId="121"/>
    <cellStyle name="Hyperlink 220" xfId="517"/>
    <cellStyle name="Hyperlink 221" xfId="519"/>
    <cellStyle name="Hyperlink 222" xfId="521"/>
    <cellStyle name="Hyperlink 223" xfId="523"/>
    <cellStyle name="Hyperlink 224" xfId="525"/>
    <cellStyle name="Hyperlink 225" xfId="527"/>
    <cellStyle name="Hyperlink 226" xfId="529"/>
    <cellStyle name="Hyperlink 227" xfId="531"/>
    <cellStyle name="Hyperlink 228" xfId="533"/>
    <cellStyle name="Hyperlink 229" xfId="535"/>
    <cellStyle name="Hyperlink 23" xfId="123"/>
    <cellStyle name="Hyperlink 230" xfId="537"/>
    <cellStyle name="Hyperlink 231" xfId="539"/>
    <cellStyle name="Hyperlink 232" xfId="541"/>
    <cellStyle name="Hyperlink 233" xfId="543"/>
    <cellStyle name="Hyperlink 234" xfId="545"/>
    <cellStyle name="Hyperlink 235" xfId="547"/>
    <cellStyle name="Hyperlink 236" xfId="549"/>
    <cellStyle name="Hyperlink 237" xfId="551"/>
    <cellStyle name="Hyperlink 238" xfId="553"/>
    <cellStyle name="Hyperlink 239" xfId="555"/>
    <cellStyle name="Hyperlink 24" xfId="125"/>
    <cellStyle name="Hyperlink 240" xfId="557"/>
    <cellStyle name="Hyperlink 241" xfId="559"/>
    <cellStyle name="Hyperlink 242" xfId="561"/>
    <cellStyle name="Hyperlink 243" xfId="563"/>
    <cellStyle name="Hyperlink 244" xfId="565"/>
    <cellStyle name="Hyperlink 245" xfId="567"/>
    <cellStyle name="Hyperlink 246" xfId="569"/>
    <cellStyle name="Hyperlink 247" xfId="571"/>
    <cellStyle name="Hyperlink 248" xfId="573"/>
    <cellStyle name="Hyperlink 249" xfId="575"/>
    <cellStyle name="Hyperlink 25" xfId="127"/>
    <cellStyle name="Hyperlink 250" xfId="577"/>
    <cellStyle name="Hyperlink 251" xfId="579"/>
    <cellStyle name="Hyperlink 252" xfId="581"/>
    <cellStyle name="Hyperlink 253" xfId="583"/>
    <cellStyle name="Hyperlink 254" xfId="585"/>
    <cellStyle name="Hyperlink 255" xfId="587"/>
    <cellStyle name="Hyperlink 256" xfId="589"/>
    <cellStyle name="Hyperlink 257" xfId="591"/>
    <cellStyle name="Hyperlink 258" xfId="593"/>
    <cellStyle name="Hyperlink 259" xfId="595"/>
    <cellStyle name="Hyperlink 26" xfId="129"/>
    <cellStyle name="Hyperlink 260" xfId="597"/>
    <cellStyle name="Hyperlink 261" xfId="599"/>
    <cellStyle name="Hyperlink 262" xfId="601"/>
    <cellStyle name="Hyperlink 263" xfId="603"/>
    <cellStyle name="Hyperlink 264" xfId="605"/>
    <cellStyle name="Hyperlink 265" xfId="607"/>
    <cellStyle name="Hyperlink 266" xfId="609"/>
    <cellStyle name="Hyperlink 267" xfId="611"/>
    <cellStyle name="Hyperlink 268" xfId="613"/>
    <cellStyle name="Hyperlink 269" xfId="615"/>
    <cellStyle name="Hyperlink 27" xfId="131"/>
    <cellStyle name="Hyperlink 270" xfId="617"/>
    <cellStyle name="Hyperlink 271" xfId="619"/>
    <cellStyle name="Hyperlink 272" xfId="621"/>
    <cellStyle name="Hyperlink 273" xfId="623"/>
    <cellStyle name="Hyperlink 274" xfId="625"/>
    <cellStyle name="Hyperlink 275" xfId="627"/>
    <cellStyle name="Hyperlink 276" xfId="629"/>
    <cellStyle name="Hyperlink 277" xfId="631"/>
    <cellStyle name="Hyperlink 278" xfId="633"/>
    <cellStyle name="Hyperlink 279" xfId="635"/>
    <cellStyle name="Hyperlink 28" xfId="133"/>
    <cellStyle name="Hyperlink 280" xfId="637"/>
    <cellStyle name="Hyperlink 281" xfId="639"/>
    <cellStyle name="Hyperlink 282" xfId="641"/>
    <cellStyle name="Hyperlink 283" xfId="643"/>
    <cellStyle name="Hyperlink 284" xfId="645"/>
    <cellStyle name="Hyperlink 285" xfId="647"/>
    <cellStyle name="Hyperlink 286" xfId="649"/>
    <cellStyle name="Hyperlink 287" xfId="651"/>
    <cellStyle name="Hyperlink 288" xfId="653"/>
    <cellStyle name="Hyperlink 289" xfId="655"/>
    <cellStyle name="Hyperlink 29" xfId="135"/>
    <cellStyle name="Hyperlink 290" xfId="657"/>
    <cellStyle name="Hyperlink 291" xfId="659"/>
    <cellStyle name="Hyperlink 292" xfId="661"/>
    <cellStyle name="Hyperlink 293" xfId="663"/>
    <cellStyle name="Hyperlink 294" xfId="665"/>
    <cellStyle name="Hyperlink 295" xfId="667"/>
    <cellStyle name="Hyperlink 296" xfId="669"/>
    <cellStyle name="Hyperlink 297" xfId="671"/>
    <cellStyle name="Hyperlink 298" xfId="673"/>
    <cellStyle name="Hyperlink 299" xfId="675"/>
    <cellStyle name="Hyperlink 3" xfId="83"/>
    <cellStyle name="Hyperlink 30" xfId="137"/>
    <cellStyle name="Hyperlink 300" xfId="677"/>
    <cellStyle name="Hyperlink 301" xfId="679"/>
    <cellStyle name="Hyperlink 302" xfId="681"/>
    <cellStyle name="Hyperlink 303" xfId="683"/>
    <cellStyle name="Hyperlink 304" xfId="685"/>
    <cellStyle name="Hyperlink 305" xfId="687"/>
    <cellStyle name="Hyperlink 306" xfId="689"/>
    <cellStyle name="Hyperlink 307" xfId="691"/>
    <cellStyle name="Hyperlink 308" xfId="693"/>
    <cellStyle name="Hyperlink 309" xfId="695"/>
    <cellStyle name="Hyperlink 31" xfId="139"/>
    <cellStyle name="Hyperlink 310" xfId="697"/>
    <cellStyle name="Hyperlink 311" xfId="699"/>
    <cellStyle name="Hyperlink 312" xfId="701"/>
    <cellStyle name="Hyperlink 313" xfId="703"/>
    <cellStyle name="Hyperlink 314" xfId="705"/>
    <cellStyle name="Hyperlink 315" xfId="707"/>
    <cellStyle name="Hyperlink 316" xfId="709"/>
    <cellStyle name="Hyperlink 317" xfId="711"/>
    <cellStyle name="Hyperlink 318" xfId="713"/>
    <cellStyle name="Hyperlink 319" xfId="715"/>
    <cellStyle name="Hyperlink 32" xfId="141"/>
    <cellStyle name="Hyperlink 320" xfId="717"/>
    <cellStyle name="Hyperlink 321" xfId="719"/>
    <cellStyle name="Hyperlink 322" xfId="721"/>
    <cellStyle name="Hyperlink 323" xfId="723"/>
    <cellStyle name="Hyperlink 324" xfId="725"/>
    <cellStyle name="Hyperlink 325" xfId="727"/>
    <cellStyle name="Hyperlink 326" xfId="729"/>
    <cellStyle name="Hyperlink 327" xfId="731"/>
    <cellStyle name="Hyperlink 328" xfId="733"/>
    <cellStyle name="Hyperlink 329" xfId="735"/>
    <cellStyle name="Hyperlink 33" xfId="143"/>
    <cellStyle name="Hyperlink 330" xfId="737"/>
    <cellStyle name="Hyperlink 331" xfId="739"/>
    <cellStyle name="Hyperlink 332" xfId="741"/>
    <cellStyle name="Hyperlink 333" xfId="743"/>
    <cellStyle name="Hyperlink 334" xfId="745"/>
    <cellStyle name="Hyperlink 335" xfId="747"/>
    <cellStyle name="Hyperlink 336" xfId="749"/>
    <cellStyle name="Hyperlink 337" xfId="751"/>
    <cellStyle name="Hyperlink 338" xfId="753"/>
    <cellStyle name="Hyperlink 339" xfId="755"/>
    <cellStyle name="Hyperlink 34" xfId="145"/>
    <cellStyle name="Hyperlink 340" xfId="757"/>
    <cellStyle name="Hyperlink 341" xfId="759"/>
    <cellStyle name="Hyperlink 342" xfId="761"/>
    <cellStyle name="Hyperlink 343" xfId="763"/>
    <cellStyle name="Hyperlink 344" xfId="765"/>
    <cellStyle name="Hyperlink 345" xfId="767"/>
    <cellStyle name="Hyperlink 346" xfId="769"/>
    <cellStyle name="Hyperlink 347" xfId="771"/>
    <cellStyle name="Hyperlink 348" xfId="773"/>
    <cellStyle name="Hyperlink 349" xfId="775"/>
    <cellStyle name="Hyperlink 35" xfId="147"/>
    <cellStyle name="Hyperlink 350" xfId="777"/>
    <cellStyle name="Hyperlink 351" xfId="779"/>
    <cellStyle name="Hyperlink 352" xfId="781"/>
    <cellStyle name="Hyperlink 353" xfId="783"/>
    <cellStyle name="Hyperlink 354" xfId="785"/>
    <cellStyle name="Hyperlink 355" xfId="787"/>
    <cellStyle name="Hyperlink 356" xfId="789"/>
    <cellStyle name="Hyperlink 357" xfId="791"/>
    <cellStyle name="Hyperlink 358" xfId="793"/>
    <cellStyle name="Hyperlink 359" xfId="795"/>
    <cellStyle name="Hyperlink 36" xfId="149"/>
    <cellStyle name="Hyperlink 360" xfId="797"/>
    <cellStyle name="Hyperlink 361" xfId="799"/>
    <cellStyle name="Hyperlink 362" xfId="801"/>
    <cellStyle name="Hyperlink 363" xfId="803"/>
    <cellStyle name="Hyperlink 364" xfId="805"/>
    <cellStyle name="Hyperlink 365" xfId="807"/>
    <cellStyle name="Hyperlink 366" xfId="809"/>
    <cellStyle name="Hyperlink 367" xfId="811"/>
    <cellStyle name="Hyperlink 368" xfId="813"/>
    <cellStyle name="Hyperlink 369" xfId="815"/>
    <cellStyle name="Hyperlink 37" xfId="151"/>
    <cellStyle name="Hyperlink 370" xfId="817"/>
    <cellStyle name="Hyperlink 371" xfId="819"/>
    <cellStyle name="Hyperlink 372" xfId="821"/>
    <cellStyle name="Hyperlink 373" xfId="823"/>
    <cellStyle name="Hyperlink 374" xfId="825"/>
    <cellStyle name="Hyperlink 375" xfId="827"/>
    <cellStyle name="Hyperlink 376" xfId="829"/>
    <cellStyle name="Hyperlink 377" xfId="831"/>
    <cellStyle name="Hyperlink 378" xfId="833"/>
    <cellStyle name="Hyperlink 379" xfId="835"/>
    <cellStyle name="Hyperlink 38" xfId="153"/>
    <cellStyle name="Hyperlink 380" xfId="837"/>
    <cellStyle name="Hyperlink 381" xfId="839"/>
    <cellStyle name="Hyperlink 382" xfId="841"/>
    <cellStyle name="Hyperlink 383" xfId="843"/>
    <cellStyle name="Hyperlink 384" xfId="845"/>
    <cellStyle name="Hyperlink 385" xfId="847"/>
    <cellStyle name="Hyperlink 386" xfId="849"/>
    <cellStyle name="Hyperlink 387" xfId="851"/>
    <cellStyle name="Hyperlink 388" xfId="853"/>
    <cellStyle name="Hyperlink 389" xfId="855"/>
    <cellStyle name="Hyperlink 39" xfId="155"/>
    <cellStyle name="Hyperlink 390" xfId="857"/>
    <cellStyle name="Hyperlink 391" xfId="859"/>
    <cellStyle name="Hyperlink 392" xfId="861"/>
    <cellStyle name="Hyperlink 393" xfId="863"/>
    <cellStyle name="Hyperlink 394" xfId="865"/>
    <cellStyle name="Hyperlink 395" xfId="867"/>
    <cellStyle name="Hyperlink 396" xfId="869"/>
    <cellStyle name="Hyperlink 397" xfId="871"/>
    <cellStyle name="Hyperlink 398" xfId="873"/>
    <cellStyle name="Hyperlink 399" xfId="875"/>
    <cellStyle name="Hyperlink 4" xfId="85"/>
    <cellStyle name="Hyperlink 40" xfId="157"/>
    <cellStyle name="Hyperlink 400" xfId="877"/>
    <cellStyle name="Hyperlink 401" xfId="879"/>
    <cellStyle name="Hyperlink 402" xfId="881"/>
    <cellStyle name="Hyperlink 403" xfId="883"/>
    <cellStyle name="Hyperlink 404" xfId="885"/>
    <cellStyle name="Hyperlink 405" xfId="887"/>
    <cellStyle name="Hyperlink 406" xfId="889"/>
    <cellStyle name="Hyperlink 407" xfId="891"/>
    <cellStyle name="Hyperlink 408" xfId="893"/>
    <cellStyle name="Hyperlink 409" xfId="895"/>
    <cellStyle name="Hyperlink 41" xfId="159"/>
    <cellStyle name="Hyperlink 410" xfId="897"/>
    <cellStyle name="Hyperlink 411" xfId="899"/>
    <cellStyle name="Hyperlink 412" xfId="901"/>
    <cellStyle name="Hyperlink 413" xfId="903"/>
    <cellStyle name="Hyperlink 414" xfId="905"/>
    <cellStyle name="Hyperlink 415" xfId="907"/>
    <cellStyle name="Hyperlink 416" xfId="909"/>
    <cellStyle name="Hyperlink 417" xfId="911"/>
    <cellStyle name="Hyperlink 418" xfId="913"/>
    <cellStyle name="Hyperlink 419" xfId="915"/>
    <cellStyle name="Hyperlink 42" xfId="161"/>
    <cellStyle name="Hyperlink 420" xfId="917"/>
    <cellStyle name="Hyperlink 421" xfId="919"/>
    <cellStyle name="Hyperlink 422" xfId="921"/>
    <cellStyle name="Hyperlink 423" xfId="923"/>
    <cellStyle name="Hyperlink 424" xfId="925"/>
    <cellStyle name="Hyperlink 425" xfId="927"/>
    <cellStyle name="Hyperlink 426" xfId="929"/>
    <cellStyle name="Hyperlink 427" xfId="931"/>
    <cellStyle name="Hyperlink 428" xfId="933"/>
    <cellStyle name="Hyperlink 429" xfId="935"/>
    <cellStyle name="Hyperlink 43" xfId="163"/>
    <cellStyle name="Hyperlink 430" xfId="937"/>
    <cellStyle name="Hyperlink 431" xfId="939"/>
    <cellStyle name="Hyperlink 432" xfId="941"/>
    <cellStyle name="Hyperlink 433" xfId="943"/>
    <cellStyle name="Hyperlink 434" xfId="945"/>
    <cellStyle name="Hyperlink 435" xfId="947"/>
    <cellStyle name="Hyperlink 436" xfId="949"/>
    <cellStyle name="Hyperlink 437" xfId="951"/>
    <cellStyle name="Hyperlink 438" xfId="953"/>
    <cellStyle name="Hyperlink 439" xfId="955"/>
    <cellStyle name="Hyperlink 44" xfId="165"/>
    <cellStyle name="Hyperlink 440" xfId="957"/>
    <cellStyle name="Hyperlink 441" xfId="959"/>
    <cellStyle name="Hyperlink 442" xfId="961"/>
    <cellStyle name="Hyperlink 443" xfId="963"/>
    <cellStyle name="Hyperlink 444" xfId="965"/>
    <cellStyle name="Hyperlink 445" xfId="967"/>
    <cellStyle name="Hyperlink 446" xfId="969"/>
    <cellStyle name="Hyperlink 447" xfId="971"/>
    <cellStyle name="Hyperlink 448" xfId="973"/>
    <cellStyle name="Hyperlink 449" xfId="975"/>
    <cellStyle name="Hyperlink 45" xfId="167"/>
    <cellStyle name="Hyperlink 450" xfId="977"/>
    <cellStyle name="Hyperlink 451" xfId="979"/>
    <cellStyle name="Hyperlink 452" xfId="981"/>
    <cellStyle name="Hyperlink 453" xfId="983"/>
    <cellStyle name="Hyperlink 454" xfId="985"/>
    <cellStyle name="Hyperlink 455" xfId="987"/>
    <cellStyle name="Hyperlink 456" xfId="989"/>
    <cellStyle name="Hyperlink 457" xfId="991"/>
    <cellStyle name="Hyperlink 458" xfId="993"/>
    <cellStyle name="Hyperlink 459" xfId="995"/>
    <cellStyle name="Hyperlink 46" xfId="169"/>
    <cellStyle name="Hyperlink 460" xfId="997"/>
    <cellStyle name="Hyperlink 461" xfId="999"/>
    <cellStyle name="Hyperlink 462" xfId="1001"/>
    <cellStyle name="Hyperlink 463" xfId="1003"/>
    <cellStyle name="Hyperlink 464" xfId="1005"/>
    <cellStyle name="Hyperlink 465" xfId="1007"/>
    <cellStyle name="Hyperlink 466" xfId="1009"/>
    <cellStyle name="Hyperlink 467" xfId="1011"/>
    <cellStyle name="Hyperlink 468" xfId="1013"/>
    <cellStyle name="Hyperlink 469" xfId="1015"/>
    <cellStyle name="Hyperlink 47" xfId="171"/>
    <cellStyle name="Hyperlink 470" xfId="1017"/>
    <cellStyle name="Hyperlink 471" xfId="1019"/>
    <cellStyle name="Hyperlink 472" xfId="1021"/>
    <cellStyle name="Hyperlink 473" xfId="1023"/>
    <cellStyle name="Hyperlink 474" xfId="1025"/>
    <cellStyle name="Hyperlink 475" xfId="1027"/>
    <cellStyle name="Hyperlink 476" xfId="1029"/>
    <cellStyle name="Hyperlink 477" xfId="1031"/>
    <cellStyle name="Hyperlink 478" xfId="1033"/>
    <cellStyle name="Hyperlink 479" xfId="1035"/>
    <cellStyle name="Hyperlink 48" xfId="173"/>
    <cellStyle name="Hyperlink 480" xfId="1037"/>
    <cellStyle name="Hyperlink 481" xfId="1039"/>
    <cellStyle name="Hyperlink 482" xfId="1041"/>
    <cellStyle name="Hyperlink 483" xfId="1043"/>
    <cellStyle name="Hyperlink 484" xfId="1045"/>
    <cellStyle name="Hyperlink 485" xfId="1047"/>
    <cellStyle name="Hyperlink 486" xfId="1049"/>
    <cellStyle name="Hyperlink 487" xfId="1051"/>
    <cellStyle name="Hyperlink 488" xfId="1053"/>
    <cellStyle name="Hyperlink 489" xfId="1055"/>
    <cellStyle name="Hyperlink 49" xfId="175"/>
    <cellStyle name="Hyperlink 490" xfId="1057"/>
    <cellStyle name="Hyperlink 491" xfId="1059"/>
    <cellStyle name="Hyperlink 492" xfId="1061"/>
    <cellStyle name="Hyperlink 493" xfId="1063"/>
    <cellStyle name="Hyperlink 494" xfId="1065"/>
    <cellStyle name="Hyperlink 495" xfId="1067"/>
    <cellStyle name="Hyperlink 496" xfId="1069"/>
    <cellStyle name="Hyperlink 497" xfId="1071"/>
    <cellStyle name="Hyperlink 498" xfId="1073"/>
    <cellStyle name="Hyperlink 499" xfId="1075"/>
    <cellStyle name="Hyperlink 5" xfId="87"/>
    <cellStyle name="Hyperlink 50" xfId="177"/>
    <cellStyle name="Hyperlink 500" xfId="1077"/>
    <cellStyle name="Hyperlink 501" xfId="1079"/>
    <cellStyle name="Hyperlink 502" xfId="1081"/>
    <cellStyle name="Hyperlink 503" xfId="1083"/>
    <cellStyle name="Hyperlink 504" xfId="1085"/>
    <cellStyle name="Hyperlink 505" xfId="1087"/>
    <cellStyle name="Hyperlink 506" xfId="1089"/>
    <cellStyle name="Hyperlink 507" xfId="1091"/>
    <cellStyle name="Hyperlink 508" xfId="1093"/>
    <cellStyle name="Hyperlink 509" xfId="1095"/>
    <cellStyle name="Hyperlink 51" xfId="179"/>
    <cellStyle name="Hyperlink 510" xfId="1097"/>
    <cellStyle name="Hyperlink 511" xfId="1099"/>
    <cellStyle name="Hyperlink 512" xfId="1101"/>
    <cellStyle name="Hyperlink 513" xfId="1103"/>
    <cellStyle name="Hyperlink 514" xfId="1105"/>
    <cellStyle name="Hyperlink 515" xfId="1107"/>
    <cellStyle name="Hyperlink 516" xfId="1109"/>
    <cellStyle name="Hyperlink 517" xfId="1111"/>
    <cellStyle name="Hyperlink 518" xfId="1113"/>
    <cellStyle name="Hyperlink 519" xfId="1115"/>
    <cellStyle name="Hyperlink 52" xfId="181"/>
    <cellStyle name="Hyperlink 520" xfId="1117"/>
    <cellStyle name="Hyperlink 521" xfId="1119"/>
    <cellStyle name="Hyperlink 522" xfId="1121"/>
    <cellStyle name="Hyperlink 523" xfId="1123"/>
    <cellStyle name="Hyperlink 524" xfId="1125"/>
    <cellStyle name="Hyperlink 525" xfId="1127"/>
    <cellStyle name="Hyperlink 526" xfId="1129"/>
    <cellStyle name="Hyperlink 527" xfId="1131"/>
    <cellStyle name="Hyperlink 528" xfId="1133"/>
    <cellStyle name="Hyperlink 529" xfId="1135"/>
    <cellStyle name="Hyperlink 53" xfId="183"/>
    <cellStyle name="Hyperlink 530" xfId="1137"/>
    <cellStyle name="Hyperlink 531" xfId="1139"/>
    <cellStyle name="Hyperlink 532" xfId="1141"/>
    <cellStyle name="Hyperlink 533" xfId="1143"/>
    <cellStyle name="Hyperlink 534" xfId="1145"/>
    <cellStyle name="Hyperlink 535" xfId="1147"/>
    <cellStyle name="Hyperlink 536" xfId="1149"/>
    <cellStyle name="Hyperlink 537" xfId="1151"/>
    <cellStyle name="Hyperlink 538" xfId="1153"/>
    <cellStyle name="Hyperlink 539" xfId="1155"/>
    <cellStyle name="Hyperlink 54" xfId="185"/>
    <cellStyle name="Hyperlink 540" xfId="1157"/>
    <cellStyle name="Hyperlink 541" xfId="1159"/>
    <cellStyle name="Hyperlink 542" xfId="1161"/>
    <cellStyle name="Hyperlink 543" xfId="1163"/>
    <cellStyle name="Hyperlink 544" xfId="1165"/>
    <cellStyle name="Hyperlink 545" xfId="1167"/>
    <cellStyle name="Hyperlink 546" xfId="1169"/>
    <cellStyle name="Hyperlink 547" xfId="1171"/>
    <cellStyle name="Hyperlink 548" xfId="1173"/>
    <cellStyle name="Hyperlink 549" xfId="1175"/>
    <cellStyle name="Hyperlink 55" xfId="187"/>
    <cellStyle name="Hyperlink 550" xfId="1177"/>
    <cellStyle name="Hyperlink 551" xfId="1179"/>
    <cellStyle name="Hyperlink 552" xfId="1181"/>
    <cellStyle name="Hyperlink 553" xfId="1183"/>
    <cellStyle name="Hyperlink 554" xfId="1185"/>
    <cellStyle name="Hyperlink 555" xfId="1187"/>
    <cellStyle name="Hyperlink 556" xfId="1189"/>
    <cellStyle name="Hyperlink 557" xfId="1191"/>
    <cellStyle name="Hyperlink 558" xfId="1193"/>
    <cellStyle name="Hyperlink 559" xfId="1195"/>
    <cellStyle name="Hyperlink 56" xfId="189"/>
    <cellStyle name="Hyperlink 560" xfId="1197"/>
    <cellStyle name="Hyperlink 561" xfId="1199"/>
    <cellStyle name="Hyperlink 562" xfId="1201"/>
    <cellStyle name="Hyperlink 563" xfId="1203"/>
    <cellStyle name="Hyperlink 564" xfId="1205"/>
    <cellStyle name="Hyperlink 565" xfId="1207"/>
    <cellStyle name="Hyperlink 566" xfId="1209"/>
    <cellStyle name="Hyperlink 567" xfId="1211"/>
    <cellStyle name="Hyperlink 568" xfId="1213"/>
    <cellStyle name="Hyperlink 569" xfId="1215"/>
    <cellStyle name="Hyperlink 57" xfId="191"/>
    <cellStyle name="Hyperlink 570" xfId="1217"/>
    <cellStyle name="Hyperlink 571" xfId="1219"/>
    <cellStyle name="Hyperlink 572" xfId="1221"/>
    <cellStyle name="Hyperlink 573" xfId="1223"/>
    <cellStyle name="Hyperlink 574" xfId="1225"/>
    <cellStyle name="Hyperlink 575" xfId="1227"/>
    <cellStyle name="Hyperlink 576" xfId="1229"/>
    <cellStyle name="Hyperlink 577" xfId="1231"/>
    <cellStyle name="Hyperlink 578" xfId="1233"/>
    <cellStyle name="Hyperlink 579" xfId="1235"/>
    <cellStyle name="Hyperlink 58" xfId="193"/>
    <cellStyle name="Hyperlink 580" xfId="1237"/>
    <cellStyle name="Hyperlink 581" xfId="1239"/>
    <cellStyle name="Hyperlink 582" xfId="1241"/>
    <cellStyle name="Hyperlink 583" xfId="1243"/>
    <cellStyle name="Hyperlink 584" xfId="1245"/>
    <cellStyle name="Hyperlink 585" xfId="1247"/>
    <cellStyle name="Hyperlink 586" xfId="1249"/>
    <cellStyle name="Hyperlink 587" xfId="1251"/>
    <cellStyle name="Hyperlink 588" xfId="1253"/>
    <cellStyle name="Hyperlink 589" xfId="1255"/>
    <cellStyle name="Hyperlink 59" xfId="195"/>
    <cellStyle name="Hyperlink 590" xfId="1257"/>
    <cellStyle name="Hyperlink 591" xfId="1259"/>
    <cellStyle name="Hyperlink 592" xfId="1261"/>
    <cellStyle name="Hyperlink 593" xfId="1263"/>
    <cellStyle name="Hyperlink 594" xfId="1265"/>
    <cellStyle name="Hyperlink 595" xfId="1267"/>
    <cellStyle name="Hyperlink 596" xfId="1269"/>
    <cellStyle name="Hyperlink 597" xfId="1271"/>
    <cellStyle name="Hyperlink 598" xfId="1273"/>
    <cellStyle name="Hyperlink 599" xfId="1275"/>
    <cellStyle name="Hyperlink 6" xfId="89"/>
    <cellStyle name="Hyperlink 60" xfId="197"/>
    <cellStyle name="Hyperlink 600" xfId="1277"/>
    <cellStyle name="Hyperlink 601" xfId="1279"/>
    <cellStyle name="Hyperlink 602" xfId="1281"/>
    <cellStyle name="Hyperlink 603" xfId="1283"/>
    <cellStyle name="Hyperlink 604" xfId="1285"/>
    <cellStyle name="Hyperlink 605" xfId="1287"/>
    <cellStyle name="Hyperlink 606" xfId="1289"/>
    <cellStyle name="Hyperlink 607" xfId="1291"/>
    <cellStyle name="Hyperlink 608" xfId="1293"/>
    <cellStyle name="Hyperlink 609" xfId="1295"/>
    <cellStyle name="Hyperlink 61" xfId="199"/>
    <cellStyle name="Hyperlink 610" xfId="1297"/>
    <cellStyle name="Hyperlink 611" xfId="1299"/>
    <cellStyle name="Hyperlink 612" xfId="1301"/>
    <cellStyle name="Hyperlink 613" xfId="1303"/>
    <cellStyle name="Hyperlink 614" xfId="1305"/>
    <cellStyle name="Hyperlink 615" xfId="1307"/>
    <cellStyle name="Hyperlink 616" xfId="1309"/>
    <cellStyle name="Hyperlink 617" xfId="1311"/>
    <cellStyle name="Hyperlink 618" xfId="1313"/>
    <cellStyle name="Hyperlink 619" xfId="1315"/>
    <cellStyle name="Hyperlink 62" xfId="201"/>
    <cellStyle name="Hyperlink 620" xfId="1317"/>
    <cellStyle name="Hyperlink 621" xfId="1319"/>
    <cellStyle name="Hyperlink 622" xfId="1321"/>
    <cellStyle name="Hyperlink 623" xfId="1323"/>
    <cellStyle name="Hyperlink 624" xfId="1325"/>
    <cellStyle name="Hyperlink 625" xfId="1327"/>
    <cellStyle name="Hyperlink 626" xfId="1329"/>
    <cellStyle name="Hyperlink 627" xfId="1331"/>
    <cellStyle name="Hyperlink 628" xfId="1333"/>
    <cellStyle name="Hyperlink 629" xfId="1335"/>
    <cellStyle name="Hyperlink 63" xfId="203"/>
    <cellStyle name="Hyperlink 630" xfId="1337"/>
    <cellStyle name="Hyperlink 631" xfId="1339"/>
    <cellStyle name="Hyperlink 632" xfId="1341"/>
    <cellStyle name="Hyperlink 633" xfId="1343"/>
    <cellStyle name="Hyperlink 634" xfId="1345"/>
    <cellStyle name="Hyperlink 635" xfId="1347"/>
    <cellStyle name="Hyperlink 636" xfId="1349"/>
    <cellStyle name="Hyperlink 637" xfId="1351"/>
    <cellStyle name="Hyperlink 638" xfId="1353"/>
    <cellStyle name="Hyperlink 639" xfId="1355"/>
    <cellStyle name="Hyperlink 64" xfId="205"/>
    <cellStyle name="Hyperlink 640" xfId="1357"/>
    <cellStyle name="Hyperlink 641" xfId="1359"/>
    <cellStyle name="Hyperlink 642" xfId="1361"/>
    <cellStyle name="Hyperlink 643" xfId="1363"/>
    <cellStyle name="Hyperlink 644" xfId="1365"/>
    <cellStyle name="Hyperlink 645" xfId="1367"/>
    <cellStyle name="Hyperlink 646" xfId="1369"/>
    <cellStyle name="Hyperlink 647" xfId="1371"/>
    <cellStyle name="Hyperlink 648" xfId="1373"/>
    <cellStyle name="Hyperlink 649" xfId="1375"/>
    <cellStyle name="Hyperlink 65" xfId="207"/>
    <cellStyle name="Hyperlink 650" xfId="1377"/>
    <cellStyle name="Hyperlink 651" xfId="1379"/>
    <cellStyle name="Hyperlink 652" xfId="1381"/>
    <cellStyle name="Hyperlink 653" xfId="1383"/>
    <cellStyle name="Hyperlink 654" xfId="1385"/>
    <cellStyle name="Hyperlink 655" xfId="1387"/>
    <cellStyle name="Hyperlink 656" xfId="1389"/>
    <cellStyle name="Hyperlink 657" xfId="1391"/>
    <cellStyle name="Hyperlink 658" xfId="1393"/>
    <cellStyle name="Hyperlink 659" xfId="1395"/>
    <cellStyle name="Hyperlink 66" xfId="209"/>
    <cellStyle name="Hyperlink 660" xfId="1397"/>
    <cellStyle name="Hyperlink 661" xfId="1399"/>
    <cellStyle name="Hyperlink 662" xfId="1401"/>
    <cellStyle name="Hyperlink 663" xfId="1403"/>
    <cellStyle name="Hyperlink 664" xfId="1405"/>
    <cellStyle name="Hyperlink 665" xfId="1407"/>
    <cellStyle name="Hyperlink 666" xfId="1409"/>
    <cellStyle name="Hyperlink 667" xfId="1411"/>
    <cellStyle name="Hyperlink 668" xfId="1413"/>
    <cellStyle name="Hyperlink 669" xfId="1415"/>
    <cellStyle name="Hyperlink 67" xfId="211"/>
    <cellStyle name="Hyperlink 670" xfId="1417"/>
    <cellStyle name="Hyperlink 671" xfId="1419"/>
    <cellStyle name="Hyperlink 672" xfId="1421"/>
    <cellStyle name="Hyperlink 673" xfId="1423"/>
    <cellStyle name="Hyperlink 674" xfId="1425"/>
    <cellStyle name="Hyperlink 675" xfId="1427"/>
    <cellStyle name="Hyperlink 676" xfId="1429"/>
    <cellStyle name="Hyperlink 677" xfId="1431"/>
    <cellStyle name="Hyperlink 678" xfId="1433"/>
    <cellStyle name="Hyperlink 679" xfId="1435"/>
    <cellStyle name="Hyperlink 68" xfId="213"/>
    <cellStyle name="Hyperlink 680" xfId="1437"/>
    <cellStyle name="Hyperlink 681" xfId="1439"/>
    <cellStyle name="Hyperlink 682" xfId="1441"/>
    <cellStyle name="Hyperlink 683" xfId="1443"/>
    <cellStyle name="Hyperlink 684" xfId="1445"/>
    <cellStyle name="Hyperlink 685" xfId="1447"/>
    <cellStyle name="Hyperlink 686" xfId="1449"/>
    <cellStyle name="Hyperlink 687" xfId="1451"/>
    <cellStyle name="Hyperlink 688" xfId="1453"/>
    <cellStyle name="Hyperlink 689" xfId="1455"/>
    <cellStyle name="Hyperlink 69" xfId="215"/>
    <cellStyle name="Hyperlink 690" xfId="1457"/>
    <cellStyle name="Hyperlink 691" xfId="1459"/>
    <cellStyle name="Hyperlink 692" xfId="1461"/>
    <cellStyle name="Hyperlink 693" xfId="1463"/>
    <cellStyle name="Hyperlink 694" xfId="1465"/>
    <cellStyle name="Hyperlink 695" xfId="1467"/>
    <cellStyle name="Hyperlink 696" xfId="1469"/>
    <cellStyle name="Hyperlink 697" xfId="1471"/>
    <cellStyle name="Hyperlink 698" xfId="1473"/>
    <cellStyle name="Hyperlink 699" xfId="1475"/>
    <cellStyle name="Hyperlink 7" xfId="91"/>
    <cellStyle name="Hyperlink 70" xfId="217"/>
    <cellStyle name="Hyperlink 700" xfId="1477"/>
    <cellStyle name="Hyperlink 701" xfId="1479"/>
    <cellStyle name="Hyperlink 702" xfId="1481"/>
    <cellStyle name="Hyperlink 703" xfId="1483"/>
    <cellStyle name="Hyperlink 704" xfId="1485"/>
    <cellStyle name="Hyperlink 705" xfId="1487"/>
    <cellStyle name="Hyperlink 706" xfId="1489"/>
    <cellStyle name="Hyperlink 707" xfId="1491"/>
    <cellStyle name="Hyperlink 708" xfId="1493"/>
    <cellStyle name="Hyperlink 709" xfId="1495"/>
    <cellStyle name="Hyperlink 71" xfId="219"/>
    <cellStyle name="Hyperlink 710" xfId="1497"/>
    <cellStyle name="Hyperlink 711" xfId="1499"/>
    <cellStyle name="Hyperlink 712" xfId="1501"/>
    <cellStyle name="Hyperlink 713" xfId="1503"/>
    <cellStyle name="Hyperlink 714" xfId="1505"/>
    <cellStyle name="Hyperlink 715" xfId="1507"/>
    <cellStyle name="Hyperlink 716" xfId="1509"/>
    <cellStyle name="Hyperlink 717" xfId="1511"/>
    <cellStyle name="Hyperlink 718" xfId="1513"/>
    <cellStyle name="Hyperlink 719" xfId="1515"/>
    <cellStyle name="Hyperlink 72" xfId="221"/>
    <cellStyle name="Hyperlink 720" xfId="1517"/>
    <cellStyle name="Hyperlink 721" xfId="1519"/>
    <cellStyle name="Hyperlink 722" xfId="1521"/>
    <cellStyle name="Hyperlink 723" xfId="1523"/>
    <cellStyle name="Hyperlink 724" xfId="1525"/>
    <cellStyle name="Hyperlink 725" xfId="1527"/>
    <cellStyle name="Hyperlink 726" xfId="1529"/>
    <cellStyle name="Hyperlink 727" xfId="1531"/>
    <cellStyle name="Hyperlink 728" xfId="1533"/>
    <cellStyle name="Hyperlink 729" xfId="1535"/>
    <cellStyle name="Hyperlink 73" xfId="223"/>
    <cellStyle name="Hyperlink 730" xfId="1537"/>
    <cellStyle name="Hyperlink 731" xfId="1539"/>
    <cellStyle name="Hyperlink 732" xfId="1541"/>
    <cellStyle name="Hyperlink 733" xfId="1543"/>
    <cellStyle name="Hyperlink 734" xfId="1545"/>
    <cellStyle name="Hyperlink 735" xfId="1547"/>
    <cellStyle name="Hyperlink 736" xfId="1549"/>
    <cellStyle name="Hyperlink 737" xfId="1551"/>
    <cellStyle name="Hyperlink 738" xfId="1553"/>
    <cellStyle name="Hyperlink 739" xfId="1555"/>
    <cellStyle name="Hyperlink 74" xfId="225"/>
    <cellStyle name="Hyperlink 740" xfId="1557"/>
    <cellStyle name="Hyperlink 741" xfId="1559"/>
    <cellStyle name="Hyperlink 75" xfId="227"/>
    <cellStyle name="Hyperlink 76" xfId="229"/>
    <cellStyle name="Hyperlink 77" xfId="231"/>
    <cellStyle name="Hyperlink 78" xfId="233"/>
    <cellStyle name="Hyperlink 79" xfId="235"/>
    <cellStyle name="Hyperlink 8" xfId="93"/>
    <cellStyle name="Hyperlink 80" xfId="237"/>
    <cellStyle name="Hyperlink 81" xfId="239"/>
    <cellStyle name="Hyperlink 82" xfId="241"/>
    <cellStyle name="Hyperlink 83" xfId="243"/>
    <cellStyle name="Hyperlink 84" xfId="245"/>
    <cellStyle name="Hyperlink 85" xfId="247"/>
    <cellStyle name="Hyperlink 86" xfId="249"/>
    <cellStyle name="Hyperlink 87" xfId="251"/>
    <cellStyle name="Hyperlink 88" xfId="253"/>
    <cellStyle name="Hyperlink 89" xfId="255"/>
    <cellStyle name="Hyperlink 9" xfId="95"/>
    <cellStyle name="Hyperlink 90" xfId="257"/>
    <cellStyle name="Hyperlink 91" xfId="259"/>
    <cellStyle name="Hyperlink 92" xfId="261"/>
    <cellStyle name="Hyperlink 93" xfId="263"/>
    <cellStyle name="Hyperlink 94" xfId="265"/>
    <cellStyle name="Hyperlink 95" xfId="267"/>
    <cellStyle name="Hyperlink 96" xfId="269"/>
    <cellStyle name="Hyperlink 97" xfId="271"/>
    <cellStyle name="Hyperlink 98" xfId="273"/>
    <cellStyle name="Hyperlink 99" xfId="275"/>
    <cellStyle name="Input" xfId="52" builtinId="20" customBuiltin="1"/>
    <cellStyle name="Linked Cell" xfId="53" builtinId="24" customBuiltin="1"/>
    <cellStyle name="Neutral" xfId="54" builtinId="28" customBuiltin="1"/>
    <cellStyle name="Normal" xfId="0" builtinId="0"/>
    <cellStyle name="Normal 2" xfId="55"/>
    <cellStyle name="Normal 2 2" xfId="56"/>
    <cellStyle name="Normal 2 3" xfId="57"/>
    <cellStyle name="Normal 2 4" xfId="58"/>
    <cellStyle name="Normal 3" xfId="59"/>
    <cellStyle name="Normal 38" xfId="60"/>
    <cellStyle name="Normal 38 2" xfId="61"/>
    <cellStyle name="Normal 4" xfId="62"/>
    <cellStyle name="Normal 5" xfId="79"/>
    <cellStyle name="Normal 5 2" xfId="63"/>
    <cellStyle name="Normal 6" xfId="1563"/>
    <cellStyle name="Normal 6 2" xfId="2508"/>
    <cellStyle name="Normal 7" xfId="1577"/>
    <cellStyle name="Normal 7 2" xfId="2647"/>
    <cellStyle name="Note 2" xfId="64"/>
    <cellStyle name="Note 2 2" xfId="65"/>
    <cellStyle name="Note 3" xfId="66"/>
    <cellStyle name="Output" xfId="67" builtinId="21" customBuiltin="1"/>
    <cellStyle name="Percent" xfId="68" builtinId="5"/>
    <cellStyle name="Percent 2" xfId="69"/>
    <cellStyle name="Percent 2 2" xfId="70"/>
    <cellStyle name="Percent 3" xfId="71"/>
    <cellStyle name="Percent 4" xfId="72"/>
    <cellStyle name="Percent 4 2" xfId="73"/>
    <cellStyle name="Percent 5" xfId="74"/>
    <cellStyle name="Percent 6" xfId="75"/>
    <cellStyle name="Percent 7" xfId="1564"/>
    <cellStyle name="Percent 7 2" xfId="2509"/>
    <cellStyle name="Title" xfId="76" builtinId="15" customBuiltin="1"/>
    <cellStyle name="Total" xfId="77" builtinId="25" customBuiltin="1"/>
    <cellStyle name="Warning Text" xfId="78" builtinId="11" customBuiltin="1"/>
  </cellStyles>
  <dxfs count="5"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  <dxf>
      <font>
        <b/>
        <i val="0"/>
        <color auto="1"/>
      </font>
      <fill>
        <patternFill patternType="solid">
          <bgColor theme="6" tint="0.7999816888943144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externalLink" Target="externalLinks/externalLink1.xml"/><Relationship Id="rId23" Type="http://schemas.openxmlformats.org/officeDocument/2006/relationships/externalLink" Target="externalLinks/externalLink2.xml"/><Relationship Id="rId24" Type="http://schemas.openxmlformats.org/officeDocument/2006/relationships/externalLink" Target="externalLinks/externalLink3.xml"/><Relationship Id="rId25" Type="http://schemas.openxmlformats.org/officeDocument/2006/relationships/externalLink" Target="externalLinks/externalLink4.xml"/><Relationship Id="rId26" Type="http://schemas.openxmlformats.org/officeDocument/2006/relationships/externalLink" Target="externalLinks/externalLink5.xml"/><Relationship Id="rId27" Type="http://schemas.openxmlformats.org/officeDocument/2006/relationships/externalLink" Target="externalLinks/externalLink6.xml"/><Relationship Id="rId28" Type="http://schemas.openxmlformats.org/officeDocument/2006/relationships/theme" Target="theme/theme1.xml"/><Relationship Id="rId29" Type="http://schemas.openxmlformats.org/officeDocument/2006/relationships/styles" Target="styles.xml"/><Relationship Id="rId30" Type="http://schemas.openxmlformats.org/officeDocument/2006/relationships/sharedStrings" Target="sharedStrings.xml"/><Relationship Id="rId31" Type="http://schemas.openxmlformats.org/officeDocument/2006/relationships/calcChain" Target="calcChain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/>
              <a:t>Track Ingestion by Territory (excluding RED)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Summary_March!$A$36</c:f>
              <c:strCache>
                <c:ptCount val="1"/>
                <c:pt idx="0">
                  <c:v>North America</c:v>
                </c:pt>
              </c:strCache>
            </c:strRef>
          </c:tx>
          <c:marker>
            <c:symbol val="none"/>
          </c:marker>
          <c:cat>
            <c:strRef>
              <c:f>Summary_March!$B$35:$H$35</c:f>
              <c:strCache>
                <c:ptCount val="7"/>
                <c:pt idx="0">
                  <c:v>September</c:v>
                </c:pt>
                <c:pt idx="1">
                  <c:v>October </c:v>
                </c:pt>
                <c:pt idx="2">
                  <c:v>November </c:v>
                </c:pt>
                <c:pt idx="3">
                  <c:v>December</c:v>
                </c:pt>
                <c:pt idx="4">
                  <c:v>January </c:v>
                </c:pt>
                <c:pt idx="5">
                  <c:v>February</c:v>
                </c:pt>
                <c:pt idx="6">
                  <c:v>March</c:v>
                </c:pt>
              </c:strCache>
            </c:strRef>
          </c:cat>
          <c:val>
            <c:numRef>
              <c:f>Summary_March!$B$36:$H$36</c:f>
              <c:numCache>
                <c:formatCode>_(* #,##0_);_(* \(#,##0\);_(* "-"??_);_(@_)</c:formatCode>
                <c:ptCount val="7"/>
                <c:pt idx="0">
                  <c:v>61646.0</c:v>
                </c:pt>
                <c:pt idx="1">
                  <c:v>68494.0</c:v>
                </c:pt>
                <c:pt idx="2">
                  <c:v>93117.0</c:v>
                </c:pt>
                <c:pt idx="3">
                  <c:v>49439.0</c:v>
                </c:pt>
                <c:pt idx="4">
                  <c:v>92884.0</c:v>
                </c:pt>
                <c:pt idx="5">
                  <c:v>71664.0</c:v>
                </c:pt>
                <c:pt idx="6">
                  <c:v>99911.0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Summary_March!$A$37</c:f>
              <c:strCache>
                <c:ptCount val="1"/>
                <c:pt idx="0">
                  <c:v>Europe</c:v>
                </c:pt>
              </c:strCache>
            </c:strRef>
          </c:tx>
          <c:marker>
            <c:symbol val="none"/>
          </c:marker>
          <c:cat>
            <c:strRef>
              <c:f>Summary_March!$B$35:$H$35</c:f>
              <c:strCache>
                <c:ptCount val="7"/>
                <c:pt idx="0">
                  <c:v>September</c:v>
                </c:pt>
                <c:pt idx="1">
                  <c:v>October </c:v>
                </c:pt>
                <c:pt idx="2">
                  <c:v>November </c:v>
                </c:pt>
                <c:pt idx="3">
                  <c:v>December</c:v>
                </c:pt>
                <c:pt idx="4">
                  <c:v>January </c:v>
                </c:pt>
                <c:pt idx="5">
                  <c:v>February</c:v>
                </c:pt>
                <c:pt idx="6">
                  <c:v>March</c:v>
                </c:pt>
              </c:strCache>
            </c:strRef>
          </c:cat>
          <c:val>
            <c:numRef>
              <c:f>Summary_March!$B$37:$H$37</c:f>
              <c:numCache>
                <c:formatCode>_(* #,##0_);_(* \(#,##0\);_(* "-"??_);_(@_)</c:formatCode>
                <c:ptCount val="7"/>
                <c:pt idx="0">
                  <c:v>113813.0</c:v>
                </c:pt>
                <c:pt idx="1">
                  <c:v>129063.0</c:v>
                </c:pt>
                <c:pt idx="2">
                  <c:v>129131.0</c:v>
                </c:pt>
                <c:pt idx="3">
                  <c:v>110347.0</c:v>
                </c:pt>
                <c:pt idx="4">
                  <c:v>113751.0</c:v>
                </c:pt>
                <c:pt idx="5">
                  <c:v>103238.0</c:v>
                </c:pt>
                <c:pt idx="6">
                  <c:v>119759.0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Summary_March!$A$38</c:f>
              <c:strCache>
                <c:ptCount val="1"/>
                <c:pt idx="0">
                  <c:v>ROW</c:v>
                </c:pt>
              </c:strCache>
            </c:strRef>
          </c:tx>
          <c:marker>
            <c:symbol val="none"/>
          </c:marker>
          <c:cat>
            <c:strRef>
              <c:f>Summary_March!$B$35:$H$35</c:f>
              <c:strCache>
                <c:ptCount val="7"/>
                <c:pt idx="0">
                  <c:v>September</c:v>
                </c:pt>
                <c:pt idx="1">
                  <c:v>October </c:v>
                </c:pt>
                <c:pt idx="2">
                  <c:v>November </c:v>
                </c:pt>
                <c:pt idx="3">
                  <c:v>December</c:v>
                </c:pt>
                <c:pt idx="4">
                  <c:v>January </c:v>
                </c:pt>
                <c:pt idx="5">
                  <c:v>February</c:v>
                </c:pt>
                <c:pt idx="6">
                  <c:v>March</c:v>
                </c:pt>
              </c:strCache>
            </c:strRef>
          </c:cat>
          <c:val>
            <c:numRef>
              <c:f>Summary_March!$B$38:$H$38</c:f>
              <c:numCache>
                <c:formatCode>_(* #,##0_);_(* \(#,##0\);_(* "-"??_);_(@_)</c:formatCode>
                <c:ptCount val="7"/>
                <c:pt idx="0">
                  <c:v>64885.0</c:v>
                </c:pt>
                <c:pt idx="1">
                  <c:v>42937.0</c:v>
                </c:pt>
                <c:pt idx="2">
                  <c:v>21213.0</c:v>
                </c:pt>
                <c:pt idx="3">
                  <c:v>14867.0</c:v>
                </c:pt>
                <c:pt idx="4">
                  <c:v>21722.0</c:v>
                </c:pt>
                <c:pt idx="5">
                  <c:v>20045.0</c:v>
                </c:pt>
                <c:pt idx="6">
                  <c:v>19121.0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17400648"/>
        <c:axId val="2117403800"/>
      </c:lineChart>
      <c:catAx>
        <c:axId val="2117400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17403800"/>
        <c:crosses val="autoZero"/>
        <c:auto val="1"/>
        <c:lblAlgn val="ctr"/>
        <c:lblOffset val="100"/>
        <c:noMultiLvlLbl val="0"/>
      </c:catAx>
      <c:valAx>
        <c:axId val="2117403800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117400648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 w="12700"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Top Store - % Change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034911969074877"/>
          <c:y val="0.139387341010112"/>
          <c:w val="0.799424899300135"/>
          <c:h val="0.8238341306683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Summary_March!$N$133</c:f>
              <c:strCache>
                <c:ptCount val="1"/>
                <c:pt idx="0">
                  <c:v>Aug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Summary_March!$A$134:$A$142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Summary_March!$N$134:$N$142</c:f>
              <c:numCache>
                <c:formatCode>0%</c:formatCode>
                <c:ptCount val="9"/>
                <c:pt idx="0">
                  <c:v>-0.0528807054529743</c:v>
                </c:pt>
                <c:pt idx="1">
                  <c:v>0.39162415519434</c:v>
                </c:pt>
                <c:pt idx="2">
                  <c:v>0.0164281363612857</c:v>
                </c:pt>
                <c:pt idx="3">
                  <c:v>0.121236530630578</c:v>
                </c:pt>
                <c:pt idx="4">
                  <c:v>2.150945856682002</c:v>
                </c:pt>
                <c:pt idx="5">
                  <c:v>1.616484321226981</c:v>
                </c:pt>
                <c:pt idx="6">
                  <c:v>0.812295766278035</c:v>
                </c:pt>
                <c:pt idx="7">
                  <c:v>-0.119394322171598</c:v>
                </c:pt>
                <c:pt idx="8">
                  <c:v>0.584236733867917</c:v>
                </c:pt>
              </c:numCache>
            </c:numRef>
          </c:val>
        </c:ser>
        <c:ser>
          <c:idx val="1"/>
          <c:order val="1"/>
          <c:tx>
            <c:strRef>
              <c:f>Summary_March!$O$133</c:f>
              <c:strCache>
                <c:ptCount val="1"/>
                <c:pt idx="0">
                  <c:v>Sep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Summary_March!$A$134:$A$142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Summary_March!$O$134:$O$142</c:f>
              <c:numCache>
                <c:formatCode>0%</c:formatCode>
                <c:ptCount val="9"/>
                <c:pt idx="0">
                  <c:v>-0.120581561802494</c:v>
                </c:pt>
                <c:pt idx="1">
                  <c:v>0.580564241627343</c:v>
                </c:pt>
                <c:pt idx="2">
                  <c:v>-0.00143023361832917</c:v>
                </c:pt>
                <c:pt idx="3">
                  <c:v>0.367790798336449</c:v>
                </c:pt>
                <c:pt idx="4">
                  <c:v>1.580949533285251</c:v>
                </c:pt>
                <c:pt idx="5">
                  <c:v>1.894448607807142</c:v>
                </c:pt>
                <c:pt idx="6">
                  <c:v>0.78732925950613</c:v>
                </c:pt>
                <c:pt idx="7">
                  <c:v>-0.0814740723514408</c:v>
                </c:pt>
                <c:pt idx="8">
                  <c:v>0.434558231826065</c:v>
                </c:pt>
              </c:numCache>
            </c:numRef>
          </c:val>
        </c:ser>
        <c:ser>
          <c:idx val="2"/>
          <c:order val="2"/>
          <c:tx>
            <c:strRef>
              <c:f>Summary_March!$P$133</c:f>
              <c:strCache>
                <c:ptCount val="1"/>
                <c:pt idx="0">
                  <c:v>Oct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Summary_March!$A$134:$A$142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Summary_March!$P$134:$P$142</c:f>
              <c:numCache>
                <c:formatCode>0%</c:formatCode>
                <c:ptCount val="9"/>
                <c:pt idx="0">
                  <c:v>-0.141184725264448</c:v>
                </c:pt>
                <c:pt idx="1">
                  <c:v>0.543247321113155</c:v>
                </c:pt>
                <c:pt idx="2">
                  <c:v>0.0366052967504447</c:v>
                </c:pt>
                <c:pt idx="3">
                  <c:v>0.317162577374391</c:v>
                </c:pt>
                <c:pt idx="4">
                  <c:v>1.425658915238821</c:v>
                </c:pt>
                <c:pt idx="5">
                  <c:v>2.021808830483626</c:v>
                </c:pt>
                <c:pt idx="6">
                  <c:v>0.834074843689657</c:v>
                </c:pt>
                <c:pt idx="7">
                  <c:v>-0.014697317206392</c:v>
                </c:pt>
                <c:pt idx="8">
                  <c:v>0.473952186725905</c:v>
                </c:pt>
              </c:numCache>
            </c:numRef>
          </c:val>
        </c:ser>
        <c:ser>
          <c:idx val="3"/>
          <c:order val="3"/>
          <c:tx>
            <c:strRef>
              <c:f>Summary_March!$Q$133</c:f>
              <c:strCache>
                <c:ptCount val="1"/>
                <c:pt idx="0">
                  <c:v>Nov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Summary_March!$A$134:$A$142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Summary_March!$Q$134:$Q$142</c:f>
              <c:numCache>
                <c:formatCode>0%</c:formatCode>
                <c:ptCount val="9"/>
                <c:pt idx="0">
                  <c:v>-0.100777860122849</c:v>
                </c:pt>
                <c:pt idx="1">
                  <c:v>0.515552827989008</c:v>
                </c:pt>
                <c:pt idx="2">
                  <c:v>-0.00640858221600294</c:v>
                </c:pt>
                <c:pt idx="3">
                  <c:v>0.647283741455955</c:v>
                </c:pt>
                <c:pt idx="4">
                  <c:v>1.56632456742848</c:v>
                </c:pt>
                <c:pt idx="5">
                  <c:v>1.522112135321344</c:v>
                </c:pt>
                <c:pt idx="6">
                  <c:v>1.063345514654058</c:v>
                </c:pt>
                <c:pt idx="7">
                  <c:v>0.0415597665346505</c:v>
                </c:pt>
                <c:pt idx="8">
                  <c:v>0.339959935759259</c:v>
                </c:pt>
              </c:numCache>
            </c:numRef>
          </c:val>
        </c:ser>
        <c:ser>
          <c:idx val="4"/>
          <c:order val="4"/>
          <c:tx>
            <c:strRef>
              <c:f>Summary_March!$R$133</c:f>
              <c:strCache>
                <c:ptCount val="1"/>
                <c:pt idx="0">
                  <c:v>Dec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Summary_March!$A$134:$A$142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Summary_March!$R$134:$R$142</c:f>
              <c:numCache>
                <c:formatCode>0%</c:formatCode>
                <c:ptCount val="9"/>
                <c:pt idx="0">
                  <c:v>-0.135665560546407</c:v>
                </c:pt>
                <c:pt idx="1">
                  <c:v>0.502384476380566</c:v>
                </c:pt>
                <c:pt idx="2">
                  <c:v>-0.0673960307720348</c:v>
                </c:pt>
                <c:pt idx="3">
                  <c:v>1.02504325993233</c:v>
                </c:pt>
                <c:pt idx="4">
                  <c:v>1.197078592602139</c:v>
                </c:pt>
                <c:pt idx="5">
                  <c:v>1.284818767622119</c:v>
                </c:pt>
                <c:pt idx="6">
                  <c:v>0.846743580405445</c:v>
                </c:pt>
                <c:pt idx="7">
                  <c:v>0.0926607532584708</c:v>
                </c:pt>
              </c:numCache>
            </c:numRef>
          </c:val>
        </c:ser>
        <c:ser>
          <c:idx val="5"/>
          <c:order val="5"/>
          <c:tx>
            <c:strRef>
              <c:f>Summary_March!$S$133</c:f>
              <c:strCache>
                <c:ptCount val="1"/>
                <c:pt idx="0">
                  <c:v>Jan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Summary_March!$A$134:$A$142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Summary_March!$S$134:$S$142</c:f>
              <c:numCache>
                <c:formatCode>0%</c:formatCode>
                <c:ptCount val="9"/>
                <c:pt idx="0">
                  <c:v>-0.146570032720582</c:v>
                </c:pt>
                <c:pt idx="1">
                  <c:v>0.345293313187737</c:v>
                </c:pt>
                <c:pt idx="2">
                  <c:v>-0.137776464114614</c:v>
                </c:pt>
                <c:pt idx="3">
                  <c:v>0.966495274487314</c:v>
                </c:pt>
                <c:pt idx="4">
                  <c:v>0.980374069383132</c:v>
                </c:pt>
                <c:pt idx="5">
                  <c:v>1.405083187050328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22075784"/>
        <c:axId val="2122078792"/>
      </c:barChart>
      <c:catAx>
        <c:axId val="2122075784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1100" b="1"/>
            </a:pPr>
            <a:endParaRPr lang="en-US"/>
          </a:p>
        </c:txPr>
        <c:crossAx val="2122078792"/>
        <c:crosses val="autoZero"/>
        <c:auto val="1"/>
        <c:lblAlgn val="ctr"/>
        <c:lblOffset val="700"/>
        <c:noMultiLvlLbl val="0"/>
      </c:catAx>
      <c:valAx>
        <c:axId val="2122078792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212207578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baseline="0"/>
              <a:t>Top Store - % Change</a:t>
            </a:r>
            <a:endParaRPr lang="en-US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034911969074877"/>
          <c:y val="0.139387341010112"/>
          <c:w val="0.799424899300135"/>
          <c:h val="0.8238341306683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'Summary - OLD'!$N$133</c:f>
              <c:strCache>
                <c:ptCount val="1"/>
                <c:pt idx="0">
                  <c:v>Aug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'Summary - OLD'!$A$134:$A$142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'Summary - OLD'!$N$134:$N$142</c:f>
              <c:numCache>
                <c:formatCode>0%</c:formatCode>
                <c:ptCount val="9"/>
                <c:pt idx="0">
                  <c:v>-0.0528807054529743</c:v>
                </c:pt>
                <c:pt idx="1">
                  <c:v>0.39162415519434</c:v>
                </c:pt>
                <c:pt idx="2">
                  <c:v>0.0164281363612857</c:v>
                </c:pt>
                <c:pt idx="3">
                  <c:v>0.121236530630578</c:v>
                </c:pt>
                <c:pt idx="4">
                  <c:v>2.150945856682002</c:v>
                </c:pt>
                <c:pt idx="5">
                  <c:v>1.616484321226981</c:v>
                </c:pt>
                <c:pt idx="6">
                  <c:v>0.812295766278035</c:v>
                </c:pt>
                <c:pt idx="7">
                  <c:v>-0.119394322171598</c:v>
                </c:pt>
                <c:pt idx="8">
                  <c:v>0.584236733867917</c:v>
                </c:pt>
              </c:numCache>
            </c:numRef>
          </c:val>
        </c:ser>
        <c:ser>
          <c:idx val="1"/>
          <c:order val="1"/>
          <c:tx>
            <c:strRef>
              <c:f>'Summary - OLD'!$O$133</c:f>
              <c:strCache>
                <c:ptCount val="1"/>
                <c:pt idx="0">
                  <c:v>Sep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'Summary - OLD'!$A$134:$A$142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'Summary - OLD'!$O$134:$O$142</c:f>
              <c:numCache>
                <c:formatCode>0%</c:formatCode>
                <c:ptCount val="9"/>
                <c:pt idx="0">
                  <c:v>-0.120581561802494</c:v>
                </c:pt>
                <c:pt idx="1">
                  <c:v>0.580564241627343</c:v>
                </c:pt>
                <c:pt idx="2">
                  <c:v>-0.00143023361832917</c:v>
                </c:pt>
                <c:pt idx="3">
                  <c:v>0.367790798336449</c:v>
                </c:pt>
                <c:pt idx="4">
                  <c:v>1.580949533285251</c:v>
                </c:pt>
                <c:pt idx="5">
                  <c:v>1.894448607807142</c:v>
                </c:pt>
                <c:pt idx="6">
                  <c:v>0.78732925950613</c:v>
                </c:pt>
                <c:pt idx="7">
                  <c:v>-0.0814740723514408</c:v>
                </c:pt>
                <c:pt idx="8">
                  <c:v>0.434558231826065</c:v>
                </c:pt>
              </c:numCache>
            </c:numRef>
          </c:val>
        </c:ser>
        <c:ser>
          <c:idx val="2"/>
          <c:order val="2"/>
          <c:tx>
            <c:strRef>
              <c:f>'Summary - OLD'!$P$133</c:f>
              <c:strCache>
                <c:ptCount val="1"/>
                <c:pt idx="0">
                  <c:v>Oct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'Summary - OLD'!$A$134:$A$142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'Summary - OLD'!$P$134:$P$142</c:f>
              <c:numCache>
                <c:formatCode>0%</c:formatCode>
                <c:ptCount val="9"/>
                <c:pt idx="0">
                  <c:v>-0.141184725264448</c:v>
                </c:pt>
                <c:pt idx="1">
                  <c:v>0.543247321113155</c:v>
                </c:pt>
                <c:pt idx="2">
                  <c:v>0.0366052967504447</c:v>
                </c:pt>
                <c:pt idx="3">
                  <c:v>0.317162577374391</c:v>
                </c:pt>
                <c:pt idx="4">
                  <c:v>1.425658915238821</c:v>
                </c:pt>
                <c:pt idx="5">
                  <c:v>2.021808830483626</c:v>
                </c:pt>
                <c:pt idx="6">
                  <c:v>0.834074843689657</c:v>
                </c:pt>
                <c:pt idx="7">
                  <c:v>-0.014697317206392</c:v>
                </c:pt>
                <c:pt idx="8">
                  <c:v>0.473952186725905</c:v>
                </c:pt>
              </c:numCache>
            </c:numRef>
          </c:val>
        </c:ser>
        <c:ser>
          <c:idx val="3"/>
          <c:order val="3"/>
          <c:tx>
            <c:strRef>
              <c:f>'Summary - OLD'!$Q$133</c:f>
              <c:strCache>
                <c:ptCount val="1"/>
                <c:pt idx="0">
                  <c:v>Nov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'Summary - OLD'!$A$134:$A$142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'Summary - OLD'!$Q$134:$Q$142</c:f>
              <c:numCache>
                <c:formatCode>0%</c:formatCode>
                <c:ptCount val="9"/>
                <c:pt idx="0">
                  <c:v>-0.100777860122849</c:v>
                </c:pt>
                <c:pt idx="1">
                  <c:v>0.515552827989008</c:v>
                </c:pt>
                <c:pt idx="2">
                  <c:v>-0.00640858221600294</c:v>
                </c:pt>
                <c:pt idx="3">
                  <c:v>0.647283741455955</c:v>
                </c:pt>
                <c:pt idx="4">
                  <c:v>1.56632456742848</c:v>
                </c:pt>
                <c:pt idx="5">
                  <c:v>1.522112135321344</c:v>
                </c:pt>
                <c:pt idx="6">
                  <c:v>1.063345514654058</c:v>
                </c:pt>
                <c:pt idx="7">
                  <c:v>0.0415597665346505</c:v>
                </c:pt>
                <c:pt idx="8">
                  <c:v>0.339959935759259</c:v>
                </c:pt>
              </c:numCache>
            </c:numRef>
          </c:val>
        </c:ser>
        <c:ser>
          <c:idx val="4"/>
          <c:order val="4"/>
          <c:tx>
            <c:strRef>
              <c:f>'Summary - OLD'!$R$133</c:f>
              <c:strCache>
                <c:ptCount val="1"/>
                <c:pt idx="0">
                  <c:v>Dec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'Summary - OLD'!$A$134:$A$142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'Summary - OLD'!$R$134:$R$142</c:f>
              <c:numCache>
                <c:formatCode>0%</c:formatCode>
                <c:ptCount val="9"/>
                <c:pt idx="0">
                  <c:v>-0.135665560546407</c:v>
                </c:pt>
                <c:pt idx="1">
                  <c:v>0.502384476380566</c:v>
                </c:pt>
                <c:pt idx="2">
                  <c:v>-0.0673960307720348</c:v>
                </c:pt>
                <c:pt idx="3">
                  <c:v>1.02504325993233</c:v>
                </c:pt>
                <c:pt idx="4">
                  <c:v>1.197078592602139</c:v>
                </c:pt>
                <c:pt idx="5">
                  <c:v>1.284818767622119</c:v>
                </c:pt>
                <c:pt idx="6">
                  <c:v>0.846743580405445</c:v>
                </c:pt>
                <c:pt idx="7">
                  <c:v>0.0926607532584708</c:v>
                </c:pt>
              </c:numCache>
            </c:numRef>
          </c:val>
        </c:ser>
        <c:ser>
          <c:idx val="5"/>
          <c:order val="5"/>
          <c:tx>
            <c:strRef>
              <c:f>'Summary - OLD'!$S$133</c:f>
              <c:strCache>
                <c:ptCount val="1"/>
                <c:pt idx="0">
                  <c:v>Jan % Change</c:v>
                </c:pt>
              </c:strCache>
            </c:strRef>
          </c:tx>
          <c:invertIfNegative val="0"/>
          <c:dLbls>
            <c:txPr>
              <a:bodyPr/>
              <a:lstStyle/>
              <a:p>
                <a:pPr>
                  <a:defRPr sz="900"/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'Summary - OLD'!$A$134:$A$142</c:f>
              <c:strCache>
                <c:ptCount val="9"/>
                <c:pt idx="0">
                  <c:v>iTunes</c:v>
                </c:pt>
                <c:pt idx="1">
                  <c:v>Spotify</c:v>
                </c:pt>
                <c:pt idx="2">
                  <c:v>Amazon</c:v>
                </c:pt>
                <c:pt idx="3">
                  <c:v>YouTube</c:v>
                </c:pt>
                <c:pt idx="4">
                  <c:v>Cricket</c:v>
                </c:pt>
                <c:pt idx="5">
                  <c:v>Google Music</c:v>
                </c:pt>
                <c:pt idx="6">
                  <c:v>deezer</c:v>
                </c:pt>
                <c:pt idx="7">
                  <c:v>Rhapsody</c:v>
                </c:pt>
                <c:pt idx="8">
                  <c:v>Microsoft Zune Music</c:v>
                </c:pt>
              </c:strCache>
            </c:strRef>
          </c:cat>
          <c:val>
            <c:numRef>
              <c:f>'Summary - OLD'!$S$134:$S$142</c:f>
              <c:numCache>
                <c:formatCode>0%</c:formatCode>
                <c:ptCount val="9"/>
                <c:pt idx="0">
                  <c:v>-0.146570032720582</c:v>
                </c:pt>
                <c:pt idx="1">
                  <c:v>0.345293313187737</c:v>
                </c:pt>
                <c:pt idx="2">
                  <c:v>-0.137776464114614</c:v>
                </c:pt>
                <c:pt idx="3">
                  <c:v>0.966495274487314</c:v>
                </c:pt>
                <c:pt idx="4">
                  <c:v>0.980374069383132</c:v>
                </c:pt>
                <c:pt idx="5">
                  <c:v>1.405083187050328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15004920"/>
        <c:axId val="2115001896"/>
      </c:barChart>
      <c:catAx>
        <c:axId val="211500492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sz="1100" b="1"/>
            </a:pPr>
            <a:endParaRPr lang="en-US"/>
          </a:p>
        </c:txPr>
        <c:crossAx val="2115001896"/>
        <c:crosses val="autoZero"/>
        <c:auto val="1"/>
        <c:lblAlgn val="ctr"/>
        <c:lblOffset val="700"/>
        <c:noMultiLvlLbl val="0"/>
      </c:catAx>
      <c:valAx>
        <c:axId val="2115001896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crossAx val="211500492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9526</xdr:colOff>
      <xdr:row>31</xdr:row>
      <xdr:rowOff>28575</xdr:rowOff>
    </xdr:from>
    <xdr:to>
      <xdr:col>20</xdr:col>
      <xdr:colOff>723901</xdr:colOff>
      <xdr:row>46</xdr:row>
      <xdr:rowOff>95250</xdr:rowOff>
    </xdr:to>
    <xdr:graphicFrame macro="">
      <xdr:nvGraphicFramePr>
        <xdr:cNvPr id="2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80960</xdr:colOff>
      <xdr:row>142</xdr:row>
      <xdr:rowOff>147636</xdr:rowOff>
    </xdr:from>
    <xdr:to>
      <xdr:col>18</xdr:col>
      <xdr:colOff>609599</xdr:colOff>
      <xdr:row>166</xdr:row>
      <xdr:rowOff>95249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80960</xdr:colOff>
      <xdr:row>144</xdr:row>
      <xdr:rowOff>128586</xdr:rowOff>
    </xdr:from>
    <xdr:to>
      <xdr:col>18</xdr:col>
      <xdr:colOff>609599</xdr:colOff>
      <xdr:row>168</xdr:row>
      <xdr:rowOff>76199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itunes%20emusic%20verizon%20weekly%20estimates%20January%20200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anna/AppData/Local/Microsoft/Windows/Temporary%20Internet%20Files/Content.Outlook/KSJ5IB3P/itunes%20emusic%20verizon%20weekly%20estimates%20January%202009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wilson/Downloads/The%20Orchard%20Weekly%20Management%20Report%20-%20Internal%20Only_JW_07.Apr.14%20(1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eorchard/Downloads/Mgmt-Weekly_Report_Apr%2014_week%201_BUDGET%20EST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oanna/AppData/Local/Microsoft/Windows/Temporary%20Internet%20Files/Content.Outlook/ISGWS0ZU/Streaming%20Market%20Share%20by%20Store_RED_ex-RED_3%2025%201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heorchard/Downloads/For%20Projections/iTunes%202013%20Sales_Percent%20by%20Territory%20Calc_BUDGET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Tunes OVERVIEW"/>
      <sheetName val="Verizon OVERVIEW 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MASTER OVERVIEW"/>
      <sheetName val="iTunes OVERVIEW"/>
      <sheetName val="eMusic OVERVIEW"/>
      <sheetName val="Verizon OVERVIEW "/>
      <sheetName val="iTunes data"/>
    </sheetNames>
    <sheetDataSet>
      <sheetData sheetId="0" refreshError="1"/>
      <sheetData sheetId="1">
        <row r="1">
          <cell r="E1">
            <v>39814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Weekly Summary"/>
      <sheetName val="Summary"/>
      <sheetName val="Orch + IODA iTunes Details"/>
      <sheetName val="Sheet4"/>
      <sheetName val="iTunes Hidden Labels Summary"/>
      <sheetName val="Market Share_Jan 2014"/>
      <sheetName val="Market Share_Ex_RED"/>
      <sheetName val="Orch Weekly Mgmt"/>
      <sheetName val="IODA Weekly iTunes"/>
      <sheetName val="IRIS iTunes"/>
      <sheetName val="Orch iTunes data"/>
      <sheetName val="IODA iTunes data"/>
      <sheetName val="IRIS iTunes data"/>
      <sheetName val="Deezer"/>
      <sheetName val="Youtube"/>
      <sheetName val="Spotify"/>
      <sheetName val="Amazon"/>
      <sheetName val="Cricket"/>
      <sheetName val="explanation of DEC projection"/>
      <sheetName val="2012 by Top store"/>
      <sheetName val="Summary_March"/>
    </sheetNames>
    <sheetDataSet>
      <sheetData sheetId="0"/>
      <sheetData sheetId="1"/>
      <sheetData sheetId="2">
        <row r="8">
          <cell r="B8">
            <v>166613.62395199999</v>
          </cell>
          <cell r="C8">
            <v>151463.24151199998</v>
          </cell>
          <cell r="D8">
            <v>156334.43511199998</v>
          </cell>
          <cell r="E8">
            <v>161835.60912799998</v>
          </cell>
          <cell r="F8">
            <v>0</v>
          </cell>
        </row>
        <row r="9">
          <cell r="B9">
            <v>66955.131671999989</v>
          </cell>
          <cell r="C9">
            <v>63466.663728</v>
          </cell>
          <cell r="D9">
            <v>61965.253896000009</v>
          </cell>
          <cell r="E9">
            <v>61016.049119999996</v>
          </cell>
          <cell r="F9">
            <v>0</v>
          </cell>
        </row>
        <row r="14">
          <cell r="B14">
            <v>77891.856744000004</v>
          </cell>
          <cell r="C14">
            <v>69532.182407999993</v>
          </cell>
          <cell r="D14">
            <v>77787.793823999993</v>
          </cell>
          <cell r="E14">
            <v>74850.366864000011</v>
          </cell>
          <cell r="F14">
            <v>0</v>
          </cell>
        </row>
        <row r="18">
          <cell r="B18">
            <v>44263.786632000003</v>
          </cell>
          <cell r="C18">
            <v>40807.669655999998</v>
          </cell>
          <cell r="D18">
            <v>40956.095232</v>
          </cell>
          <cell r="E18">
            <v>42369.969407999997</v>
          </cell>
          <cell r="F18">
            <v>0</v>
          </cell>
        </row>
        <row r="22">
          <cell r="B22">
            <v>19522.216583999998</v>
          </cell>
          <cell r="C22">
            <v>17160.020280000001</v>
          </cell>
          <cell r="D22">
            <v>18740.753303999998</v>
          </cell>
          <cell r="E22">
            <v>18323.299076999996</v>
          </cell>
          <cell r="F22">
            <v>0</v>
          </cell>
        </row>
        <row r="27">
          <cell r="B27">
            <v>8629.1122319999995</v>
          </cell>
          <cell r="C27">
            <v>8605.677287999999</v>
          </cell>
          <cell r="D27">
            <v>10059.257831999999</v>
          </cell>
          <cell r="E27">
            <v>8712.6567840000007</v>
          </cell>
          <cell r="F27">
            <v>0</v>
          </cell>
        </row>
        <row r="30">
          <cell r="B30">
            <v>35208.452565</v>
          </cell>
          <cell r="C30">
            <v>33040.492290000002</v>
          </cell>
          <cell r="D30">
            <v>34525.738259999998</v>
          </cell>
          <cell r="E30">
            <v>31989.06711</v>
          </cell>
          <cell r="F30">
            <v>0</v>
          </cell>
        </row>
        <row r="31">
          <cell r="B31">
            <v>161017.47650399999</v>
          </cell>
          <cell r="C31">
            <v>139552.02987999999</v>
          </cell>
          <cell r="D31">
            <v>132537.59828799998</v>
          </cell>
          <cell r="E31">
            <v>119537.506276</v>
          </cell>
          <cell r="F31">
            <v>0</v>
          </cell>
        </row>
        <row r="34">
          <cell r="B34">
            <v>32507.522964</v>
          </cell>
          <cell r="C34">
            <v>29762.088911999999</v>
          </cell>
          <cell r="D34">
            <v>28638.747406999999</v>
          </cell>
          <cell r="E34">
            <v>25566.920477</v>
          </cell>
          <cell r="F34">
            <v>0</v>
          </cell>
        </row>
        <row r="35">
          <cell r="B35">
            <v>14314.382390000001</v>
          </cell>
          <cell r="C35">
            <v>10989.163324000001</v>
          </cell>
          <cell r="D35">
            <v>8988.2364180000004</v>
          </cell>
          <cell r="E35">
            <v>8313.7609250000005</v>
          </cell>
          <cell r="F35">
            <v>0</v>
          </cell>
        </row>
        <row r="36">
          <cell r="B36">
            <v>9425.0432640000017</v>
          </cell>
          <cell r="C36">
            <v>9026.5724639999989</v>
          </cell>
          <cell r="D36">
            <v>8859.5601119999992</v>
          </cell>
          <cell r="E36">
            <v>8998.033512</v>
          </cell>
          <cell r="F36">
            <v>0</v>
          </cell>
        </row>
        <row r="49">
          <cell r="B49">
            <v>63222.860000000015</v>
          </cell>
          <cell r="C49">
            <v>55480.58</v>
          </cell>
          <cell r="D49">
            <v>57632.289999999994</v>
          </cell>
          <cell r="E49">
            <v>54941.110000000008</v>
          </cell>
          <cell r="F49">
            <v>0</v>
          </cell>
        </row>
        <row r="67">
          <cell r="B67">
            <v>8701.7706790000011</v>
          </cell>
          <cell r="C67">
            <v>7889.7641770000009</v>
          </cell>
          <cell r="D67">
            <v>8562.8680449999993</v>
          </cell>
          <cell r="E67">
            <v>7924.4950050000007</v>
          </cell>
          <cell r="F67">
            <v>0</v>
          </cell>
        </row>
        <row r="81">
          <cell r="B81">
            <v>14898.681763000001</v>
          </cell>
          <cell r="C81">
            <v>14333.363157000003</v>
          </cell>
          <cell r="D81">
            <v>14346.934121999999</v>
          </cell>
          <cell r="E81">
            <v>14554.702915999998</v>
          </cell>
          <cell r="F81">
            <v>0</v>
          </cell>
        </row>
      </sheetData>
      <sheetData sheetId="3"/>
      <sheetData sheetId="4">
        <row r="2">
          <cell r="C2">
            <v>1441</v>
          </cell>
          <cell r="J2">
            <v>4680</v>
          </cell>
        </row>
        <row r="3">
          <cell r="C3">
            <v>255298.50200100002</v>
          </cell>
          <cell r="J3">
            <v>364300.99979199981</v>
          </cell>
        </row>
      </sheetData>
      <sheetData sheetId="5"/>
      <sheetData sheetId="6"/>
      <sheetData sheetId="7">
        <row r="4">
          <cell r="B4">
            <v>569183.391925</v>
          </cell>
          <cell r="C4">
            <v>494574.17155999999</v>
          </cell>
          <cell r="D4">
            <v>505251.883279</v>
          </cell>
          <cell r="E4">
            <v>491128.60041700001</v>
          </cell>
          <cell r="F4">
            <v>0</v>
          </cell>
        </row>
        <row r="6">
          <cell r="Y6">
            <v>8221.6727616263706</v>
          </cell>
        </row>
        <row r="7">
          <cell r="Y7">
            <v>15437.824964991263</v>
          </cell>
        </row>
        <row r="8">
          <cell r="Y8">
            <v>197340.50227338236</v>
          </cell>
        </row>
        <row r="131">
          <cell r="I131">
            <v>2522263.811256309</v>
          </cell>
        </row>
        <row r="132">
          <cell r="I132">
            <v>1050233.0767089906</v>
          </cell>
        </row>
        <row r="133">
          <cell r="I133">
            <v>688156.15203470143</v>
          </cell>
        </row>
      </sheetData>
      <sheetData sheetId="8">
        <row r="4">
          <cell r="B4">
            <v>402554.73332100001</v>
          </cell>
          <cell r="C4">
            <v>396233.15659900004</v>
          </cell>
          <cell r="D4">
            <v>442271.30772600003</v>
          </cell>
          <cell r="E4">
            <v>384401.29155799997</v>
          </cell>
          <cell r="F4">
            <v>0</v>
          </cell>
        </row>
        <row r="129">
          <cell r="I129">
            <v>1731776.321594202</v>
          </cell>
        </row>
        <row r="130">
          <cell r="I130">
            <v>766633.52563745144</v>
          </cell>
        </row>
        <row r="131">
          <cell r="I131">
            <v>620996.84276834666</v>
          </cell>
        </row>
      </sheetData>
      <sheetData sheetId="9">
        <row r="4">
          <cell r="B4">
            <v>26408.118151502837</v>
          </cell>
          <cell r="C4">
            <v>26044.567773002735</v>
          </cell>
          <cell r="D4">
            <v>25851.886298502588</v>
          </cell>
          <cell r="E4">
            <v>25847.80826650259</v>
          </cell>
          <cell r="F4">
            <v>0</v>
          </cell>
        </row>
        <row r="8">
          <cell r="B8">
            <v>3874.9932546000591</v>
          </cell>
          <cell r="C8">
            <v>3649.1540124000585</v>
          </cell>
          <cell r="D8">
            <v>3319.5329544000447</v>
          </cell>
          <cell r="E8">
            <v>3317.5665042000514</v>
          </cell>
          <cell r="F8">
            <v>0</v>
          </cell>
        </row>
        <row r="9">
          <cell r="B9">
            <v>933.83007119999877</v>
          </cell>
          <cell r="C9">
            <v>1073.461786799998</v>
          </cell>
          <cell r="D9">
            <v>1167.5763683999967</v>
          </cell>
          <cell r="E9">
            <v>1067.6036903999968</v>
          </cell>
          <cell r="F9">
            <v>0</v>
          </cell>
        </row>
        <row r="14">
          <cell r="B14">
            <v>1776.447106200003</v>
          </cell>
          <cell r="C14">
            <v>1662.7230282000037</v>
          </cell>
          <cell r="D14">
            <v>1810.8531090000079</v>
          </cell>
          <cell r="E14">
            <v>1813.5208806000014</v>
          </cell>
          <cell r="F14">
            <v>0</v>
          </cell>
        </row>
        <row r="18">
          <cell r="B18">
            <v>436.79946960000041</v>
          </cell>
          <cell r="C18">
            <v>603.08139840000024</v>
          </cell>
          <cell r="D18">
            <v>522.47069159999967</v>
          </cell>
          <cell r="E18">
            <v>482.50912320000043</v>
          </cell>
          <cell r="F18">
            <v>0</v>
          </cell>
        </row>
        <row r="22">
          <cell r="B22">
            <v>533.34804899999938</v>
          </cell>
          <cell r="C22">
            <v>349.86311880000005</v>
          </cell>
          <cell r="D22">
            <v>364.83839340000003</v>
          </cell>
          <cell r="E22">
            <v>281.57366640000004</v>
          </cell>
          <cell r="F22">
            <v>0</v>
          </cell>
        </row>
        <row r="27">
          <cell r="B27">
            <v>177.84685619999976</v>
          </cell>
          <cell r="C27">
            <v>173.32264559999999</v>
          </cell>
          <cell r="D27">
            <v>148.36385459999994</v>
          </cell>
          <cell r="E27">
            <v>160.91888279999995</v>
          </cell>
          <cell r="F27">
            <v>0</v>
          </cell>
        </row>
        <row r="30">
          <cell r="B30">
            <v>1254.4243199999999</v>
          </cell>
          <cell r="C30">
            <v>1112.31666</v>
          </cell>
          <cell r="D30">
            <v>1091.11725</v>
          </cell>
          <cell r="E30">
            <v>1192.5918899999999</v>
          </cell>
          <cell r="F30">
            <v>0</v>
          </cell>
        </row>
        <row r="31">
          <cell r="B31">
            <v>3527.6000187999389</v>
          </cell>
          <cell r="C31">
            <v>3820.4313003999114</v>
          </cell>
          <cell r="D31">
            <v>3810.548513199934</v>
          </cell>
          <cell r="E31">
            <v>3424.4305237999465</v>
          </cell>
          <cell r="F31">
            <v>0</v>
          </cell>
        </row>
        <row r="34">
          <cell r="B34">
            <v>144.69607800000006</v>
          </cell>
          <cell r="C34">
            <v>171.09816599999988</v>
          </cell>
          <cell r="D34">
            <v>163.59983999999994</v>
          </cell>
          <cell r="E34">
            <v>1516.3934939999999</v>
          </cell>
          <cell r="F34">
            <v>0</v>
          </cell>
        </row>
        <row r="35">
          <cell r="B35">
            <v>43.248743999999952</v>
          </cell>
          <cell r="C35">
            <v>66.90675600000003</v>
          </cell>
          <cell r="D35">
            <v>49.733795999999948</v>
          </cell>
          <cell r="E35">
            <v>38.277623999999967</v>
          </cell>
          <cell r="F35">
            <v>0</v>
          </cell>
        </row>
        <row r="36">
          <cell r="B36">
            <v>106.6146042</v>
          </cell>
          <cell r="C36">
            <v>132.81102120000003</v>
          </cell>
          <cell r="D36">
            <v>89.164077600000027</v>
          </cell>
          <cell r="E36">
            <v>142.98705720000001</v>
          </cell>
          <cell r="F36">
            <v>0</v>
          </cell>
        </row>
        <row r="49">
          <cell r="B49">
            <v>296.25000000000057</v>
          </cell>
          <cell r="C49">
            <v>296.36000000000024</v>
          </cell>
          <cell r="D49">
            <v>343.24000000000046</v>
          </cell>
          <cell r="E49">
            <v>299.56000000000029</v>
          </cell>
          <cell r="F49">
            <v>0</v>
          </cell>
        </row>
        <row r="67">
          <cell r="B67">
            <v>101.4571151</v>
          </cell>
          <cell r="C67">
            <v>156.45283809999998</v>
          </cell>
          <cell r="D67">
            <v>180.10949160000004</v>
          </cell>
          <cell r="E67">
            <v>144.2918755</v>
          </cell>
          <cell r="F67">
            <v>0</v>
          </cell>
        </row>
        <row r="81">
          <cell r="B81">
            <v>250.92610169999986</v>
          </cell>
          <cell r="C81">
            <v>361.37994060000028</v>
          </cell>
          <cell r="D81">
            <v>320.29881879999994</v>
          </cell>
          <cell r="E81">
            <v>268.17818899999986</v>
          </cell>
          <cell r="F81">
            <v>0</v>
          </cell>
        </row>
        <row r="129">
          <cell r="I129">
            <v>134094.55731422987</v>
          </cell>
        </row>
        <row r="130">
          <cell r="I130">
            <v>59633.129946931665</v>
          </cell>
        </row>
        <row r="131">
          <cell r="I131">
            <v>34521.58273883845</v>
          </cell>
        </row>
      </sheetData>
      <sheetData sheetId="10"/>
      <sheetData sheetId="11"/>
      <sheetData sheetId="12"/>
      <sheetData sheetId="13">
        <row r="21">
          <cell r="B21">
            <v>75299.886600000071</v>
          </cell>
          <cell r="F21">
            <v>78805.673599999383</v>
          </cell>
          <cell r="J21">
            <v>80833.140000000043</v>
          </cell>
          <cell r="N21">
            <v>79849.041599999997</v>
          </cell>
          <cell r="R21">
            <v>0</v>
          </cell>
        </row>
      </sheetData>
      <sheetData sheetId="14"/>
      <sheetData sheetId="15">
        <row r="31">
          <cell r="B31">
            <v>519928.32724700007</v>
          </cell>
          <cell r="F31">
            <v>525009.97195299994</v>
          </cell>
          <cell r="J31">
            <v>557286.63975600014</v>
          </cell>
        </row>
        <row r="32">
          <cell r="B32">
            <v>281461.322484</v>
          </cell>
          <cell r="F32">
            <v>277324.39584700001</v>
          </cell>
          <cell r="J32">
            <v>382491.61946199997</v>
          </cell>
        </row>
        <row r="70">
          <cell r="N70">
            <v>528546.11689999991</v>
          </cell>
        </row>
        <row r="71">
          <cell r="N71">
            <v>282172.30868999998</v>
          </cell>
        </row>
        <row r="75">
          <cell r="R75">
            <v>0</v>
          </cell>
        </row>
        <row r="76">
          <cell r="R76">
            <v>0</v>
          </cell>
        </row>
      </sheetData>
      <sheetData sheetId="16">
        <row r="15">
          <cell r="B15">
            <v>189547.26999999996</v>
          </cell>
          <cell r="F15">
            <v>172066.97</v>
          </cell>
          <cell r="J15">
            <v>236593.11000000002</v>
          </cell>
          <cell r="N15">
            <v>163387.42000000001</v>
          </cell>
          <cell r="R15">
            <v>0</v>
          </cell>
        </row>
        <row r="16">
          <cell r="B16">
            <v>90875.436336999992</v>
          </cell>
          <cell r="F16">
            <v>84269.670046999992</v>
          </cell>
          <cell r="J16">
            <v>92695.592770999967</v>
          </cell>
          <cell r="N16">
            <v>87192.925687999988</v>
          </cell>
          <cell r="R16">
            <v>0</v>
          </cell>
        </row>
      </sheetData>
      <sheetData sheetId="17">
        <row r="3">
          <cell r="B3">
            <v>138977.31809999997</v>
          </cell>
          <cell r="F3">
            <v>141320.45670000001</v>
          </cell>
          <cell r="J3">
            <v>158890.77439999999</v>
          </cell>
          <cell r="N3">
            <v>142574.50230000002</v>
          </cell>
          <cell r="R3">
            <v>0</v>
          </cell>
        </row>
      </sheetData>
      <sheetData sheetId="18"/>
      <sheetData sheetId="19"/>
      <sheetData sheetId="2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Orch + IODA iTunes Details"/>
      <sheetName val="iTunes Hidden Labels Summary"/>
      <sheetName val="Orch Weekly Mgmt"/>
      <sheetName val="IODA Weekly iTunes"/>
      <sheetName val="IRIS iTunes"/>
      <sheetName val="Orch iTunes data"/>
      <sheetName val="IODA iTunes data"/>
      <sheetName val="IRIS iTunes data"/>
      <sheetName val="Deezer"/>
      <sheetName val="Youtube"/>
      <sheetName val="Spotify"/>
      <sheetName val="Amazon"/>
      <sheetName val="Cricket"/>
      <sheetName val="explanation of DEC projection"/>
    </sheetNames>
    <sheetDataSet>
      <sheetData sheetId="0"/>
      <sheetData sheetId="1"/>
      <sheetData sheetId="2"/>
      <sheetData sheetId="3">
        <row r="131">
          <cell r="I131">
            <v>3052119.3405237161</v>
          </cell>
        </row>
        <row r="132">
          <cell r="I132">
            <v>1270857.0258099404</v>
          </cell>
        </row>
        <row r="133">
          <cell r="I133">
            <v>832718.08902469231</v>
          </cell>
        </row>
      </sheetData>
      <sheetData sheetId="4">
        <row r="129">
          <cell r="I129">
            <v>2095573.0249192272</v>
          </cell>
        </row>
        <row r="130">
          <cell r="I130">
            <v>927681.31559025764</v>
          </cell>
        </row>
        <row r="131">
          <cell r="I131">
            <v>751450.52859216277</v>
          </cell>
        </row>
      </sheetData>
      <sheetData sheetId="5">
        <row r="129">
          <cell r="I129">
            <v>162263.99078923994</v>
          </cell>
        </row>
        <row r="130">
          <cell r="I130">
            <v>72160.345969654343</v>
          </cell>
        </row>
        <row r="131">
          <cell r="I131">
            <v>41773.580492445792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Market Share_Jan 2014"/>
      <sheetName val="Market Share_Ex_RED"/>
      <sheetName val="Jeff Data"/>
      <sheetName val="streams_Dec 2013"/>
      <sheetName val="streams_Jan 2014"/>
      <sheetName val="spotify main countries"/>
      <sheetName val="spotify other countries"/>
      <sheetName val="streams_ex_RED"/>
      <sheetName val="data"/>
    </sheetNames>
    <sheetDataSet>
      <sheetData sheetId="0" refreshError="1"/>
      <sheetData sheetId="1" refreshError="1"/>
      <sheetData sheetId="2" refreshError="1"/>
      <sheetData sheetId="3">
        <row r="2">
          <cell r="B2">
            <v>10246982</v>
          </cell>
          <cell r="C2">
            <v>73095</v>
          </cell>
          <cell r="D2">
            <v>0</v>
          </cell>
          <cell r="E2">
            <v>543859</v>
          </cell>
          <cell r="F2">
            <v>400464</v>
          </cell>
          <cell r="G2">
            <v>198889</v>
          </cell>
          <cell r="H2">
            <v>0</v>
          </cell>
          <cell r="I2">
            <v>0</v>
          </cell>
          <cell r="N2">
            <v>175359740</v>
          </cell>
          <cell r="O2">
            <v>1018130</v>
          </cell>
          <cell r="P2">
            <v>0</v>
          </cell>
          <cell r="Q2">
            <v>7241650</v>
          </cell>
          <cell r="R2">
            <v>4854359</v>
          </cell>
          <cell r="S2">
            <v>2883446</v>
          </cell>
          <cell r="T2">
            <v>0</v>
          </cell>
          <cell r="U2">
            <v>0</v>
          </cell>
        </row>
        <row r="3">
          <cell r="B3">
            <v>4967</v>
          </cell>
          <cell r="C3">
            <v>6166261</v>
          </cell>
          <cell r="D3">
            <v>96215</v>
          </cell>
          <cell r="E3">
            <v>3040335</v>
          </cell>
          <cell r="F3">
            <v>0</v>
          </cell>
          <cell r="G3">
            <v>0</v>
          </cell>
          <cell r="H3">
            <v>0</v>
          </cell>
          <cell r="I3">
            <v>0</v>
          </cell>
          <cell r="N3">
            <v>50215</v>
          </cell>
          <cell r="O3">
            <v>36621942</v>
          </cell>
          <cell r="P3">
            <v>902910</v>
          </cell>
          <cell r="Q3">
            <v>21647699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</row>
        <row r="4">
          <cell r="B4">
            <v>0</v>
          </cell>
          <cell r="C4">
            <v>473562</v>
          </cell>
          <cell r="D4">
            <v>0</v>
          </cell>
          <cell r="E4">
            <v>3950948</v>
          </cell>
          <cell r="F4">
            <v>0</v>
          </cell>
          <cell r="G4">
            <v>688453</v>
          </cell>
          <cell r="H4">
            <v>0</v>
          </cell>
          <cell r="I4">
            <v>0</v>
          </cell>
          <cell r="N4">
            <v>0</v>
          </cell>
          <cell r="O4">
            <v>4312971</v>
          </cell>
          <cell r="P4">
            <v>0</v>
          </cell>
          <cell r="Q4">
            <v>38595565</v>
          </cell>
          <cell r="R4">
            <v>0</v>
          </cell>
          <cell r="S4">
            <v>8161593</v>
          </cell>
          <cell r="T4">
            <v>0</v>
          </cell>
          <cell r="U4">
            <v>0</v>
          </cell>
        </row>
        <row r="5">
          <cell r="B5">
            <v>17386517</v>
          </cell>
          <cell r="C5">
            <v>2832246</v>
          </cell>
          <cell r="D5">
            <v>0</v>
          </cell>
          <cell r="E5">
            <v>1655718</v>
          </cell>
          <cell r="F5">
            <v>379574</v>
          </cell>
          <cell r="G5">
            <v>110798</v>
          </cell>
          <cell r="H5">
            <v>0</v>
          </cell>
          <cell r="I5">
            <v>0</v>
          </cell>
          <cell r="N5">
            <v>172760442</v>
          </cell>
          <cell r="O5">
            <v>26185189</v>
          </cell>
          <cell r="P5">
            <v>0</v>
          </cell>
          <cell r="Q5">
            <v>16504256</v>
          </cell>
          <cell r="R5">
            <v>4557296</v>
          </cell>
          <cell r="S5">
            <v>1254374</v>
          </cell>
          <cell r="T5">
            <v>0</v>
          </cell>
          <cell r="U5">
            <v>0</v>
          </cell>
        </row>
        <row r="6">
          <cell r="B6">
            <v>250659404</v>
          </cell>
          <cell r="C6">
            <v>0</v>
          </cell>
          <cell r="D6">
            <v>17828100</v>
          </cell>
          <cell r="E6">
            <v>9530121</v>
          </cell>
          <cell r="F6">
            <v>14583005</v>
          </cell>
          <cell r="G6">
            <v>9673724</v>
          </cell>
          <cell r="H6">
            <v>67760443</v>
          </cell>
          <cell r="I6">
            <v>0</v>
          </cell>
          <cell r="N6">
            <v>3257025758</v>
          </cell>
          <cell r="O6">
            <v>0</v>
          </cell>
          <cell r="P6">
            <v>317449139</v>
          </cell>
          <cell r="Q6">
            <v>91456567</v>
          </cell>
          <cell r="R6">
            <v>182947368</v>
          </cell>
          <cell r="S6">
            <v>127317916</v>
          </cell>
          <cell r="T6">
            <v>558725664</v>
          </cell>
          <cell r="U6">
            <v>0</v>
          </cell>
        </row>
        <row r="7">
          <cell r="B7">
            <v>47269944</v>
          </cell>
          <cell r="C7">
            <v>2583845</v>
          </cell>
          <cell r="D7">
            <v>1078794</v>
          </cell>
          <cell r="E7">
            <v>317717</v>
          </cell>
          <cell r="F7">
            <v>860306</v>
          </cell>
          <cell r="G7">
            <v>855205</v>
          </cell>
          <cell r="H7">
            <v>0</v>
          </cell>
          <cell r="I7">
            <v>0</v>
          </cell>
          <cell r="N7">
            <v>717696865</v>
          </cell>
          <cell r="O7">
            <v>38601234</v>
          </cell>
          <cell r="P7">
            <v>20156547</v>
          </cell>
          <cell r="Q7">
            <v>3657267</v>
          </cell>
          <cell r="R7">
            <v>13666213</v>
          </cell>
          <cell r="S7">
            <v>11497255</v>
          </cell>
          <cell r="T7">
            <v>0</v>
          </cell>
          <cell r="U7">
            <v>0</v>
          </cell>
        </row>
        <row r="8">
          <cell r="B8">
            <v>24467913</v>
          </cell>
          <cell r="C8">
            <v>743621</v>
          </cell>
          <cell r="D8">
            <v>1171189</v>
          </cell>
          <cell r="E8">
            <v>128600</v>
          </cell>
          <cell r="F8">
            <v>600512</v>
          </cell>
          <cell r="G8">
            <v>389975</v>
          </cell>
          <cell r="H8">
            <v>0</v>
          </cell>
          <cell r="I8">
            <v>124652</v>
          </cell>
          <cell r="N8">
            <v>552690310</v>
          </cell>
          <cell r="O8">
            <v>11789488</v>
          </cell>
          <cell r="P8">
            <v>34613485</v>
          </cell>
          <cell r="Q8">
            <v>1636229</v>
          </cell>
          <cell r="R8">
            <v>11341166</v>
          </cell>
          <cell r="S8">
            <v>6974107</v>
          </cell>
          <cell r="T8">
            <v>0</v>
          </cell>
          <cell r="U8">
            <v>2339183</v>
          </cell>
        </row>
        <row r="9">
          <cell r="B9">
            <v>54212693</v>
          </cell>
          <cell r="C9">
            <v>819485</v>
          </cell>
          <cell r="D9">
            <v>6971</v>
          </cell>
          <cell r="E9">
            <v>81494</v>
          </cell>
          <cell r="F9">
            <v>219436</v>
          </cell>
          <cell r="G9">
            <v>288642</v>
          </cell>
          <cell r="H9">
            <v>0</v>
          </cell>
          <cell r="I9">
            <v>0</v>
          </cell>
          <cell r="N9">
            <v>472895662</v>
          </cell>
          <cell r="O9">
            <v>6256137</v>
          </cell>
          <cell r="P9">
            <v>105962</v>
          </cell>
          <cell r="Q9">
            <v>577015</v>
          </cell>
          <cell r="R9">
            <v>2231024</v>
          </cell>
          <cell r="S9">
            <v>2993886</v>
          </cell>
          <cell r="T9">
            <v>0</v>
          </cell>
          <cell r="U9">
            <v>0</v>
          </cell>
        </row>
        <row r="10">
          <cell r="B10">
            <v>4706412</v>
          </cell>
          <cell r="C10">
            <v>60858</v>
          </cell>
          <cell r="D10">
            <v>409</v>
          </cell>
          <cell r="E10">
            <v>37845</v>
          </cell>
          <cell r="F10">
            <v>17853</v>
          </cell>
          <cell r="G10">
            <v>79071</v>
          </cell>
          <cell r="H10">
            <v>0</v>
          </cell>
          <cell r="I10">
            <v>0</v>
          </cell>
          <cell r="N10">
            <v>79276025</v>
          </cell>
          <cell r="O10">
            <v>688641</v>
          </cell>
          <cell r="P10">
            <v>4877</v>
          </cell>
          <cell r="Q10">
            <v>355942</v>
          </cell>
          <cell r="R10">
            <v>202833</v>
          </cell>
          <cell r="S10">
            <v>849354</v>
          </cell>
          <cell r="T10">
            <v>0</v>
          </cell>
          <cell r="U10">
            <v>0</v>
          </cell>
        </row>
        <row r="11">
          <cell r="B11">
            <v>10810840</v>
          </cell>
          <cell r="C11">
            <v>29224011</v>
          </cell>
          <cell r="D11">
            <v>221366</v>
          </cell>
          <cell r="E11">
            <v>52695</v>
          </cell>
          <cell r="F11">
            <v>337069</v>
          </cell>
          <cell r="G11">
            <v>386142</v>
          </cell>
          <cell r="H11">
            <v>0</v>
          </cell>
          <cell r="I11">
            <v>0</v>
          </cell>
          <cell r="N11">
            <v>183729933</v>
          </cell>
          <cell r="O11">
            <v>534440803</v>
          </cell>
          <cell r="P11">
            <v>6137264</v>
          </cell>
          <cell r="Q11">
            <v>678030</v>
          </cell>
          <cell r="R11">
            <v>7076667</v>
          </cell>
          <cell r="S11">
            <v>8865146</v>
          </cell>
          <cell r="T11">
            <v>0</v>
          </cell>
          <cell r="U11">
            <v>0</v>
          </cell>
        </row>
        <row r="12">
          <cell r="B12">
            <v>71995994</v>
          </cell>
          <cell r="C12">
            <v>23732</v>
          </cell>
          <cell r="D12">
            <v>1235</v>
          </cell>
          <cell r="E12">
            <v>39048</v>
          </cell>
          <cell r="F12">
            <v>0</v>
          </cell>
          <cell r="G12">
            <v>22367</v>
          </cell>
          <cell r="H12">
            <v>0</v>
          </cell>
          <cell r="I12">
            <v>281691</v>
          </cell>
          <cell r="N12">
            <v>1242014602</v>
          </cell>
          <cell r="O12">
            <v>369558</v>
          </cell>
          <cell r="P12">
            <v>19887</v>
          </cell>
          <cell r="Q12">
            <v>291723</v>
          </cell>
          <cell r="R12">
            <v>0</v>
          </cell>
          <cell r="S12">
            <v>205553</v>
          </cell>
          <cell r="T12">
            <v>0</v>
          </cell>
          <cell r="U12">
            <v>4481905</v>
          </cell>
        </row>
        <row r="13">
          <cell r="B13">
            <v>25847209</v>
          </cell>
          <cell r="C13">
            <v>7461</v>
          </cell>
          <cell r="D13">
            <v>1409</v>
          </cell>
          <cell r="E13">
            <v>8398</v>
          </cell>
          <cell r="F13">
            <v>0</v>
          </cell>
          <cell r="G13">
            <v>13295</v>
          </cell>
          <cell r="H13">
            <v>0</v>
          </cell>
          <cell r="I13">
            <v>2184380</v>
          </cell>
          <cell r="N13">
            <v>543061305</v>
          </cell>
          <cell r="O13">
            <v>109097</v>
          </cell>
          <cell r="P13">
            <v>37328</v>
          </cell>
          <cell r="Q13">
            <v>82541</v>
          </cell>
          <cell r="R13">
            <v>0</v>
          </cell>
          <cell r="S13">
            <v>214216</v>
          </cell>
          <cell r="T13">
            <v>0</v>
          </cell>
          <cell r="U13">
            <v>55325213</v>
          </cell>
        </row>
        <row r="14">
          <cell r="B14">
            <v>22179432</v>
          </cell>
          <cell r="C14">
            <v>1020806</v>
          </cell>
          <cell r="D14">
            <v>1988</v>
          </cell>
          <cell r="E14">
            <v>44527</v>
          </cell>
          <cell r="F14">
            <v>107321</v>
          </cell>
          <cell r="G14">
            <v>97056</v>
          </cell>
          <cell r="H14">
            <v>0</v>
          </cell>
          <cell r="I14">
            <v>0</v>
          </cell>
          <cell r="N14">
            <v>373302999</v>
          </cell>
          <cell r="O14">
            <v>15105562</v>
          </cell>
          <cell r="P14">
            <v>43021</v>
          </cell>
          <cell r="Q14">
            <v>400940</v>
          </cell>
          <cell r="R14">
            <v>1403912</v>
          </cell>
          <cell r="S14">
            <v>1356089</v>
          </cell>
          <cell r="T14">
            <v>0</v>
          </cell>
          <cell r="U14">
            <v>0</v>
          </cell>
        </row>
        <row r="15">
          <cell r="B15">
            <v>60670768</v>
          </cell>
          <cell r="C15">
            <v>0</v>
          </cell>
          <cell r="D15">
            <v>133191</v>
          </cell>
          <cell r="E15">
            <v>951470</v>
          </cell>
          <cell r="F15">
            <v>1591732</v>
          </cell>
          <cell r="G15">
            <v>605341</v>
          </cell>
          <cell r="H15">
            <v>0</v>
          </cell>
          <cell r="I15">
            <v>865015</v>
          </cell>
          <cell r="N15">
            <v>1040158355</v>
          </cell>
          <cell r="O15">
            <v>0</v>
          </cell>
          <cell r="P15">
            <v>846808</v>
          </cell>
          <cell r="Q15">
            <v>6881771</v>
          </cell>
          <cell r="R15">
            <v>16812250</v>
          </cell>
          <cell r="S15">
            <v>7948598</v>
          </cell>
          <cell r="T15">
            <v>0</v>
          </cell>
          <cell r="U15">
            <v>21178586</v>
          </cell>
        </row>
        <row r="16">
          <cell r="B16">
            <v>600459075</v>
          </cell>
          <cell r="C16">
            <v>44028983</v>
          </cell>
          <cell r="D16">
            <v>20540867</v>
          </cell>
          <cell r="E16">
            <v>20382775</v>
          </cell>
          <cell r="F16">
            <v>19097272</v>
          </cell>
          <cell r="G16">
            <v>13408958</v>
          </cell>
          <cell r="H16">
            <v>67760443</v>
          </cell>
          <cell r="I16">
            <v>3455738</v>
          </cell>
          <cell r="N16">
            <v>8810022211</v>
          </cell>
          <cell r="O16">
            <v>675498752</v>
          </cell>
          <cell r="P16">
            <v>380317228</v>
          </cell>
          <cell r="Q16">
            <v>190007195</v>
          </cell>
          <cell r="R16">
            <v>245093088</v>
          </cell>
          <cell r="S16">
            <v>180521533</v>
          </cell>
          <cell r="T16">
            <v>558725664</v>
          </cell>
          <cell r="U16">
            <v>83324887</v>
          </cell>
        </row>
        <row r="21">
          <cell r="J21">
            <v>6.0333499707536979E-2</v>
          </cell>
        </row>
        <row r="22">
          <cell r="J22">
            <v>0.15857688810322793</v>
          </cell>
        </row>
        <row r="23">
          <cell r="J23">
            <v>0.10063052328840123</v>
          </cell>
        </row>
        <row r="24">
          <cell r="J24">
            <v>0.10121306429324493</v>
          </cell>
        </row>
        <row r="25">
          <cell r="J25">
            <v>8.4857359161553361E-2</v>
          </cell>
        </row>
        <row r="26">
          <cell r="J26">
            <v>6.5880652855758184E-2</v>
          </cell>
        </row>
        <row r="27">
          <cell r="J27">
            <v>4.488790885474285E-2</v>
          </cell>
        </row>
        <row r="28">
          <cell r="J28">
            <v>0.11475472372082689</v>
          </cell>
        </row>
        <row r="29">
          <cell r="J29">
            <v>6.0740347664357479E-2</v>
          </cell>
        </row>
        <row r="30">
          <cell r="J30">
            <v>5.5543944453126909E-2</v>
          </cell>
        </row>
        <row r="31">
          <cell r="J31">
            <v>5.8044902866548315E-2</v>
          </cell>
        </row>
        <row r="32">
          <cell r="J32">
            <v>4.6991962961713624E-2</v>
          </cell>
        </row>
        <row r="33">
          <cell r="J33">
            <v>5.9994580728114859E-2</v>
          </cell>
        </row>
        <row r="34">
          <cell r="J34">
            <v>6.0530845592768549E-2</v>
          </cell>
        </row>
        <row r="35">
          <cell r="J35">
            <v>7.3417153174443472E-2</v>
          </cell>
        </row>
      </sheetData>
      <sheetData sheetId="4">
        <row r="53">
          <cell r="B53">
            <v>10395096</v>
          </cell>
        </row>
      </sheetData>
      <sheetData sheetId="5" refreshError="1"/>
      <sheetData sheetId="6" refreshError="1"/>
      <sheetData sheetId="7">
        <row r="4">
          <cell r="B4">
            <v>3479852</v>
          </cell>
        </row>
      </sheetData>
      <sheetData sheetId="8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RCH"/>
      <sheetName val="IODA"/>
      <sheetName val="IRIS"/>
      <sheetName val="Sheet1"/>
      <sheetName val="Sheet2"/>
    </sheetNames>
    <sheetDataSet>
      <sheetData sheetId="0">
        <row r="1">
          <cell r="C1" t="str">
            <v>Country</v>
          </cell>
          <cell r="D1" t="str">
            <v>2013 Sales</v>
          </cell>
          <cell r="E1" t="str">
            <v>2013 % of Total</v>
          </cell>
          <cell r="F1" t="str">
            <v>Jul Plan</v>
          </cell>
          <cell r="G1" t="str">
            <v>Aug Plan</v>
          </cell>
          <cell r="I1" t="str">
            <v>Oct Plan</v>
          </cell>
          <cell r="K1" t="str">
            <v>Nov Plan</v>
          </cell>
          <cell r="M1" t="str">
            <v>Dec Plan</v>
          </cell>
          <cell r="O1" t="str">
            <v>Jan Plan</v>
          </cell>
          <cell r="Q1" t="str">
            <v>Feb Plan</v>
          </cell>
          <cell r="S1" t="str">
            <v>Mar Plan</v>
          </cell>
          <cell r="U1" t="str">
            <v>Apr Plan</v>
          </cell>
        </row>
        <row r="2">
          <cell r="C2" t="str">
            <v>United States</v>
          </cell>
          <cell r="D2">
            <v>14989514.928624099</v>
          </cell>
          <cell r="E2">
            <v>0.86013373514007507</v>
          </cell>
          <cell r="F2">
            <v>2428602.0843772963</v>
          </cell>
          <cell r="G2">
            <v>2031172.1872320594</v>
          </cell>
          <cell r="I2">
            <v>2554996.4378690436</v>
          </cell>
          <cell r="K2">
            <v>1995515.9070455583</v>
          </cell>
          <cell r="M2">
            <v>2545059.7492073267</v>
          </cell>
          <cell r="O2">
            <v>2653793.8843296268</v>
          </cell>
          <cell r="Q2">
            <v>2109592.2655654047</v>
          </cell>
          <cell r="S2">
            <v>2169484.1929845302</v>
          </cell>
          <cell r="U2">
            <v>2625230.8084579264</v>
          </cell>
        </row>
        <row r="3">
          <cell r="C3" t="str">
            <v>Canada</v>
          </cell>
          <cell r="D3">
            <v>1766726.8098231</v>
          </cell>
          <cell r="E3">
            <v>0.10137895303091969</v>
          </cell>
          <cell r="F3">
            <v>286245.18093431566</v>
          </cell>
          <cell r="G3">
            <v>239402.43401053798</v>
          </cell>
          <cell r="I3">
            <v>301142.54712577962</v>
          </cell>
          <cell r="K3">
            <v>235199.83596490277</v>
          </cell>
          <cell r="M3">
            <v>299971.36751502403</v>
          </cell>
          <cell r="O3">
            <v>312787.22663910105</v>
          </cell>
          <cell r="Q3">
            <v>248645.35184208024</v>
          </cell>
          <cell r="S3">
            <v>255704.46445294179</v>
          </cell>
          <cell r="U3">
            <v>309420.66326771537</v>
          </cell>
        </row>
        <row r="4">
          <cell r="C4" t="str">
            <v>Mexico</v>
          </cell>
          <cell r="D4">
            <v>670716.78700003005</v>
          </cell>
          <cell r="E4">
            <v>3.8487311829005312E-2</v>
          </cell>
          <cell r="F4">
            <v>108669.57301096831</v>
          </cell>
          <cell r="G4">
            <v>90886.282161310795</v>
          </cell>
          <cell r="I4">
            <v>114325.1806188599</v>
          </cell>
          <cell r="K4">
            <v>89290.815877248868</v>
          </cell>
          <cell r="M4">
            <v>113880.55623145697</v>
          </cell>
          <cell r="O4">
            <v>118745.94447742274</v>
          </cell>
          <cell r="Q4">
            <v>94395.245808666135</v>
          </cell>
          <cell r="S4">
            <v>97075.153818836945</v>
          </cell>
          <cell r="U4">
            <v>117467.86879807431</v>
          </cell>
        </row>
        <row r="5">
          <cell r="D5">
            <v>17426958.525447227</v>
          </cell>
          <cell r="F5">
            <v>2823516.8383225799</v>
          </cell>
          <cell r="G5">
            <v>2361460.903403908</v>
          </cell>
          <cell r="H5">
            <v>0.59198995730858872</v>
          </cell>
          <cell r="I5">
            <v>2970464.1656136829</v>
          </cell>
          <cell r="K5">
            <v>2320006.5588877099</v>
          </cell>
          <cell r="M5">
            <v>2958911.6729538073</v>
          </cell>
          <cell r="O5">
            <v>3085327.0554461502</v>
          </cell>
          <cell r="Q5">
            <v>2452632.863216151</v>
          </cell>
          <cell r="S5">
            <v>2522263.8112563086</v>
          </cell>
          <cell r="U5">
            <v>3052119.3405237161</v>
          </cell>
        </row>
        <row r="6">
          <cell r="C6" t="str">
            <v>United Kingdom</v>
          </cell>
          <cell r="D6">
            <v>2845691.5901914202</v>
          </cell>
          <cell r="F6">
            <v>451750.52468445071</v>
          </cell>
          <cell r="G6">
            <v>377823.56657320401</v>
          </cell>
          <cell r="H6">
            <v>9.4715841673874743E-2</v>
          </cell>
          <cell r="I6">
            <v>475261.46370338462</v>
          </cell>
          <cell r="K6">
            <v>371191.05012015247</v>
          </cell>
          <cell r="M6">
            <v>473413.11466941447</v>
          </cell>
          <cell r="O6">
            <v>493639.03101387969</v>
          </cell>
          <cell r="Q6">
            <v>392410.6871891233</v>
          </cell>
          <cell r="S6">
            <v>403551.33876395313</v>
          </cell>
          <cell r="U6">
            <v>488325.93975259515</v>
          </cell>
        </row>
        <row r="7">
          <cell r="C7" t="str">
            <v>Germany</v>
          </cell>
          <cell r="D7">
            <v>1190697.12673187</v>
          </cell>
          <cell r="E7">
            <v>0.68163136715970229</v>
          </cell>
          <cell r="F7">
            <v>191282.26922470296</v>
          </cell>
          <cell r="G7">
            <v>159979.77917385855</v>
          </cell>
          <cell r="I7">
            <v>201237.37834225563</v>
          </cell>
          <cell r="K7">
            <v>157171.40878248808</v>
          </cell>
          <cell r="M7">
            <v>200454.74195730829</v>
          </cell>
          <cell r="O7">
            <v>209018.89177920553</v>
          </cell>
          <cell r="Q7">
            <v>166156.32436949832</v>
          </cell>
          <cell r="S7">
            <v>170873.54991198934</v>
          </cell>
          <cell r="U7">
            <v>206769.19842518822</v>
          </cell>
        </row>
        <row r="8">
          <cell r="C8" t="str">
            <v>Austria</v>
          </cell>
          <cell r="D8">
            <v>124036.762954712</v>
          </cell>
          <cell r="E8">
            <v>7.1006594718963534E-2</v>
          </cell>
          <cell r="F8">
            <v>19926.170100355579</v>
          </cell>
          <cell r="G8">
            <v>16665.341253824612</v>
          </cell>
          <cell r="I8">
            <v>20963.209228174212</v>
          </cell>
          <cell r="K8">
            <v>16372.788962647468</v>
          </cell>
          <cell r="M8">
            <v>20881.680784391123</v>
          </cell>
          <cell r="O8">
            <v>21773.821529101693</v>
          </cell>
          <cell r="Q8">
            <v>17308.761528477844</v>
          </cell>
          <cell r="S8">
            <v>17800.162215757431</v>
          </cell>
          <cell r="U8">
            <v>21539.467489767663</v>
          </cell>
        </row>
        <row r="9">
          <cell r="C9" t="str">
            <v>Switzerland</v>
          </cell>
          <cell r="D9">
            <v>432100.51978814602</v>
          </cell>
          <cell r="E9">
            <v>0.24736203812133423</v>
          </cell>
          <cell r="F9">
            <v>69415.778456701271</v>
          </cell>
          <cell r="G9">
            <v>58056.195975169852</v>
          </cell>
          <cell r="I9">
            <v>73028.458564571294</v>
          </cell>
          <cell r="K9">
            <v>57037.046538570867</v>
          </cell>
          <cell r="M9">
            <v>72744.442099637788</v>
          </cell>
          <cell r="O9">
            <v>75852.347129813177</v>
          </cell>
          <cell r="Q9">
            <v>60297.646239567715</v>
          </cell>
          <cell r="S9">
            <v>62009.51365161303</v>
          </cell>
          <cell r="U9">
            <v>75035.939963111639</v>
          </cell>
        </row>
        <row r="10">
          <cell r="D10">
            <v>1746834.4094747279</v>
          </cell>
          <cell r="F10">
            <v>280624.2177817598</v>
          </cell>
          <cell r="G10">
            <v>234701.316402853</v>
          </cell>
          <cell r="H10">
            <v>5.8836808213644121E-2</v>
          </cell>
          <cell r="I10">
            <v>295229.04613500112</v>
          </cell>
          <cell r="K10">
            <v>230581.24428370642</v>
          </cell>
          <cell r="M10">
            <v>294080.8648413372</v>
          </cell>
          <cell r="O10">
            <v>306645.06043812039</v>
          </cell>
          <cell r="Q10">
            <v>243762.73213754388</v>
          </cell>
          <cell r="S10">
            <v>250683.22577935978</v>
          </cell>
          <cell r="U10">
            <v>303344.60587806749</v>
          </cell>
        </row>
        <row r="11">
          <cell r="C11" t="str">
            <v>France</v>
          </cell>
          <cell r="D11">
            <v>759372.73735392105</v>
          </cell>
          <cell r="E11">
            <v>0.64831388139984891</v>
          </cell>
          <cell r="F11">
            <v>122305.37564305552</v>
          </cell>
          <cell r="G11">
            <v>102290.64652179966</v>
          </cell>
          <cell r="I11">
            <v>128670.6460108989</v>
          </cell>
          <cell r="K11">
            <v>100494.98194162936</v>
          </cell>
          <cell r="M11">
            <v>128170.23038199155</v>
          </cell>
          <cell r="O11">
            <v>133646.12506515268</v>
          </cell>
          <cell r="Q11">
            <v>106239.91313909192</v>
          </cell>
          <cell r="S11">
            <v>109256.09464041881</v>
          </cell>
          <cell r="U11">
            <v>132207.67710100001</v>
          </cell>
        </row>
        <row r="12">
          <cell r="C12" t="str">
            <v>Belgium</v>
          </cell>
          <cell r="D12">
            <v>187059.36206913</v>
          </cell>
          <cell r="E12">
            <v>0.15970178426183812</v>
          </cell>
          <cell r="F12">
            <v>30127.978553900011</v>
          </cell>
          <cell r="G12">
            <v>25197.669264084645</v>
          </cell>
          <cell r="I12">
            <v>31695.961384776092</v>
          </cell>
          <cell r="K12">
            <v>24755.335935096253</v>
          </cell>
          <cell r="M12">
            <v>31572.691976080947</v>
          </cell>
          <cell r="O12">
            <v>32921.591292323392</v>
          </cell>
          <cell r="Q12">
            <v>26170.50810558139</v>
          </cell>
          <cell r="S12">
            <v>26913.496311200841</v>
          </cell>
          <cell r="U12">
            <v>32567.252579188073</v>
          </cell>
        </row>
        <row r="13">
          <cell r="C13" t="str">
            <v>Luxembourg</v>
          </cell>
          <cell r="D13">
            <v>28862.283126115799</v>
          </cell>
          <cell r="E13">
            <v>2.4641151675731648E-2</v>
          </cell>
          <cell r="F13">
            <v>4648.5898242230178</v>
          </cell>
          <cell r="G13">
            <v>3887.8688367891928</v>
          </cell>
          <cell r="I13">
            <v>4890.5213902299056</v>
          </cell>
          <cell r="K13">
            <v>3819.6191130856437</v>
          </cell>
          <cell r="M13">
            <v>4871.5015639288122</v>
          </cell>
          <cell r="O13">
            <v>5079.6296872334651</v>
          </cell>
          <cell r="Q13">
            <v>4037.9727918587332</v>
          </cell>
          <cell r="S13">
            <v>4152.611993622013</v>
          </cell>
          <cell r="U13">
            <v>5024.9570734282515</v>
          </cell>
        </row>
        <row r="14">
          <cell r="C14" t="str">
            <v>Netherlands</v>
          </cell>
          <cell r="D14">
            <v>196009.76369905501</v>
          </cell>
          <cell r="E14">
            <v>0.16734318266258127</v>
          </cell>
          <cell r="F14">
            <v>31569.539699904119</v>
          </cell>
          <cell r="G14">
            <v>26403.325359331175</v>
          </cell>
          <cell r="I14">
            <v>33212.547249831579</v>
          </cell>
          <cell r="K14">
            <v>25939.827300040299</v>
          </cell>
          <cell r="M14">
            <v>33083.379656173645</v>
          </cell>
          <cell r="O14">
            <v>34496.821000706768</v>
          </cell>
          <cell r="Q14">
            <v>27422.712517128544</v>
          </cell>
          <cell r="S14">
            <v>28201.251163918289</v>
          </cell>
          <cell r="U14">
            <v>34125.527916720872</v>
          </cell>
        </row>
        <row r="15">
          <cell r="D15">
            <v>1171304.1462482219</v>
          </cell>
          <cell r="F15">
            <v>188651.48372108268</v>
          </cell>
          <cell r="G15">
            <v>157779.50998200467</v>
          </cell>
          <cell r="H15">
            <v>3.955343289562014E-2</v>
          </cell>
          <cell r="I15">
            <v>198469.67603573648</v>
          </cell>
          <cell r="K15">
            <v>155009.76428985156</v>
          </cell>
          <cell r="M15">
            <v>197697.80357817496</v>
          </cell>
          <cell r="O15">
            <v>206144.16704541631</v>
          </cell>
          <cell r="Q15">
            <v>163871.10655366059</v>
          </cell>
          <cell r="S15">
            <v>168523.45410915997</v>
          </cell>
          <cell r="U15">
            <v>203925.41467033722</v>
          </cell>
        </row>
        <row r="16">
          <cell r="C16" t="str">
            <v>Italy</v>
          </cell>
          <cell r="D16">
            <v>415492.53794080002</v>
          </cell>
          <cell r="E16">
            <v>0.47772929804362385</v>
          </cell>
          <cell r="F16">
            <v>66637.442335507571</v>
          </cell>
          <cell r="G16">
            <v>55732.522166087205</v>
          </cell>
          <cell r="I16">
            <v>70105.526504800291</v>
          </cell>
          <cell r="K16">
            <v>54754.16373919163</v>
          </cell>
          <cell r="M16">
            <v>69832.87767444615</v>
          </cell>
          <cell r="O16">
            <v>72816.390167383594</v>
          </cell>
          <cell r="Q16">
            <v>57884.259365647493</v>
          </cell>
          <cell r="S16">
            <v>59527.610034506724</v>
          </cell>
          <cell r="U16">
            <v>72032.659339855643</v>
          </cell>
        </row>
        <row r="17">
          <cell r="C17" t="str">
            <v>Portugal</v>
          </cell>
          <cell r="D17">
            <v>77353.832043349699</v>
          </cell>
          <cell r="E17">
            <v>8.8940687277322697E-2</v>
          </cell>
          <cell r="F17">
            <v>12406.147046023958</v>
          </cell>
          <cell r="G17">
            <v>10375.936425606827</v>
          </cell>
          <cell r="I17">
            <v>13051.813516168584</v>
          </cell>
          <cell r="K17">
            <v>10193.791702124312</v>
          </cell>
          <cell r="M17">
            <v>13001.053442511055</v>
          </cell>
          <cell r="O17">
            <v>13556.505353685452</v>
          </cell>
          <cell r="Q17">
            <v>10776.533554886511</v>
          </cell>
          <cell r="S17">
            <v>11082.482422842777</v>
          </cell>
          <cell r="U17">
            <v>13410.595193420599</v>
          </cell>
        </row>
        <row r="18">
          <cell r="C18" t="str">
            <v>Spain</v>
          </cell>
          <cell r="D18">
            <v>376877.42473036097</v>
          </cell>
          <cell r="E18">
            <v>0.43333001467905347</v>
          </cell>
          <cell r="F18">
            <v>60444.280858787235</v>
          </cell>
          <cell r="G18">
            <v>50552.843937417318</v>
          </cell>
          <cell r="I18">
            <v>63590.047656306473</v>
          </cell>
          <cell r="K18">
            <v>49665.412345458892</v>
          </cell>
          <cell r="M18">
            <v>63342.738307385625</v>
          </cell>
          <cell r="O18">
            <v>66048.968629984898</v>
          </cell>
          <cell r="Q18">
            <v>52504.602634422714</v>
          </cell>
          <cell r="S18">
            <v>53995.223310977031</v>
          </cell>
          <cell r="U18">
            <v>65338.076305842565</v>
          </cell>
        </row>
        <row r="19">
          <cell r="D19">
            <v>869723.79471451067</v>
          </cell>
          <cell r="F19">
            <v>139487.87024031876</v>
          </cell>
          <cell r="G19">
            <v>116661.30252911134</v>
          </cell>
          <cell r="H19">
            <v>2.9245590898508492E-2</v>
          </cell>
          <cell r="I19">
            <v>146747.38767727534</v>
          </cell>
          <cell r="K19">
            <v>114613.36778677483</v>
          </cell>
          <cell r="M19">
            <v>146176.66942434284</v>
          </cell>
          <cell r="O19">
            <v>152421.86415105395</v>
          </cell>
          <cell r="Q19">
            <v>121165.39555495672</v>
          </cell>
          <cell r="S19">
            <v>124605.31576832653</v>
          </cell>
          <cell r="U19">
            <v>150781.3308391188</v>
          </cell>
        </row>
        <row r="20">
          <cell r="C20" t="str">
            <v>Denmark</v>
          </cell>
          <cell r="D20">
            <v>168659.617368162</v>
          </cell>
          <cell r="E20">
            <v>0.44320945946050211</v>
          </cell>
          <cell r="F20">
            <v>27549.09639059168</v>
          </cell>
          <cell r="G20">
            <v>23040.809662441083</v>
          </cell>
          <cell r="I20">
            <v>28982.86368000069</v>
          </cell>
          <cell r="K20">
            <v>22636.338997564861</v>
          </cell>
          <cell r="M20">
            <v>28870.145834823048</v>
          </cell>
          <cell r="O20">
            <v>30103.582629060147</v>
          </cell>
          <cell r="Q20">
            <v>23930.375849862448</v>
          </cell>
          <cell r="S20">
            <v>24609.766060429141</v>
          </cell>
          <cell r="U20">
            <v>29779.574453549161</v>
          </cell>
        </row>
        <row r="21">
          <cell r="C21" t="str">
            <v>Finland</v>
          </cell>
          <cell r="D21">
            <v>33149.057442784302</v>
          </cell>
          <cell r="E21">
            <v>8.7110216779223995E-2</v>
          </cell>
          <cell r="F21">
            <v>5414.6131302733274</v>
          </cell>
          <cell r="G21">
            <v>4528.5358460246252</v>
          </cell>
          <cell r="I21">
            <v>5696.4116720810971</v>
          </cell>
          <cell r="K21">
            <v>4449.0395118509532</v>
          </cell>
          <cell r="M21">
            <v>5674.2576414783571</v>
          </cell>
          <cell r="O21">
            <v>5916.6824007789655</v>
          </cell>
          <cell r="Q21">
            <v>4703.3748567264001</v>
          </cell>
          <cell r="S21">
            <v>4836.9050133078654</v>
          </cell>
          <cell r="U21">
            <v>5853.0004964230457</v>
          </cell>
        </row>
        <row r="22">
          <cell r="C22" t="str">
            <v>Norway</v>
          </cell>
          <cell r="D22">
            <v>100572.843080461</v>
          </cell>
          <cell r="E22">
            <v>0.26428872609615822</v>
          </cell>
          <cell r="F22">
            <v>16427.708016504115</v>
          </cell>
          <cell r="G22">
            <v>13739.386883400408</v>
          </cell>
          <cell r="I22">
            <v>17282.67291481089</v>
          </cell>
          <cell r="K22">
            <v>13498.198356211651</v>
          </cell>
          <cell r="M22">
            <v>17215.4585197333</v>
          </cell>
          <cell r="O22">
            <v>17950.965021480479</v>
          </cell>
          <cell r="Q22">
            <v>14269.841072573146</v>
          </cell>
          <cell r="S22">
            <v>14674.965939473408</v>
          </cell>
          <cell r="U22">
            <v>17757.756807795748</v>
          </cell>
        </row>
        <row r="23">
          <cell r="C23" t="str">
            <v>Sweden</v>
          </cell>
          <cell r="D23">
            <v>78160.038178861098</v>
          </cell>
          <cell r="E23">
            <v>0.20539159766411572</v>
          </cell>
          <cell r="F23">
            <v>12766.769303060441</v>
          </cell>
          <cell r="G23">
            <v>10677.544459010604</v>
          </cell>
          <cell r="I23">
            <v>13431.204025660283</v>
          </cell>
          <cell r="K23">
            <v>10490.105147204584</v>
          </cell>
          <cell r="M23">
            <v>13378.968456648572</v>
          </cell>
          <cell r="O23">
            <v>13950.566260753292</v>
          </cell>
          <cell r="Q23">
            <v>11089.786157743418</v>
          </cell>
          <cell r="S23">
            <v>11404.628356634006</v>
          </cell>
          <cell r="U23">
            <v>13800.414779542934</v>
          </cell>
        </row>
        <row r="24">
          <cell r="D24">
            <v>380541.55607026839</v>
          </cell>
          <cell r="F24">
            <v>62158.18684042956</v>
          </cell>
          <cell r="G24">
            <v>51986.276850876719</v>
          </cell>
          <cell r="H24">
            <v>1.3032336791696237E-2</v>
          </cell>
          <cell r="I24">
            <v>65393.152292552957</v>
          </cell>
          <cell r="K24">
            <v>51073.682012832047</v>
          </cell>
          <cell r="M24">
            <v>65138.830452683273</v>
          </cell>
          <cell r="O24">
            <v>67921.796312072882</v>
          </cell>
          <cell r="Q24">
            <v>53993.37793690541</v>
          </cell>
          <cell r="S24">
            <v>55526.265369844419</v>
          </cell>
          <cell r="U24">
            <v>67190.746537310886</v>
          </cell>
        </row>
        <row r="25">
          <cell r="C25" t="str">
            <v>Ireland</v>
          </cell>
          <cell r="D25">
            <v>163637.50790762901</v>
          </cell>
          <cell r="E25">
            <v>0.78441679276489784</v>
          </cell>
          <cell r="F25">
            <v>25449.953470694498</v>
          </cell>
          <cell r="G25">
            <v>21285.182117135122</v>
          </cell>
          <cell r="I25">
            <v>26774.472804683417</v>
          </cell>
          <cell r="K25">
            <v>20911.530674800477</v>
          </cell>
          <cell r="M25">
            <v>26670.343657417892</v>
          </cell>
          <cell r="O25">
            <v>27809.79696569762</v>
          </cell>
          <cell r="Q25">
            <v>22106.966532783266</v>
          </cell>
          <cell r="S25">
            <v>22734.589631640058</v>
          </cell>
          <cell r="U25">
            <v>27510.477057923974</v>
          </cell>
        </row>
        <row r="26">
          <cell r="C26" t="str">
            <v>Greece</v>
          </cell>
          <cell r="D26">
            <v>44972.901019036799</v>
          </cell>
          <cell r="E26">
            <v>0.21558320723510216</v>
          </cell>
          <cell r="F26">
            <v>6994.4736571197491</v>
          </cell>
          <cell r="G26">
            <v>5849.8592453904103</v>
          </cell>
          <cell r="I26">
            <v>7358.4945815823066</v>
          </cell>
          <cell r="K26">
            <v>5747.1676953502938</v>
          </cell>
          <cell r="M26">
            <v>7329.8765104991626</v>
          </cell>
          <cell r="O26">
            <v>7643.0352813966329</v>
          </cell>
          <cell r="Q26">
            <v>6075.712288842974</v>
          </cell>
          <cell r="S26">
            <v>6248.2034973871723</v>
          </cell>
          <cell r="U26">
            <v>7560.7724508423444</v>
          </cell>
        </row>
        <row r="27">
          <cell r="D27">
            <v>208610.40892666581</v>
          </cell>
          <cell r="F27">
            <v>32444.427127814248</v>
          </cell>
          <cell r="G27">
            <v>27135.041362525531</v>
          </cell>
          <cell r="H27">
            <v>6.8024297817564682E-3</v>
          </cell>
          <cell r="I27">
            <v>34132.967386265722</v>
          </cell>
          <cell r="K27">
            <v>26658.698370150771</v>
          </cell>
          <cell r="M27">
            <v>34000.220167917054</v>
          </cell>
          <cell r="O27">
            <v>35452.832247094251</v>
          </cell>
          <cell r="Q27">
            <v>28182.678821626239</v>
          </cell>
          <cell r="S27">
            <v>28982.793129027232</v>
          </cell>
          <cell r="U27">
            <v>35071.249508766319</v>
          </cell>
        </row>
        <row r="28">
          <cell r="C28" t="str">
            <v>Japan</v>
          </cell>
          <cell r="D28">
            <v>596008.73240292096</v>
          </cell>
          <cell r="F28">
            <v>101113.67446376283</v>
          </cell>
          <cell r="G28">
            <v>84566.872704587906</v>
          </cell>
          <cell r="H28">
            <v>2.1199901844636652E-2</v>
          </cell>
          <cell r="I28">
            <v>106376.0423070727</v>
          </cell>
          <cell r="K28">
            <v>83082.340705476556</v>
          </cell>
          <cell r="M28">
            <v>105962.33307530852</v>
          </cell>
          <cell r="O28">
            <v>110489.42625890598</v>
          </cell>
          <cell r="Q28">
            <v>87831.854779267203</v>
          </cell>
          <cell r="S28">
            <v>90325.426242052767</v>
          </cell>
          <cell r="U28">
            <v>109300.21639453439</v>
          </cell>
        </row>
        <row r="29">
          <cell r="C29" t="str">
            <v>Australia</v>
          </cell>
          <cell r="D29">
            <v>1725266.2280077301</v>
          </cell>
          <cell r="E29">
            <v>0.91480847121605391</v>
          </cell>
          <cell r="F29">
            <v>283438.92797330057</v>
          </cell>
          <cell r="G29">
            <v>237055.41182793415</v>
          </cell>
          <cell r="I29">
            <v>298190.2453200306</v>
          </cell>
          <cell r="K29">
            <v>232894.01466180728</v>
          </cell>
          <cell r="M29">
            <v>297030.5475663314</v>
          </cell>
          <cell r="O29">
            <v>309720.76425165182</v>
          </cell>
          <cell r="Q29">
            <v>246207.71515393781</v>
          </cell>
          <cell r="S29">
            <v>253197.62256245597</v>
          </cell>
          <cell r="U29">
            <v>306387.20555268921</v>
          </cell>
        </row>
        <row r="30">
          <cell r="C30" t="str">
            <v>New Zealand</v>
          </cell>
          <cell r="D30">
            <v>160665.39843899</v>
          </cell>
          <cell r="E30">
            <v>8.5191528783946077E-2</v>
          </cell>
          <cell r="F30">
            <v>26395.24703879295</v>
          </cell>
          <cell r="G30">
            <v>22075.782609756883</v>
          </cell>
          <cell r="I30">
            <v>27768.963303875807</v>
          </cell>
          <cell r="K30">
            <v>21688.252544596609</v>
          </cell>
          <cell r="M30">
            <v>27660.966463363813</v>
          </cell>
          <cell r="O30">
            <v>28842.742752104215</v>
          </cell>
          <cell r="Q30">
            <v>22928.09075596392</v>
          </cell>
          <cell r="S30">
            <v>23579.02580622457</v>
          </cell>
          <cell r="U30">
            <v>28532.305135060571</v>
          </cell>
        </row>
        <row r="31">
          <cell r="D31">
            <v>1885931.6264467202</v>
          </cell>
          <cell r="F31">
            <v>309834.1750120935</v>
          </cell>
          <cell r="G31">
            <v>259131.19443769104</v>
          </cell>
          <cell r="H31">
            <v>6.4961085958006232E-2</v>
          </cell>
          <cell r="I31">
            <v>325959.20862390642</v>
          </cell>
          <cell r="K31">
            <v>254582.26720640389</v>
          </cell>
          <cell r="M31">
            <v>324691.51402969524</v>
          </cell>
          <cell r="O31">
            <v>338563.50700375607</v>
          </cell>
          <cell r="Q31">
            <v>269135.80590990174</v>
          </cell>
          <cell r="S31">
            <v>276776.64836868056</v>
          </cell>
          <cell r="U31">
            <v>334919.51068774977</v>
          </cell>
        </row>
        <row r="32">
          <cell r="C32" t="str">
            <v>Bulgaria</v>
          </cell>
          <cell r="D32">
            <v>3099.8304054140999</v>
          </cell>
          <cell r="E32">
            <v>2.476576510119631E-2</v>
          </cell>
          <cell r="F32">
            <v>509.02659547759492</v>
          </cell>
          <cell r="G32">
            <v>425.72666388887654</v>
          </cell>
          <cell r="I32">
            <v>535.51841472594913</v>
          </cell>
          <cell r="K32">
            <v>418.25323090968038</v>
          </cell>
          <cell r="M32">
            <v>533.43571915703228</v>
          </cell>
          <cell r="O32">
            <v>556.22601772819462</v>
          </cell>
          <cell r="Q32">
            <v>442.16324102429661</v>
          </cell>
          <cell r="S32">
            <v>454.71638182363245</v>
          </cell>
          <cell r="U32">
            <v>550.23929583543622</v>
          </cell>
        </row>
        <row r="33">
          <cell r="C33" t="str">
            <v>Cyprus</v>
          </cell>
          <cell r="D33">
            <v>4211.5103547573099</v>
          </cell>
          <cell r="E33">
            <v>3.3647413737540294E-2</v>
          </cell>
          <cell r="F33">
            <v>691.57679528418259</v>
          </cell>
          <cell r="G33">
            <v>578.40333785124346</v>
          </cell>
          <cell r="I33">
            <v>727.56927115832593</v>
          </cell>
          <cell r="K33">
            <v>568.24973708569939</v>
          </cell>
          <cell r="M33">
            <v>724.73966669384276</v>
          </cell>
          <cell r="O33">
            <v>755.7031601329744</v>
          </cell>
          <cell r="Q33">
            <v>600.73449980180885</v>
          </cell>
          <cell r="S33">
            <v>617.78952396338605</v>
          </cell>
          <cell r="U33">
            <v>747.56944378566493</v>
          </cell>
        </row>
        <row r="34">
          <cell r="C34" t="str">
            <v>Czech Republic</v>
          </cell>
          <cell r="D34">
            <v>20303.960644721999</v>
          </cell>
          <cell r="E34">
            <v>0.16221633256866697</v>
          </cell>
          <cell r="F34">
            <v>3334.1359397090137</v>
          </cell>
          <cell r="G34">
            <v>2788.5194667137966</v>
          </cell>
          <cell r="I34">
            <v>3507.6579667483661</v>
          </cell>
          <cell r="K34">
            <v>2739.5683083454101</v>
          </cell>
          <cell r="M34">
            <v>3494.0162627401833</v>
          </cell>
          <cell r="O34">
            <v>3643.2932439782994</v>
          </cell>
          <cell r="Q34">
            <v>2896.1794260162883</v>
          </cell>
          <cell r="S34">
            <v>2978.4027877564022</v>
          </cell>
          <cell r="U34">
            <v>3604.080077513077</v>
          </cell>
        </row>
        <row r="35">
          <cell r="C35" t="str">
            <v>Estonia</v>
          </cell>
          <cell r="D35">
            <v>4003.0832199454298</v>
          </cell>
          <cell r="E35">
            <v>3.1982207327392563E-2</v>
          </cell>
          <cell r="F35">
            <v>657.35074386758322</v>
          </cell>
          <cell r="G35">
            <v>549.77822706698907</v>
          </cell>
          <cell r="I35">
            <v>691.56195649189044</v>
          </cell>
          <cell r="K35">
            <v>540.12712676738715</v>
          </cell>
          <cell r="M35">
            <v>688.87238880792165</v>
          </cell>
          <cell r="O35">
            <v>718.30350272577436</v>
          </cell>
          <cell r="Q35">
            <v>571.00422253087606</v>
          </cell>
          <cell r="S35">
            <v>587.21519562271544</v>
          </cell>
          <cell r="U35">
            <v>710.57232301041847</v>
          </cell>
        </row>
        <row r="36">
          <cell r="C36" t="str">
            <v>Hungary</v>
          </cell>
          <cell r="D36">
            <v>10445.956105232201</v>
          </cell>
          <cell r="E36">
            <v>8.3456854512990258E-2</v>
          </cell>
          <cell r="F36">
            <v>1715.3420598325995</v>
          </cell>
          <cell r="G36">
            <v>1434.6339838601798</v>
          </cell>
          <cell r="I36">
            <v>1804.6154538004498</v>
          </cell>
          <cell r="K36">
            <v>1409.4496535433575</v>
          </cell>
          <cell r="M36">
            <v>1797.597087100301</v>
          </cell>
          <cell r="O36">
            <v>1874.3969204343102</v>
          </cell>
          <cell r="Q36">
            <v>1490.0227441539628</v>
          </cell>
          <cell r="S36">
            <v>1532.3249157642654</v>
          </cell>
          <cell r="U36">
            <v>1854.2225799295006</v>
          </cell>
        </row>
        <row r="37">
          <cell r="C37" t="str">
            <v>Latvia</v>
          </cell>
          <cell r="D37">
            <v>6866.9695352315903</v>
          </cell>
          <cell r="E37">
            <v>5.4862922232643246E-2</v>
          </cell>
          <cell r="F37">
            <v>1127.6326981186398</v>
          </cell>
          <cell r="G37">
            <v>943.10063742669684</v>
          </cell>
          <cell r="I37">
            <v>1186.3193009061908</v>
          </cell>
          <cell r="K37">
            <v>926.54494570172346</v>
          </cell>
          <cell r="M37">
            <v>1181.7055623616773</v>
          </cell>
          <cell r="O37">
            <v>1232.1922876075691</v>
          </cell>
          <cell r="Q37">
            <v>979.51213731239329</v>
          </cell>
          <cell r="S37">
            <v>1007.3207668715953</v>
          </cell>
          <cell r="U37">
            <v>1218.9300662996961</v>
          </cell>
        </row>
        <row r="38">
          <cell r="C38" t="str">
            <v>Lithuania</v>
          </cell>
          <cell r="D38">
            <v>2242.4207220077501</v>
          </cell>
          <cell r="E38">
            <v>1.7915581691921669E-2</v>
          </cell>
          <cell r="F38">
            <v>368.23039859160662</v>
          </cell>
          <cell r="G38">
            <v>307.97113653323061</v>
          </cell>
          <cell r="I38">
            <v>387.3946097505256</v>
          </cell>
          <cell r="K38">
            <v>302.56484690273487</v>
          </cell>
          <cell r="M38">
            <v>385.88798548707689</v>
          </cell>
          <cell r="O38">
            <v>402.37451252012301</v>
          </cell>
          <cell r="Q38">
            <v>319.86137449688493</v>
          </cell>
          <cell r="S38">
            <v>328.94233034709737</v>
          </cell>
          <cell r="U38">
            <v>398.04371132346034</v>
          </cell>
        </row>
        <row r="39">
          <cell r="C39" t="str">
            <v>Malta</v>
          </cell>
          <cell r="D39">
            <v>2420.9925813078898</v>
          </cell>
          <cell r="E39">
            <v>1.93422625559415E-2</v>
          </cell>
          <cell r="F39">
            <v>397.55388204053781</v>
          </cell>
          <cell r="G39">
            <v>332.49596272743219</v>
          </cell>
          <cell r="I39">
            <v>418.24420682527301</v>
          </cell>
          <cell r="K39">
            <v>326.65915121415242</v>
          </cell>
          <cell r="M39">
            <v>416.61760476579781</v>
          </cell>
          <cell r="O39">
            <v>434.41701200762878</v>
          </cell>
          <cell r="Q39">
            <v>345.33306221437363</v>
          </cell>
          <cell r="S39">
            <v>355.13716655963879</v>
          </cell>
          <cell r="U39">
            <v>429.74133385975114</v>
          </cell>
        </row>
        <row r="40">
          <cell r="C40" t="str">
            <v>Poland</v>
          </cell>
          <cell r="D40">
            <v>47233.523064434499</v>
          </cell>
          <cell r="E40">
            <v>0.3773672053389176</v>
          </cell>
          <cell r="F40">
            <v>7756.2693094139386</v>
          </cell>
          <cell r="G40">
            <v>6486.990437547418</v>
          </cell>
          <cell r="I40">
            <v>8159.9371853404637</v>
          </cell>
          <cell r="K40">
            <v>6373.1143466564999</v>
          </cell>
          <cell r="M40">
            <v>8128.2022075110917</v>
          </cell>
          <cell r="O40">
            <v>8475.4683325630322</v>
          </cell>
          <cell r="Q40">
            <v>6737.4420247924008</v>
          </cell>
          <cell r="S40">
            <v>6928.7199296871086</v>
          </cell>
          <cell r="U40">
            <v>8384.2459333930437</v>
          </cell>
        </row>
        <row r="41">
          <cell r="C41" t="str">
            <v>Romania</v>
          </cell>
          <cell r="D41">
            <v>13080.0067968965</v>
          </cell>
          <cell r="E41">
            <v>0.10450132216530597</v>
          </cell>
          <cell r="F41">
            <v>2147.8824509299529</v>
          </cell>
          <cell r="G41">
            <v>1796.3910695116533</v>
          </cell>
          <cell r="I41">
            <v>2259.6670102482353</v>
          </cell>
          <cell r="K41">
            <v>1764.8562623192006</v>
          </cell>
          <cell r="M41">
            <v>2250.8788932758616</v>
          </cell>
          <cell r="O41">
            <v>2347.0445608212385</v>
          </cell>
          <cell r="Q41">
            <v>1865.7466511181535</v>
          </cell>
          <cell r="S41">
            <v>1918.7157318429993</v>
          </cell>
          <cell r="U41">
            <v>2321.7830617045001</v>
          </cell>
        </row>
        <row r="42">
          <cell r="C42" t="str">
            <v>Slovakia</v>
          </cell>
          <cell r="D42">
            <v>7468.2041082978203</v>
          </cell>
          <cell r="E42">
            <v>5.9666421863226161E-2</v>
          </cell>
          <cell r="F42">
            <v>1226.3620954678618</v>
          </cell>
          <cell r="G42">
            <v>1025.6734093303087</v>
          </cell>
          <cell r="I42">
            <v>1290.1869785973672</v>
          </cell>
          <cell r="K42">
            <v>1007.6681911155189</v>
          </cell>
          <cell r="M42">
            <v>1285.1692861529832</v>
          </cell>
          <cell r="O42">
            <v>1340.076354978818</v>
          </cell>
          <cell r="Q42">
            <v>1065.2729024750636</v>
          </cell>
          <cell r="S42">
            <v>1095.5163046708417</v>
          </cell>
          <cell r="U42">
            <v>1325.6529655712413</v>
          </cell>
        </row>
        <row r="43">
          <cell r="C43" t="str">
            <v>Slovenia</v>
          </cell>
          <cell r="D43">
            <v>3789.4879816174498</v>
          </cell>
          <cell r="E43">
            <v>3.0275710904257392E-2</v>
          </cell>
          <cell r="F43">
            <v>622.27603242968667</v>
          </cell>
          <cell r="G43">
            <v>520.4433356880611</v>
          </cell>
          <cell r="I43">
            <v>654.66181407679881</v>
          </cell>
          <cell r="K43">
            <v>511.30719572162189</v>
          </cell>
          <cell r="M43">
            <v>652.11575548791802</v>
          </cell>
          <cell r="O43">
            <v>679.97649341153215</v>
          </cell>
          <cell r="Q43">
            <v>540.53676125250968</v>
          </cell>
          <cell r="S43">
            <v>555.88275440992561</v>
          </cell>
          <cell r="U43">
            <v>672.65783151884614</v>
          </cell>
        </row>
        <row r="44">
          <cell r="D44">
            <v>125165.94551986454</v>
          </cell>
          <cell r="F44">
            <v>20553.639001163199</v>
          </cell>
          <cell r="G44">
            <v>17190.127668145888</v>
          </cell>
          <cell r="H44">
            <v>4.3093590623186741E-3</v>
          </cell>
          <cell r="I44">
            <v>21623.334168669837</v>
          </cell>
          <cell r="K44">
            <v>16888.362996282987</v>
          </cell>
          <cell r="M44">
            <v>21539.238419541689</v>
          </cell>
          <cell r="O44">
            <v>22459.472398909496</v>
          </cell>
          <cell r="Q44">
            <v>17853.809047189014</v>
          </cell>
          <cell r="S44">
            <v>18360.68378931961</v>
          </cell>
          <cell r="U44">
            <v>22217.738623744637</v>
          </cell>
        </row>
        <row r="45">
          <cell r="C45" t="str">
            <v>Brazil</v>
          </cell>
          <cell r="D45">
            <v>306002.68930280203</v>
          </cell>
          <cell r="E45">
            <v>0.49394550764889406</v>
          </cell>
          <cell r="F45">
            <v>47449.279555984082</v>
          </cell>
          <cell r="G45">
            <v>39684.416627281833</v>
          </cell>
          <cell r="I45">
            <v>49918.733507171644</v>
          </cell>
          <cell r="K45">
            <v>38987.775206532329</v>
          </cell>
          <cell r="M45">
            <v>49724.593544431933</v>
          </cell>
          <cell r="O45">
            <v>51849.007588167326</v>
          </cell>
          <cell r="Q45">
            <v>41216.563965694062</v>
          </cell>
          <cell r="S45">
            <v>42386.713997902996</v>
          </cell>
          <cell r="U45">
            <v>51290.951008732824</v>
          </cell>
        </row>
        <row r="46">
          <cell r="C46" t="str">
            <v>Argentina</v>
          </cell>
          <cell r="D46">
            <v>68022.889908730998</v>
          </cell>
          <cell r="E46">
            <v>0.10980165228046346</v>
          </cell>
          <cell r="F46">
            <v>10547.741024234687</v>
          </cell>
          <cell r="G46">
            <v>8821.6502589576667</v>
          </cell>
          <cell r="I46">
            <v>11096.688468582437</v>
          </cell>
          <cell r="K46">
            <v>8666.7903040419969</v>
          </cell>
          <cell r="M46">
            <v>11053.532111550358</v>
          </cell>
          <cell r="O46">
            <v>11525.778884762789</v>
          </cell>
          <cell r="Q46">
            <v>9162.2390621548802</v>
          </cell>
          <cell r="S46">
            <v>9422.3576480372485</v>
          </cell>
          <cell r="U46">
            <v>11401.725657151601</v>
          </cell>
        </row>
        <row r="47">
          <cell r="C47" t="str">
            <v>Belize</v>
          </cell>
          <cell r="D47">
            <v>255.58999979495999</v>
          </cell>
          <cell r="E47">
            <v>4.1257000873536509E-4</v>
          </cell>
          <cell r="F47">
            <v>39.632205127400887</v>
          </cell>
          <cell r="G47">
            <v>33.146571557066352</v>
          </cell>
          <cell r="I47">
            <v>41.694826656367667</v>
          </cell>
          <cell r="K47">
            <v>32.564698956560107</v>
          </cell>
          <cell r="M47">
            <v>41.532670457185588</v>
          </cell>
          <cell r="O47">
            <v>43.307095989980297</v>
          </cell>
          <cell r="Q47">
            <v>34.426303897990735</v>
          </cell>
          <cell r="S47">
            <v>35.403676505969365</v>
          </cell>
          <cell r="U47">
            <v>42.840976945901907</v>
          </cell>
        </row>
        <row r="48">
          <cell r="C48" t="str">
            <v>Bolivia</v>
          </cell>
          <cell r="D48">
            <v>849.92999595403603</v>
          </cell>
          <cell r="E48">
            <v>1.371945796535503E-3</v>
          </cell>
          <cell r="F48">
            <v>131.79154102509449</v>
          </cell>
          <cell r="G48">
            <v>110.22444325673145</v>
          </cell>
          <cell r="I48">
            <v>138.65051011299229</v>
          </cell>
          <cell r="K48">
            <v>108.28950457606797</v>
          </cell>
          <cell r="M48">
            <v>138.11128159143314</v>
          </cell>
          <cell r="O48">
            <v>144.01189384981103</v>
          </cell>
          <cell r="Q48">
            <v>114.48002017373395</v>
          </cell>
          <cell r="S48">
            <v>117.73014066910258</v>
          </cell>
          <cell r="U48">
            <v>142.46187797452066</v>
          </cell>
        </row>
        <row r="49">
          <cell r="C49" t="str">
            <v>Chile</v>
          </cell>
          <cell r="D49">
            <v>82355.839772045598</v>
          </cell>
          <cell r="E49">
            <v>0.13293771102710875</v>
          </cell>
          <cell r="F49">
            <v>12770.231769253411</v>
          </cell>
          <cell r="G49">
            <v>10680.440308057114</v>
          </cell>
          <cell r="I49">
            <v>13434.846692709854</v>
          </cell>
          <cell r="K49">
            <v>10492.950160972021</v>
          </cell>
          <cell r="M49">
            <v>13382.596956927562</v>
          </cell>
          <cell r="O49">
            <v>13954.349783655916</v>
          </cell>
          <cell r="Q49">
            <v>11092.793810560428</v>
          </cell>
          <cell r="S49">
            <v>11407.721397574189</v>
          </cell>
          <cell r="U49">
            <v>13804.157579971832</v>
          </cell>
        </row>
        <row r="50">
          <cell r="C50" t="str">
            <v>Colombia</v>
          </cell>
          <cell r="D50">
            <v>62550.819975435697</v>
          </cell>
          <cell r="E50">
            <v>0.10096870912153205</v>
          </cell>
          <cell r="F50">
            <v>9699.2328735174415</v>
          </cell>
          <cell r="G50">
            <v>8111.9966819211959</v>
          </cell>
          <cell r="I50">
            <v>10204.020494470376</v>
          </cell>
          <cell r="K50">
            <v>7969.5943644905337</v>
          </cell>
          <cell r="M50">
            <v>10164.335830629554</v>
          </cell>
          <cell r="O50">
            <v>10598.592930479699</v>
          </cell>
          <cell r="Q50">
            <v>8425.1869762915558</v>
          </cell>
          <cell r="S50">
            <v>8664.3804427794366</v>
          </cell>
          <cell r="U50">
            <v>10484.519107416749</v>
          </cell>
        </row>
        <row r="51">
          <cell r="C51" t="str">
            <v>Costa Rica</v>
          </cell>
          <cell r="D51">
            <v>16217.020025134099</v>
          </cell>
          <cell r="E51">
            <v>2.6177299967911731E-2</v>
          </cell>
          <cell r="F51">
            <v>2514.637758546437</v>
          </cell>
          <cell r="G51">
            <v>2103.1285071274733</v>
          </cell>
          <cell r="I51">
            <v>2645.5097592755774</v>
          </cell>
          <cell r="K51">
            <v>2066.2090673134876</v>
          </cell>
          <cell r="M51">
            <v>2635.2210534128872</v>
          </cell>
          <cell r="O51">
            <v>2747.8072047549808</v>
          </cell>
          <cell r="Q51">
            <v>2184.326695696006</v>
          </cell>
          <cell r="S51">
            <v>2246.340354948411</v>
          </cell>
          <cell r="U51">
            <v>2718.2322531607097</v>
          </cell>
        </row>
        <row r="52">
          <cell r="C52" t="str">
            <v>Dominican Republic</v>
          </cell>
          <cell r="D52">
            <v>5300.7800038456899</v>
          </cell>
          <cell r="E52">
            <v>8.5564492125876565E-3</v>
          </cell>
          <cell r="F52">
            <v>821.94765294483113</v>
          </cell>
          <cell r="G52">
            <v>687.43958623846868</v>
          </cell>
          <cell r="I52">
            <v>864.72515975268675</v>
          </cell>
          <cell r="K52">
            <v>675.37190499889152</v>
          </cell>
          <cell r="M52">
            <v>861.36213952962044</v>
          </cell>
          <cell r="O52">
            <v>898.1626379454309</v>
          </cell>
          <cell r="Q52">
            <v>713.98045093774692</v>
          </cell>
          <cell r="S52">
            <v>734.25056002196709</v>
          </cell>
          <cell r="U52">
            <v>888.49561454762761</v>
          </cell>
        </row>
        <row r="53">
          <cell r="C53" t="str">
            <v>Ecuador</v>
          </cell>
          <cell r="D53">
            <v>18620.8600465655</v>
          </cell>
          <cell r="E53">
            <v>3.0057546845473369E-2</v>
          </cell>
          <cell r="F53">
            <v>2887.3811401312109</v>
          </cell>
          <cell r="G53">
            <v>2414.8740971193984</v>
          </cell>
          <cell r="I53">
            <v>3037.6522260529405</v>
          </cell>
          <cell r="K53">
            <v>2372.4821089052666</v>
          </cell>
          <cell r="M53">
            <v>3025.8384309393809</v>
          </cell>
          <cell r="O53">
            <v>3155.1131660062033</v>
          </cell>
          <cell r="Q53">
            <v>2508.1082488332104</v>
          </cell>
          <cell r="S53">
            <v>2579.3141589279594</v>
          </cell>
          <cell r="U53">
            <v>3121.1543354894166</v>
          </cell>
        </row>
        <row r="54">
          <cell r="C54" t="str">
            <v>El Salvador</v>
          </cell>
          <cell r="D54">
            <v>3114.9400039911302</v>
          </cell>
          <cell r="E54">
            <v>5.0280950963954747E-3</v>
          </cell>
          <cell r="F54">
            <v>483.00771273038583</v>
          </cell>
          <cell r="G54">
            <v>403.96565523334118</v>
          </cell>
          <cell r="I54">
            <v>508.14540324576672</v>
          </cell>
          <cell r="K54">
            <v>396.87422660938375</v>
          </cell>
          <cell r="M54">
            <v>506.16916461306351</v>
          </cell>
          <cell r="O54">
            <v>527.79453759572948</v>
          </cell>
          <cell r="Q54">
            <v>419.56207710565405</v>
          </cell>
          <cell r="S54">
            <v>431.47356440108859</v>
          </cell>
          <cell r="U54">
            <v>522.11382685514229</v>
          </cell>
        </row>
        <row r="55">
          <cell r="C55" t="str">
            <v>Guatemala</v>
          </cell>
          <cell r="D55">
            <v>7611.0100017785999</v>
          </cell>
          <cell r="E55">
            <v>1.2285592024092436E-2</v>
          </cell>
          <cell r="F55">
            <v>1180.1757105488184</v>
          </cell>
          <cell r="G55">
            <v>987.04522026638688</v>
          </cell>
          <cell r="I55">
            <v>1241.5968659126581</v>
          </cell>
          <cell r="K55">
            <v>969.7181018902113</v>
          </cell>
          <cell r="M55">
            <v>1236.7681462647249</v>
          </cell>
          <cell r="O55">
            <v>1289.6073437620682</v>
          </cell>
          <cell r="Q55">
            <v>1025.1533452094154</v>
          </cell>
          <cell r="S55">
            <v>1054.2577417067641</v>
          </cell>
          <cell r="U55">
            <v>1275.7271578809848</v>
          </cell>
        </row>
        <row r="56">
          <cell r="C56" t="str">
            <v>Honduras</v>
          </cell>
          <cell r="D56">
            <v>4034.4100008606902</v>
          </cell>
          <cell r="E56">
            <v>6.5122914458015553E-3</v>
          </cell>
          <cell r="F56">
            <v>625.5822405040019</v>
          </cell>
          <cell r="G56">
            <v>523.20849755996585</v>
          </cell>
          <cell r="I56">
            <v>658.14009069817939</v>
          </cell>
          <cell r="K56">
            <v>514.02381646683841</v>
          </cell>
          <cell r="M56">
            <v>655.58050467287887</v>
          </cell>
          <cell r="O56">
            <v>683.58926918257191</v>
          </cell>
          <cell r="Q56">
            <v>543.40868128699753</v>
          </cell>
          <cell r="S56">
            <v>558.83620907509385</v>
          </cell>
          <cell r="U56">
            <v>676.23172258634327</v>
          </cell>
        </row>
        <row r="57">
          <cell r="C57" t="str">
            <v>Nicaragua</v>
          </cell>
          <cell r="D57">
            <v>1824.5800041556399</v>
          </cell>
          <cell r="E57">
            <v>2.9452129929056353E-3</v>
          </cell>
          <cell r="F57">
            <v>282.92237197879683</v>
          </cell>
          <cell r="G57">
            <v>236.62338791758131</v>
          </cell>
          <cell r="I57">
            <v>297.64680564565714</v>
          </cell>
          <cell r="K57">
            <v>232.46957472965755</v>
          </cell>
          <cell r="M57">
            <v>296.489221394259</v>
          </cell>
          <cell r="O57">
            <v>309.15631067239082</v>
          </cell>
          <cell r="Q57">
            <v>245.759011540552</v>
          </cell>
          <cell r="S57">
            <v>252.73618012523002</v>
          </cell>
          <cell r="U57">
            <v>305.82882724947189</v>
          </cell>
        </row>
        <row r="58">
          <cell r="C58" t="str">
            <v>Panama</v>
          </cell>
          <cell r="D58">
            <v>7075.84000307322</v>
          </cell>
          <cell r="E58">
            <v>1.1421727666261884E-2</v>
          </cell>
          <cell r="F58">
            <v>1097.1913716320469</v>
          </cell>
          <cell r="G58">
            <v>917.64089822126118</v>
          </cell>
          <cell r="I58">
            <v>1154.2936836848323</v>
          </cell>
          <cell r="K58">
            <v>901.5321403408384</v>
          </cell>
          <cell r="M58">
            <v>1149.8044966202394</v>
          </cell>
          <cell r="O58">
            <v>1198.9282932378524</v>
          </cell>
          <cell r="Q58">
            <v>953.06944119400475</v>
          </cell>
          <cell r="S58">
            <v>980.1273550521023</v>
          </cell>
          <cell r="U58">
            <v>1186.0240959651499</v>
          </cell>
        </row>
        <row r="59">
          <cell r="C59" t="str">
            <v>Paraguay</v>
          </cell>
          <cell r="D59">
            <v>4422.9500048160598</v>
          </cell>
          <cell r="E59">
            <v>7.1394675988376748E-3</v>
          </cell>
          <cell r="F59">
            <v>685.82989162225203</v>
          </cell>
          <cell r="G59">
            <v>573.59688933672214</v>
          </cell>
          <cell r="I59">
            <v>721.52327520062317</v>
          </cell>
          <cell r="K59">
            <v>563.52766353259824</v>
          </cell>
          <cell r="M59">
            <v>718.71718434210493</v>
          </cell>
          <cell r="O59">
            <v>749.42337560591068</v>
          </cell>
          <cell r="Q59">
            <v>595.74248254457643</v>
          </cell>
          <cell r="S59">
            <v>612.65578190931706</v>
          </cell>
          <cell r="U59">
            <v>741.35724927113517</v>
          </cell>
        </row>
        <row r="60">
          <cell r="C60" t="str">
            <v>Peru</v>
          </cell>
          <cell r="D60">
            <v>23610.640090286699</v>
          </cell>
          <cell r="E60">
            <v>3.8111984021720821E-2</v>
          </cell>
          <cell r="F60">
            <v>3661.1046284993554</v>
          </cell>
          <cell r="G60">
            <v>3061.9811881867686</v>
          </cell>
          <cell r="I60">
            <v>3851.6434391021944</v>
          </cell>
          <cell r="K60">
            <v>3008.2295368703112</v>
          </cell>
          <cell r="M60">
            <v>3836.6639341905457</v>
          </cell>
          <cell r="O60">
            <v>4000.5800602339764</v>
          </cell>
          <cell r="Q60">
            <v>3180.1990360591617</v>
          </cell>
          <cell r="S60">
            <v>3270.4857957117333</v>
          </cell>
          <cell r="U60">
            <v>3957.5213764130435</v>
          </cell>
        </row>
        <row r="61">
          <cell r="C61" t="str">
            <v>Venezuela</v>
          </cell>
          <cell r="D61">
            <v>7636.1899996399898</v>
          </cell>
          <cell r="E61">
            <v>1.2326237244742555E-2</v>
          </cell>
          <cell r="F61">
            <v>1184.0801623706841</v>
          </cell>
          <cell r="G61">
            <v>990.31072596531442</v>
          </cell>
          <cell r="I61">
            <v>1245.704521325157</v>
          </cell>
          <cell r="K61">
            <v>972.9262831599824</v>
          </cell>
          <cell r="M61">
            <v>1240.8598265109345</v>
          </cell>
          <cell r="O61">
            <v>1293.8738353512756</v>
          </cell>
          <cell r="Q61">
            <v>1028.5449264888957</v>
          </cell>
          <cell r="S61">
            <v>1057.7456109482087</v>
          </cell>
          <cell r="U61">
            <v>1279.9477287512968</v>
          </cell>
        </row>
        <row r="62">
          <cell r="D62">
            <v>619506.97913891065</v>
          </cell>
          <cell r="F62">
            <v>96061.769610650939</v>
          </cell>
          <cell r="G62">
            <v>80341.689544204288</v>
          </cell>
          <cell r="H62">
            <v>2.0140699045584999E-2</v>
          </cell>
          <cell r="I62">
            <v>101061.21572959995</v>
          </cell>
          <cell r="K62">
            <v>78931.32866438698</v>
          </cell>
          <cell r="M62">
            <v>100668.17649807867</v>
          </cell>
          <cell r="O62">
            <v>104969.08421125391</v>
          </cell>
          <cell r="Q62">
            <v>83443.544535668872</v>
          </cell>
          <cell r="S62">
            <v>85812.530616296819</v>
          </cell>
          <cell r="U62">
            <v>103839.29039636375</v>
          </cell>
        </row>
        <row r="63">
          <cell r="C63" t="str">
            <v>Thailand</v>
          </cell>
          <cell r="D63">
            <v>221436.22200298301</v>
          </cell>
          <cell r="E63">
            <v>0.6078531869748216</v>
          </cell>
          <cell r="F63">
            <v>40908.015272779536</v>
          </cell>
          <cell r="G63">
            <v>34213.601063526672</v>
          </cell>
          <cell r="I63">
            <v>43037.035162984939</v>
          </cell>
          <cell r="K63">
            <v>33612.997257813513</v>
          </cell>
          <cell r="M63">
            <v>42869.65895337479</v>
          </cell>
          <cell r="O63">
            <v>44701.205458613025</v>
          </cell>
          <cell r="Q63">
            <v>35534.529585654498</v>
          </cell>
          <cell r="S63">
            <v>36543.365037677919</v>
          </cell>
          <cell r="U63">
            <v>44220.081460773472</v>
          </cell>
        </row>
        <row r="64">
          <cell r="C64" t="str">
            <v>Brunei Darussalam</v>
          </cell>
          <cell r="D64">
            <v>658.84999430179596</v>
          </cell>
          <cell r="E64">
            <v>1.8085752419010055E-3</v>
          </cell>
          <cell r="F64">
            <v>121.71561357746386</v>
          </cell>
          <cell r="G64">
            <v>101.79739638732099</v>
          </cell>
          <cell r="I64">
            <v>128.05019032304861</v>
          </cell>
          <cell r="K64">
            <v>100.01039058315575</v>
          </cell>
          <cell r="M64">
            <v>127.55218772098824</v>
          </cell>
          <cell r="O64">
            <v>133.00167739175868</v>
          </cell>
          <cell r="Q64">
            <v>105.72761946195995</v>
          </cell>
          <cell r="S64">
            <v>108.72925679936053</v>
          </cell>
          <cell r="U64">
            <v>131.57016568889566</v>
          </cell>
        </row>
        <row r="65">
          <cell r="C65" t="str">
            <v>Cambodia</v>
          </cell>
          <cell r="D65">
            <v>239.79999697208399</v>
          </cell>
          <cell r="E65">
            <v>6.5826264139418988E-4</v>
          </cell>
          <cell r="F65">
            <v>44.300529740858515</v>
          </cell>
          <cell r="G65">
            <v>37.050945672868565</v>
          </cell>
          <cell r="I65">
            <v>46.606109914719525</v>
          </cell>
          <cell r="K65">
            <v>36.400533606185554</v>
          </cell>
          <cell r="M65">
            <v>46.424853143832365</v>
          </cell>
          <cell r="O65">
            <v>48.408290372112226</v>
          </cell>
          <cell r="Q65">
            <v>38.481419209408244</v>
          </cell>
          <cell r="S65">
            <v>39.573917700180395</v>
          </cell>
          <cell r="U65">
            <v>47.887266611042243</v>
          </cell>
        </row>
        <row r="66">
          <cell r="C66" t="str">
            <v>Hong Kong</v>
          </cell>
          <cell r="D66">
            <v>25727.821691691901</v>
          </cell>
          <cell r="E66">
            <v>7.0624120425086534E-2</v>
          </cell>
          <cell r="F66">
            <v>4752.9447223178458</v>
          </cell>
          <cell r="G66">
            <v>3975.1465213366796</v>
          </cell>
          <cell r="I66">
            <v>5000.307342659753</v>
          </cell>
          <cell r="K66">
            <v>3905.3646785967348</v>
          </cell>
          <cell r="M66">
            <v>4980.8605455760162</v>
          </cell>
          <cell r="O66">
            <v>5193.6608791464469</v>
          </cell>
          <cell r="Q66">
            <v>4128.6201182819759</v>
          </cell>
          <cell r="S66">
            <v>4245.8328235527788</v>
          </cell>
          <cell r="U66">
            <v>5137.76093506303</v>
          </cell>
        </row>
        <row r="67">
          <cell r="C67" t="str">
            <v>Laos</v>
          </cell>
          <cell r="D67">
            <v>172.97999846935301</v>
          </cell>
          <cell r="E67">
            <v>4.7483849932681541E-4</v>
          </cell>
          <cell r="F67">
            <v>31.956237128965956</v>
          </cell>
          <cell r="G67">
            <v>26.726741479179374</v>
          </cell>
          <cell r="I67">
            <v>33.619369989605133</v>
          </cell>
          <cell r="K67">
            <v>26.257566000781132</v>
          </cell>
          <cell r="M67">
            <v>33.488620213347751</v>
          </cell>
          <cell r="O67">
            <v>34.919374896600928</v>
          </cell>
          <cell r="Q67">
            <v>27.758615179285759</v>
          </cell>
          <cell r="S67">
            <v>28.546690198667584</v>
          </cell>
          <cell r="U67">
            <v>34.54353381849252</v>
          </cell>
        </row>
        <row r="68">
          <cell r="C68" t="str">
            <v>Macao</v>
          </cell>
          <cell r="D68">
            <v>900.249987602234</v>
          </cell>
          <cell r="E68">
            <v>2.47122995094583E-3</v>
          </cell>
          <cell r="F68">
            <v>166.31172582801594</v>
          </cell>
          <cell r="G68">
            <v>139.09555381076157</v>
          </cell>
          <cell r="I68">
            <v>174.96726606630858</v>
          </cell>
          <cell r="K68">
            <v>136.65379625295859</v>
          </cell>
          <cell r="M68">
            <v>174.28679730982657</v>
          </cell>
          <cell r="O68">
            <v>181.73295812181615</v>
          </cell>
          <cell r="Q68">
            <v>144.46579484410523</v>
          </cell>
          <cell r="S68">
            <v>148.5672200534124</v>
          </cell>
          <cell r="U68">
            <v>179.7769462770857</v>
          </cell>
        </row>
        <row r="69">
          <cell r="C69" t="str">
            <v>Malaysia</v>
          </cell>
          <cell r="D69">
            <v>14489.119872093201</v>
          </cell>
          <cell r="E69">
            <v>3.9773337943750806E-2</v>
          </cell>
          <cell r="F69">
            <v>2676.7126518656801</v>
          </cell>
          <cell r="G69">
            <v>2238.6805671690668</v>
          </cell>
          <cell r="I69">
            <v>2816.019690796471</v>
          </cell>
          <cell r="K69">
            <v>2199.3815741773237</v>
          </cell>
          <cell r="M69">
            <v>2805.0678512878226</v>
          </cell>
          <cell r="O69">
            <v>2924.9104706464236</v>
          </cell>
          <cell r="Q69">
            <v>2325.1121885472494</v>
          </cell>
          <cell r="S69">
            <v>2391.1227881834175</v>
          </cell>
          <cell r="U69">
            <v>2893.4293370948221</v>
          </cell>
        </row>
        <row r="70">
          <cell r="C70" t="str">
            <v>Philippines</v>
          </cell>
          <cell r="D70">
            <v>42036.6099570394</v>
          </cell>
          <cell r="E70">
            <v>0.11539253650949528</v>
          </cell>
          <cell r="F70">
            <v>7765.8219896620103</v>
          </cell>
          <cell r="G70">
            <v>6494.9798642872647</v>
          </cell>
          <cell r="I70">
            <v>8169.9870260133703</v>
          </cell>
          <cell r="K70">
            <v>6380.9635227370673</v>
          </cell>
          <cell r="M70">
            <v>8138.2129631440412</v>
          </cell>
          <cell r="O70">
            <v>8485.9067837956645</v>
          </cell>
          <cell r="Q70">
            <v>6745.7399096111412</v>
          </cell>
          <cell r="S70">
            <v>6937.2533938276965</v>
          </cell>
          <cell r="U70">
            <v>8394.5720344253459</v>
          </cell>
        </row>
        <row r="71">
          <cell r="C71" t="str">
            <v>Singapore</v>
          </cell>
          <cell r="D71">
            <v>38728.361491948403</v>
          </cell>
          <cell r="E71">
            <v>0.10631123375504783</v>
          </cell>
          <cell r="F71">
            <v>7154.6578471746579</v>
          </cell>
          <cell r="G71">
            <v>5983.8300073224764</v>
          </cell>
          <cell r="I71">
            <v>7527.0154099328975</v>
          </cell>
          <cell r="K71">
            <v>5878.7866630552235</v>
          </cell>
          <cell r="M71">
            <v>7497.7419410654293</v>
          </cell>
          <cell r="O71">
            <v>7818.0725288191607</v>
          </cell>
          <cell r="Q71">
            <v>6214.8554323737699</v>
          </cell>
          <cell r="S71">
            <v>6391.2969545350788</v>
          </cell>
          <cell r="U71">
            <v>7733.9257530918785</v>
          </cell>
        </row>
        <row r="72">
          <cell r="C72" t="str">
            <v>Sri Lanka</v>
          </cell>
          <cell r="D72">
            <v>1570.5099784731899</v>
          </cell>
          <cell r="E72">
            <v>4.3111261877373745E-3</v>
          </cell>
          <cell r="F72">
            <v>290.13521638103293</v>
          </cell>
          <cell r="G72">
            <v>242.65588250979889</v>
          </cell>
          <cell r="I72">
            <v>305.2350358761941</v>
          </cell>
          <cell r="K72">
            <v>238.39617169352249</v>
          </cell>
          <cell r="M72">
            <v>304.04794008412347</v>
          </cell>
          <cell r="O72">
            <v>317.03796509672327</v>
          </cell>
          <cell r="Q72">
            <v>252.02441041407127</v>
          </cell>
          <cell r="S72">
            <v>259.17945546365189</v>
          </cell>
          <cell r="U72">
            <v>313.62565055913257</v>
          </cell>
        </row>
        <row r="73">
          <cell r="C73" t="str">
            <v>Taiwan</v>
          </cell>
          <cell r="D73">
            <v>16060.402783125601</v>
          </cell>
          <cell r="E73">
            <v>4.4086585868912995E-2</v>
          </cell>
          <cell r="F73">
            <v>2966.9906594154345</v>
          </cell>
          <cell r="G73">
            <v>2481.455873709815</v>
          </cell>
          <cell r="I73">
            <v>3121.4049492759432</v>
          </cell>
          <cell r="K73">
            <v>2437.8950734686446</v>
          </cell>
          <cell r="M73">
            <v>3109.2654297414397</v>
          </cell>
          <cell r="O73">
            <v>3242.1044672036842</v>
          </cell>
          <cell r="Q73">
            <v>2577.2606337495072</v>
          </cell>
          <cell r="S73">
            <v>2650.4297998183465</v>
          </cell>
          <cell r="U73">
            <v>3207.2093397306967</v>
          </cell>
        </row>
        <row r="74">
          <cell r="C74" t="str">
            <v>Viet Nam</v>
          </cell>
          <cell r="D74">
            <v>2059.3099681734998</v>
          </cell>
          <cell r="E74">
            <v>5.6529059058206734E-3</v>
          </cell>
          <cell r="F74">
            <v>380.4358784096932</v>
          </cell>
          <cell r="G74">
            <v>318.1792440275774</v>
          </cell>
          <cell r="I74">
            <v>400.23531249812601</v>
          </cell>
          <cell r="K74">
            <v>312.59375583219361</v>
          </cell>
          <cell r="M74">
            <v>398.67874919620772</v>
          </cell>
          <cell r="O74">
            <v>415.71174380428778</v>
          </cell>
          <cell r="Q74">
            <v>330.46359953300089</v>
          </cell>
          <cell r="S74">
            <v>339.84555558249787</v>
          </cell>
          <cell r="U74">
            <v>411.23739251832188</v>
          </cell>
        </row>
        <row r="75">
          <cell r="C75" t="str">
            <v>Mongolia</v>
          </cell>
          <cell r="D75">
            <v>212.039998054504</v>
          </cell>
          <cell r="E75">
            <v>5.8206009575898984E-4</v>
          </cell>
          <cell r="F75">
            <v>39.172161629170773</v>
          </cell>
          <cell r="G75">
            <v>32.761812125073391</v>
          </cell>
          <cell r="I75">
            <v>41.210840618966188</v>
          </cell>
          <cell r="K75">
            <v>32.186693796901992</v>
          </cell>
          <cell r="M75">
            <v>41.050566699735263</v>
          </cell>
          <cell r="O75">
            <v>42.804395020569864</v>
          </cell>
          <cell r="Q75">
            <v>34.026689563500561</v>
          </cell>
          <cell r="S75">
            <v>34.992717006298413</v>
          </cell>
          <cell r="U75">
            <v>42.343686602393817</v>
          </cell>
        </row>
        <row r="76">
          <cell r="D76">
            <v>364292.27772092819</v>
          </cell>
          <cell r="F76">
            <v>67299.17050591037</v>
          </cell>
          <cell r="G76">
            <v>56285.961473364558</v>
          </cell>
          <cell r="H76">
            <v>1.4110216214742354E-2</v>
          </cell>
          <cell r="I76">
            <v>70801.693706950347</v>
          </cell>
          <cell r="K76">
            <v>55297.887677614213</v>
          </cell>
          <cell r="M76">
            <v>70526.337398557604</v>
          </cell>
          <cell r="O76">
            <v>73539.476992928277</v>
          </cell>
          <cell r="Q76">
            <v>58459.06601642348</v>
          </cell>
          <cell r="S76">
            <v>60118.735610399308</v>
          </cell>
          <cell r="U76">
            <v>72747.963502254614</v>
          </cell>
        </row>
        <row r="77">
          <cell r="C77" t="str">
            <v>Russia</v>
          </cell>
          <cell r="D77">
            <v>817091.75245641195</v>
          </cell>
          <cell r="F77">
            <v>114651.00997181633</v>
          </cell>
          <cell r="G77">
            <v>95888.883646630522</v>
          </cell>
          <cell r="H77">
            <v>2.4038194345929347E-2</v>
          </cell>
          <cell r="I77">
            <v>120617.91594450857</v>
          </cell>
          <cell r="K77">
            <v>94205.599027253018</v>
          </cell>
          <cell r="M77">
            <v>120148.81835204172</v>
          </cell>
          <cell r="O77">
            <v>125282.00937183783</v>
          </cell>
          <cell r="Q77">
            <v>99590.989166848885</v>
          </cell>
          <cell r="S77">
            <v>102418.40581609469</v>
          </cell>
          <cell r="U77">
            <v>123933.58530613432</v>
          </cell>
        </row>
        <row r="78">
          <cell r="C78" t="str">
            <v>Turkey</v>
          </cell>
          <cell r="D78">
            <v>260633.68061269799</v>
          </cell>
          <cell r="F78">
            <v>35229.875783424017</v>
          </cell>
          <cell r="G78">
            <v>29464.663771495903</v>
          </cell>
          <cell r="H78">
            <v>7.3864382099475051E-3</v>
          </cell>
          <cell r="I78">
            <v>37063.382145740354</v>
          </cell>
          <cell r="K78">
            <v>28947.425344521776</v>
          </cell>
          <cell r="M78">
            <v>36919.238191692566</v>
          </cell>
          <cell r="O78">
            <v>38496.561252731968</v>
          </cell>
          <cell r="Q78">
            <v>30602.243960684664</v>
          </cell>
          <cell r="S78">
            <v>31471.050413984995</v>
          </cell>
          <cell r="U78">
            <v>38082.218523873395</v>
          </cell>
        </row>
        <row r="79">
          <cell r="C79" t="str">
            <v>South Africa</v>
          </cell>
          <cell r="D79">
            <v>118099.70395639499</v>
          </cell>
          <cell r="E79">
            <v>0.36273173181664736</v>
          </cell>
          <cell r="F79">
            <v>16743.031541661461</v>
          </cell>
          <cell r="G79">
            <v>14003.109120320005</v>
          </cell>
          <cell r="I79">
            <v>17614.407161740808</v>
          </cell>
          <cell r="K79">
            <v>13757.291072290955</v>
          </cell>
          <cell r="M79">
            <v>17545.90261224996</v>
          </cell>
          <cell r="O79">
            <v>18295.526877879605</v>
          </cell>
          <cell r="Q79">
            <v>14543.745173249781</v>
          </cell>
          <cell r="S79">
            <v>14956.646255860202</v>
          </cell>
          <cell r="U79">
            <v>18098.610106983655</v>
          </cell>
        </row>
        <row r="80">
          <cell r="C80" t="str">
            <v>Israel</v>
          </cell>
          <cell r="D80">
            <v>74961.828509002895</v>
          </cell>
          <cell r="E80">
            <v>0.23023795119124663</v>
          </cell>
          <cell r="F80">
            <v>10627.361602957608</v>
          </cell>
          <cell r="G80">
            <v>8888.2412851589725</v>
          </cell>
          <cell r="I80">
            <v>11180.452826822415</v>
          </cell>
          <cell r="K80">
            <v>8732.2123558436615</v>
          </cell>
          <cell r="M80">
            <v>11136.970700119411</v>
          </cell>
          <cell r="O80">
            <v>11612.782270883925</v>
          </cell>
          <cell r="Q80">
            <v>9231.4010537936992</v>
          </cell>
          <cell r="S80">
            <v>9493.4831683877546</v>
          </cell>
          <cell r="U80">
            <v>11487.792616245173</v>
          </cell>
        </row>
        <row r="81">
          <cell r="C81" t="str">
            <v>India</v>
          </cell>
          <cell r="D81">
            <v>41888.881353363402</v>
          </cell>
          <cell r="E81">
            <v>0.12865761698079861</v>
          </cell>
          <cell r="F81">
            <v>5938.5996598537686</v>
          </cell>
          <cell r="G81">
            <v>4966.7743175364931</v>
          </cell>
          <cell r="I81">
            <v>6247.6685968698521</v>
          </cell>
          <cell r="K81">
            <v>4879.5849114376751</v>
          </cell>
          <cell r="M81">
            <v>6223.3706617383032</v>
          </cell>
          <cell r="O81">
            <v>6489.2555104772646</v>
          </cell>
          <cell r="Q81">
            <v>5158.5329648307124</v>
          </cell>
          <cell r="S81">
            <v>5304.9851902023302</v>
          </cell>
          <cell r="U81">
            <v>6419.4109386772088</v>
          </cell>
        </row>
        <row r="82">
          <cell r="C82" t="str">
            <v>Indonesia</v>
          </cell>
          <cell r="D82">
            <v>26473.449858903899</v>
          </cell>
          <cell r="E82">
            <v>8.1310621388407042E-2</v>
          </cell>
          <cell r="F82">
            <v>3753.1491710417604</v>
          </cell>
          <cell r="G82">
            <v>3138.9630519516463</v>
          </cell>
          <cell r="I82">
            <v>3948.478354889327</v>
          </cell>
          <cell r="K82">
            <v>3083.8600199295383</v>
          </cell>
          <cell r="M82">
            <v>3933.1222473353037</v>
          </cell>
          <cell r="O82">
            <v>4101.159420540168</v>
          </cell>
          <cell r="Q82">
            <v>3260.1530376982373</v>
          </cell>
          <cell r="S82">
            <v>3352.7097143111614</v>
          </cell>
          <cell r="U82">
            <v>4057.0181899862296</v>
          </cell>
        </row>
        <row r="83">
          <cell r="C83" t="str">
            <v>Nigeria</v>
          </cell>
          <cell r="D83">
            <v>17110.009949684099</v>
          </cell>
          <cell r="E83">
            <v>5.255172817994954E-2</v>
          </cell>
          <cell r="F83">
            <v>2425.6914003059196</v>
          </cell>
          <cell r="G83">
            <v>2028.7378236244399</v>
          </cell>
          <cell r="I83">
            <v>2551.9342699322024</v>
          </cell>
          <cell r="K83">
            <v>1993.1242775554176</v>
          </cell>
          <cell r="M83">
            <v>2542.0094904101488</v>
          </cell>
          <cell r="O83">
            <v>2650.613307471227</v>
          </cell>
          <cell r="Q83">
            <v>2107.0639153494608</v>
          </cell>
          <cell r="S83">
            <v>2166.8840621832592</v>
          </cell>
          <cell r="U83">
            <v>2622.0844644985696</v>
          </cell>
        </row>
        <row r="84">
          <cell r="C84" t="str">
            <v>Ukraine</v>
          </cell>
          <cell r="D84">
            <v>12521.019930422301</v>
          </cell>
          <cell r="E84">
            <v>3.845709253555589E-2</v>
          </cell>
          <cell r="F84">
            <v>1775.1088665407324</v>
          </cell>
          <cell r="G84">
            <v>1484.6202192694905</v>
          </cell>
          <cell r="I84">
            <v>1867.4927687893442</v>
          </cell>
          <cell r="K84">
            <v>1458.5584039090925</v>
          </cell>
          <cell r="M84">
            <v>1860.2298646434017</v>
          </cell>
          <cell r="O84">
            <v>1939.7055962146042</v>
          </cell>
          <cell r="Q84">
            <v>1541.9388624757255</v>
          </cell>
          <cell r="S84">
            <v>1585.7149475247352</v>
          </cell>
          <cell r="U84">
            <v>1918.8283312391311</v>
          </cell>
        </row>
        <row r="85">
          <cell r="C85" t="str">
            <v>Kazakhstan</v>
          </cell>
          <cell r="D85">
            <v>10670.7001059055</v>
          </cell>
          <cell r="E85">
            <v>3.2774015509304713E-2</v>
          </cell>
          <cell r="F85">
            <v>1512.7884529731864</v>
          </cell>
          <cell r="G85">
            <v>1265.2273711742343</v>
          </cell>
          <cell r="I85">
            <v>1591.520131461536</v>
          </cell>
          <cell r="K85">
            <v>1243.0168949133831</v>
          </cell>
          <cell r="M85">
            <v>1585.3305181177391</v>
          </cell>
          <cell r="O85">
            <v>1653.0615577619787</v>
          </cell>
          <cell r="Q85">
            <v>1314.0756323805801</v>
          </cell>
          <cell r="S85">
            <v>1351.3826151954252</v>
          </cell>
          <cell r="U85">
            <v>1635.2694741439725</v>
          </cell>
        </row>
        <row r="86">
          <cell r="C86" t="str">
            <v>Kenya</v>
          </cell>
          <cell r="D86">
            <v>3938.3499970436101</v>
          </cell>
          <cell r="E86">
            <v>1.2096258221402267E-2</v>
          </cell>
          <cell r="F86">
            <v>558.34109666312077</v>
          </cell>
          <cell r="G86">
            <v>466.97106694675472</v>
          </cell>
          <cell r="I86">
            <v>587.39944360047184</v>
          </cell>
          <cell r="K86">
            <v>458.77360771276778</v>
          </cell>
          <cell r="M86">
            <v>585.1149764659533</v>
          </cell>
          <cell r="O86">
            <v>610.11319936934319</v>
          </cell>
          <cell r="Q86">
            <v>485.00001982409475</v>
          </cell>
          <cell r="S86">
            <v>498.76930901789717</v>
          </cell>
          <cell r="U86">
            <v>603.54648380532933</v>
          </cell>
        </row>
        <row r="87">
          <cell r="C87" t="str">
            <v>Azerbaijan</v>
          </cell>
          <cell r="D87">
            <v>3812.6400744914999</v>
          </cell>
          <cell r="E87">
            <v>1.1710152444789146E-2</v>
          </cell>
          <cell r="F87">
            <v>540.51916207836587</v>
          </cell>
          <cell r="G87">
            <v>452.06561245337065</v>
          </cell>
          <cell r="I87">
            <v>568.64998288276047</v>
          </cell>
          <cell r="K87">
            <v>444.12981151948458</v>
          </cell>
          <cell r="M87">
            <v>566.43843465762495</v>
          </cell>
          <cell r="O87">
            <v>590.63872830955563</v>
          </cell>
          <cell r="Q87">
            <v>469.51909126883015</v>
          </cell>
          <cell r="S87">
            <v>482.84887247592496</v>
          </cell>
          <cell r="U87">
            <v>584.28161862251898</v>
          </cell>
        </row>
        <row r="88">
          <cell r="C88" t="str">
            <v>Trinidad and Tobago</v>
          </cell>
          <cell r="D88">
            <v>2116.4500026702899</v>
          </cell>
          <cell r="E88">
            <v>6.5004699339076683E-3</v>
          </cell>
          <cell r="F88">
            <v>300.04977120130479</v>
          </cell>
          <cell r="G88">
            <v>250.94796466243659</v>
          </cell>
          <cell r="I88">
            <v>315.66558454936097</v>
          </cell>
          <cell r="K88">
            <v>246.54269021230266</v>
          </cell>
          <cell r="M88">
            <v>314.43792309809805</v>
          </cell>
          <cell r="O88">
            <v>327.87184567236091</v>
          </cell>
          <cell r="Q88">
            <v>260.63663565258025</v>
          </cell>
          <cell r="S88">
            <v>268.0361842383756</v>
          </cell>
          <cell r="U88">
            <v>324.34292488486733</v>
          </cell>
        </row>
        <row r="89">
          <cell r="C89" t="str">
            <v>Namibia</v>
          </cell>
          <cell r="D89">
            <v>1848.6999946236599</v>
          </cell>
          <cell r="E89">
            <v>5.6781018765877725E-3</v>
          </cell>
          <cell r="F89">
            <v>262.09076978280808</v>
          </cell>
          <cell r="G89">
            <v>219.20078449145279</v>
          </cell>
          <cell r="I89">
            <v>275.73104194429175</v>
          </cell>
          <cell r="K89">
            <v>215.35281697887129</v>
          </cell>
          <cell r="M89">
            <v>274.65869073567075</v>
          </cell>
          <cell r="O89">
            <v>286.39310097899329</v>
          </cell>
          <cell r="Q89">
            <v>227.66375124464349</v>
          </cell>
          <cell r="S89">
            <v>234.12719021722404</v>
          </cell>
          <cell r="U89">
            <v>283.31062048919409</v>
          </cell>
        </row>
        <row r="90">
          <cell r="C90" t="str">
            <v>Belarus</v>
          </cell>
          <cell r="D90">
            <v>1646.16002514958</v>
          </cell>
          <cell r="E90">
            <v>5.0560200979869576E-3</v>
          </cell>
          <cell r="F90">
            <v>233.37661569310987</v>
          </cell>
          <cell r="G90">
            <v>195.18557362505632</v>
          </cell>
          <cell r="I90">
            <v>245.52248621276982</v>
          </cell>
          <cell r="K90">
            <v>191.7591819359194</v>
          </cell>
          <cell r="M90">
            <v>244.56761971323695</v>
          </cell>
          <cell r="O90">
            <v>255.01643083318055</v>
          </cell>
          <cell r="Q90">
            <v>202.7213542296906</v>
          </cell>
          <cell r="S90">
            <v>208.47667142155433</v>
          </cell>
          <cell r="U90">
            <v>252.27166090005579</v>
          </cell>
        </row>
        <row r="91">
          <cell r="C91" t="str">
            <v>Mozambique</v>
          </cell>
          <cell r="D91">
            <v>1090.43000340462</v>
          </cell>
          <cell r="E91">
            <v>3.3491494924138862E-3</v>
          </cell>
          <cell r="F91">
            <v>154.59059870055637</v>
          </cell>
          <cell r="G91">
            <v>129.29253684991124</v>
          </cell>
          <cell r="I91">
            <v>162.6361236979827</v>
          </cell>
          <cell r="K91">
            <v>127.02286668165915</v>
          </cell>
          <cell r="M91">
            <v>162.00361223832556</v>
          </cell>
          <cell r="O91">
            <v>168.92499106603645</v>
          </cell>
          <cell r="Q91">
            <v>134.28430019298062</v>
          </cell>
          <cell r="S91">
            <v>138.09666985889351</v>
          </cell>
          <cell r="U91">
            <v>167.10683278142486</v>
          </cell>
        </row>
        <row r="92">
          <cell r="C92" t="str">
            <v>Botswana</v>
          </cell>
          <cell r="D92">
            <v>1089.37000000477</v>
          </cell>
          <cell r="E92">
            <v>3.3458937952691994E-3</v>
          </cell>
          <cell r="F92">
            <v>154.44032169084844</v>
          </cell>
          <cell r="G92">
            <v>129.16685200245817</v>
          </cell>
          <cell r="I92">
            <v>162.47802566003432</v>
          </cell>
          <cell r="K92">
            <v>126.89938817306999</v>
          </cell>
          <cell r="M92">
            <v>161.84612906267517</v>
          </cell>
          <cell r="O92">
            <v>168.76077964091922</v>
          </cell>
          <cell r="Q92">
            <v>134.15376286889136</v>
          </cell>
          <cell r="S92">
            <v>137.96242654286095</v>
          </cell>
          <cell r="U92">
            <v>166.94438878196277</v>
          </cell>
        </row>
        <row r="93">
          <cell r="C93" t="str">
            <v>Ghana</v>
          </cell>
          <cell r="D93">
            <v>957.34999561309803</v>
          </cell>
          <cell r="E93">
            <v>2.9404072172070413E-3</v>
          </cell>
          <cell r="F93">
            <v>135.72380485287076</v>
          </cell>
          <cell r="G93">
            <v>113.51320965087122</v>
          </cell>
          <cell r="I93">
            <v>142.7874249815743</v>
          </cell>
          <cell r="K93">
            <v>111.52053821039816</v>
          </cell>
          <cell r="M93">
            <v>142.2321075001795</v>
          </cell>
          <cell r="O93">
            <v>148.30877630941703</v>
          </cell>
          <cell r="Q93">
            <v>117.89576020401829</v>
          </cell>
          <cell r="S93">
            <v>121.24285453519188</v>
          </cell>
          <cell r="U93">
            <v>146.71251261494589</v>
          </cell>
        </row>
        <row r="94">
          <cell r="C94" t="str">
            <v>Bermuda</v>
          </cell>
          <cell r="D94">
            <v>786.47000175714504</v>
          </cell>
          <cell r="E94">
            <v>2.4155659684341095E-3</v>
          </cell>
          <cell r="F94">
            <v>111.49809529456822</v>
          </cell>
          <cell r="G94">
            <v>93.251929391201685</v>
          </cell>
          <cell r="I94">
            <v>117.30091073352959</v>
          </cell>
          <cell r="K94">
            <v>91.614935273615018</v>
          </cell>
          <cell r="M94">
            <v>116.84471337355711</v>
          </cell>
          <cell r="O94">
            <v>121.83674110738295</v>
          </cell>
          <cell r="Q94">
            <v>96.852226625262901</v>
          </cell>
          <cell r="S94">
            <v>99.601889023113131</v>
          </cell>
          <cell r="U94">
            <v>120.52539884347914</v>
          </cell>
        </row>
        <row r="95">
          <cell r="C95" t="str">
            <v>Mauritius</v>
          </cell>
          <cell r="D95">
            <v>698.27000445127499</v>
          </cell>
          <cell r="E95">
            <v>2.1446682718505991E-3</v>
          </cell>
          <cell r="F95">
            <v>98.993954408559873</v>
          </cell>
          <cell r="G95">
            <v>82.794035380374638</v>
          </cell>
          <cell r="I95">
            <v>104.14600337843869</v>
          </cell>
          <cell r="K95">
            <v>81.340624713445067</v>
          </cell>
          <cell r="M95">
            <v>103.7409670364715</v>
          </cell>
          <cell r="O95">
            <v>108.17315544814831</v>
          </cell>
          <cell r="Q95">
            <v>85.990571243201018</v>
          </cell>
          <cell r="S95">
            <v>88.431868140090501</v>
          </cell>
          <cell r="U95">
            <v>107.00887586163203</v>
          </cell>
        </row>
        <row r="96">
          <cell r="C96" t="str">
            <v>Cayman Islands</v>
          </cell>
          <cell r="D96">
            <v>639.88999843597401</v>
          </cell>
          <cell r="E96">
            <v>1.9653597725404304E-3</v>
          </cell>
          <cell r="F96">
            <v>90.717402906978919</v>
          </cell>
          <cell r="G96">
            <v>75.871904610436076</v>
          </cell>
          <cell r="I96">
            <v>95.438706394543885</v>
          </cell>
          <cell r="K96">
            <v>74.540008719935628</v>
          </cell>
          <cell r="M96">
            <v>95.0675337785419</v>
          </cell>
          <cell r="O96">
            <v>99.129161827486271</v>
          </cell>
          <cell r="Q96">
            <v>78.801188863268735</v>
          </cell>
          <cell r="S96">
            <v>81.03837713939977</v>
          </cell>
          <cell r="U96">
            <v>98.062223740434433</v>
          </cell>
        </row>
        <row r="97">
          <cell r="C97" t="str">
            <v>Armenia</v>
          </cell>
          <cell r="D97">
            <v>616.56001031398796</v>
          </cell>
          <cell r="E97">
            <v>1.8937039875447765E-3</v>
          </cell>
          <cell r="F97">
            <v>87.409903278214188</v>
          </cell>
          <cell r="G97">
            <v>73.105662541204794</v>
          </cell>
          <cell r="I97">
            <v>91.95907100095333</v>
          </cell>
          <cell r="K97">
            <v>71.822326739752526</v>
          </cell>
          <cell r="M97">
            <v>91.601431105799776</v>
          </cell>
          <cell r="O97">
            <v>95.514974742783636</v>
          </cell>
          <cell r="Q97">
            <v>75.928146926885987</v>
          </cell>
          <cell r="S97">
            <v>78.083768721221176</v>
          </cell>
          <cell r="U97">
            <v>94.486936549398905</v>
          </cell>
        </row>
        <row r="98">
          <cell r="C98" t="str">
            <v>Bahamas</v>
          </cell>
          <cell r="D98">
            <v>612.44000363349903</v>
          </cell>
          <cell r="E98">
            <v>1.8810497885227222E-3</v>
          </cell>
          <cell r="F98">
            <v>86.825808657377962</v>
          </cell>
          <cell r="G98">
            <v>72.617152399429713</v>
          </cell>
          <cell r="I98">
            <v>91.344577714788784</v>
          </cell>
          <cell r="K98">
            <v>71.342392165621874</v>
          </cell>
          <cell r="M98">
            <v>90.989327657984447</v>
          </cell>
          <cell r="O98">
            <v>94.876720027193841</v>
          </cell>
          <cell r="Q98">
            <v>75.420776245455315</v>
          </cell>
          <cell r="S98">
            <v>77.561993641119315</v>
          </cell>
          <cell r="U98">
            <v>93.855551439611773</v>
          </cell>
        </row>
        <row r="99">
          <cell r="C99" t="str">
            <v>Barbados</v>
          </cell>
          <cell r="D99">
            <v>564.07000488042797</v>
          </cell>
          <cell r="E99">
            <v>1.7324860510374135E-3</v>
          </cell>
          <cell r="F99">
            <v>79.968378980062155</v>
          </cell>
          <cell r="G99">
            <v>66.881910497899781</v>
          </cell>
          <cell r="I99">
            <v>84.130259440425718</v>
          </cell>
          <cell r="K99">
            <v>65.707829760130622</v>
          </cell>
          <cell r="M99">
            <v>83.803066735692937</v>
          </cell>
          <cell r="O99">
            <v>87.383436110101556</v>
          </cell>
          <cell r="Q99">
            <v>69.464106479756182</v>
          </cell>
          <cell r="S99">
            <v>71.436212318134807</v>
          </cell>
          <cell r="U99">
            <v>86.442918562645829</v>
          </cell>
        </row>
        <row r="100">
          <cell r="C100" t="str">
            <v>Moldova</v>
          </cell>
          <cell r="D100">
            <v>541.86000418663002</v>
          </cell>
          <cell r="E100">
            <v>1.6642701982840075E-3</v>
          </cell>
          <cell r="F100">
            <v>76.819660315247518</v>
          </cell>
          <cell r="G100">
            <v>64.248465596188026</v>
          </cell>
          <cell r="I100">
            <v>80.817668619473707</v>
          </cell>
          <cell r="K100">
            <v>63.120613755142337</v>
          </cell>
          <cell r="M100">
            <v>80.503358979141183</v>
          </cell>
          <cell r="O100">
            <v>83.942752932765757</v>
          </cell>
          <cell r="Q100">
            <v>66.728988782022043</v>
          </cell>
          <cell r="S100">
            <v>68.623443847163898</v>
          </cell>
          <cell r="U100">
            <v>83.039267837312067</v>
          </cell>
        </row>
        <row r="101">
          <cell r="C101" t="str">
            <v>Papua New Guinea</v>
          </cell>
          <cell r="D101">
            <v>452.98000097274797</v>
          </cell>
          <cell r="E101">
            <v>1.391283929821013E-3</v>
          </cell>
          <cell r="F101">
            <v>64.219114781429369</v>
          </cell>
          <cell r="G101">
            <v>53.70994312810533</v>
          </cell>
          <cell r="I101">
            <v>67.561339325674709</v>
          </cell>
          <cell r="K101">
            <v>52.767090132669956</v>
          </cell>
          <cell r="M101">
            <v>67.298585145474064</v>
          </cell>
          <cell r="O101">
            <v>70.173823517786033</v>
          </cell>
          <cell r="Q101">
            <v>55.783592016103</v>
          </cell>
          <cell r="S101">
            <v>57.367304138460014</v>
          </cell>
          <cell r="U101">
            <v>69.418534926165762</v>
          </cell>
        </row>
        <row r="102">
          <cell r="C102" t="str">
            <v>Zimbabwe</v>
          </cell>
          <cell r="D102">
            <v>353.05000030994398</v>
          </cell>
          <cell r="E102">
            <v>1.0843586710223875E-3</v>
          </cell>
          <cell r="F102">
            <v>50.05200769305484</v>
          </cell>
          <cell r="G102">
            <v>41.861219915458179</v>
          </cell>
          <cell r="I102">
            <v>52.656918227400276</v>
          </cell>
          <cell r="K102">
            <v>41.126365728483343</v>
          </cell>
          <cell r="M102">
            <v>52.452129134720536</v>
          </cell>
          <cell r="O102">
            <v>54.693073339886396</v>
          </cell>
          <cell r="Q102">
            <v>43.477409899515195</v>
          </cell>
          <cell r="S102">
            <v>44.711745994018941</v>
          </cell>
          <cell r="U102">
            <v>54.104405767514521</v>
          </cell>
        </row>
        <row r="103">
          <cell r="C103" t="str">
            <v>Uganda</v>
          </cell>
          <cell r="D103">
            <v>351.33999824523897</v>
          </cell>
          <cell r="E103">
            <v>1.0791065663213501E-3</v>
          </cell>
          <cell r="F103">
            <v>49.809580171676508</v>
          </cell>
          <cell r="G103">
            <v>41.658464576487319</v>
          </cell>
          <cell r="I103">
            <v>52.401873789471338</v>
          </cell>
          <cell r="K103">
            <v>40.927169664900894</v>
          </cell>
          <cell r="M103">
            <v>52.198076595307406</v>
          </cell>
          <cell r="O103">
            <v>54.428166759361922</v>
          </cell>
          <cell r="Q103">
            <v>43.266826524268261</v>
          </cell>
          <cell r="S103">
            <v>44.495184096556208</v>
          </cell>
          <cell r="U103">
            <v>53.84235040569363</v>
          </cell>
        </row>
        <row r="104">
          <cell r="C104" t="str">
            <v>Burkina Faso</v>
          </cell>
          <cell r="D104">
            <v>318.84999841451599</v>
          </cell>
          <cell r="E104">
            <v>9.7931669801082453E-4</v>
          </cell>
          <cell r="F104">
            <v>45.203462851050375</v>
          </cell>
          <cell r="G104">
            <v>37.806117807550677</v>
          </cell>
          <cell r="I104">
            <v>47.556035345079081</v>
          </cell>
          <cell r="K104">
            <v>37.142449046338022</v>
          </cell>
          <cell r="M104">
            <v>47.371084199861912</v>
          </cell>
          <cell r="O104">
            <v>49.394947832879531</v>
          </cell>
          <cell r="Q104">
            <v>39.265747246445265</v>
          </cell>
          <cell r="S104">
            <v>40.380513034378936</v>
          </cell>
          <cell r="U104">
            <v>48.863304568886697</v>
          </cell>
        </row>
        <row r="105">
          <cell r="C105" t="str">
            <v>Virgin Islands, British</v>
          </cell>
          <cell r="D105">
            <v>248.88000035285901</v>
          </cell>
          <cell r="E105">
            <v>7.6441066758179581E-4</v>
          </cell>
          <cell r="F105">
            <v>35.283794593889787</v>
          </cell>
          <cell r="G105">
            <v>29.509759009160081</v>
          </cell>
          <cell r="I105">
            <v>37.120107110921097</v>
          </cell>
          <cell r="K105">
            <v>28.991728956326099</v>
          </cell>
          <cell r="M105">
            <v>36.975742546656406</v>
          </cell>
          <cell r="O105">
            <v>38.555479677608922</v>
          </cell>
          <cell r="Q105">
            <v>30.649080248217643</v>
          </cell>
          <cell r="S105">
            <v>31.519216397108579</v>
          </cell>
          <cell r="U105">
            <v>38.140502803253987</v>
          </cell>
        </row>
        <row r="106">
          <cell r="C106" t="str">
            <v>Uzbekistan</v>
          </cell>
          <cell r="D106">
            <v>203.340003490448</v>
          </cell>
          <cell r="E106">
            <v>6.2453900511830532E-4</v>
          </cell>
          <cell r="F106">
            <v>28.827575159537645</v>
          </cell>
          <cell r="G106">
            <v>24.110071084126623</v>
          </cell>
          <cell r="I106">
            <v>30.327879696235268</v>
          </cell>
          <cell r="K106">
            <v>23.686830033812921</v>
          </cell>
          <cell r="M106">
            <v>30.209930921886745</v>
          </cell>
          <cell r="O106">
            <v>31.500608169019692</v>
          </cell>
          <cell r="Q106">
            <v>25.040919623174549</v>
          </cell>
          <cell r="S106">
            <v>25.751838488900177</v>
          </cell>
          <cell r="U106">
            <v>31.161563653750679</v>
          </cell>
        </row>
        <row r="107">
          <cell r="C107" t="str">
            <v>Antigua and Barbuda</v>
          </cell>
          <cell r="D107">
            <v>182.39000070095099</v>
          </cell>
          <cell r="E107">
            <v>5.6019311314042504E-4</v>
          </cell>
          <cell r="F107">
            <v>25.857486787157356</v>
          </cell>
          <cell r="G107">
            <v>21.626024424359791</v>
          </cell>
          <cell r="I107">
            <v>27.203215816382897</v>
          </cell>
          <cell r="K107">
            <v>21.246389654327864</v>
          </cell>
          <cell r="M107">
            <v>27.09741923594213</v>
          </cell>
          <cell r="O107">
            <v>28.255118753835266</v>
          </cell>
          <cell r="Q107">
            <v>22.460968177556914</v>
          </cell>
          <cell r="S107">
            <v>23.098641484295634</v>
          </cell>
          <cell r="U107">
            <v>27.951005798607181</v>
          </cell>
        </row>
        <row r="108">
          <cell r="C108" t="str">
            <v>Saint Kitts and Nevis</v>
          </cell>
          <cell r="D108">
            <v>152.070000588894</v>
          </cell>
          <cell r="E108">
            <v>4.6706818749803653E-4</v>
          </cell>
          <cell r="F108">
            <v>21.559010997524684</v>
          </cell>
          <cell r="G108">
            <v>18.030975022254506</v>
          </cell>
          <cell r="I108">
            <v>22.681029822462126</v>
          </cell>
          <cell r="K108">
            <v>17.71444966735319</v>
          </cell>
          <cell r="M108">
            <v>22.592820567634007</v>
          </cell>
          <cell r="O108">
            <v>23.558067377717787</v>
          </cell>
          <cell r="Q108">
            <v>18.727120077095321</v>
          </cell>
          <cell r="S108">
            <v>19.258788368989642</v>
          </cell>
          <cell r="U108">
            <v>23.304509303794365</v>
          </cell>
        </row>
        <row r="109">
          <cell r="C109" t="str">
            <v>Fiji</v>
          </cell>
          <cell r="D109">
            <v>112.240000247955</v>
          </cell>
          <cell r="E109">
            <v>3.4473422290773721E-4</v>
          </cell>
          <cell r="F109">
            <v>15.912299535327005</v>
          </cell>
          <cell r="G109">
            <v>13.308322700937232</v>
          </cell>
          <cell r="I109">
            <v>16.740440475035701</v>
          </cell>
          <cell r="K109">
            <v>13.074701304376244</v>
          </cell>
          <cell r="M109">
            <v>16.675334887178533</v>
          </cell>
          <cell r="O109">
            <v>17.387765358564046</v>
          </cell>
          <cell r="Q109">
            <v>13.822134240526665</v>
          </cell>
          <cell r="S109">
            <v>14.214548582493904</v>
          </cell>
          <cell r="U109">
            <v>17.200618924883329</v>
          </cell>
        </row>
        <row r="110">
          <cell r="C110" t="str">
            <v>Kyrgyzstan</v>
          </cell>
          <cell r="D110">
            <v>90.000000834464998</v>
          </cell>
          <cell r="E110">
            <v>2.7642623201019E-4</v>
          </cell>
          <cell r="F110">
            <v>12.759327942747221</v>
          </cell>
          <cell r="G110">
            <v>10.671320844116831</v>
          </cell>
          <cell r="I110">
            <v>13.423375386619135</v>
          </cell>
          <cell r="K110">
            <v>10.483990784966897</v>
          </cell>
          <cell r="M110">
            <v>13.371170264126896</v>
          </cell>
          <cell r="O110">
            <v>13.942434901311024</v>
          </cell>
          <cell r="Q110">
            <v>11.08332225974093</v>
          </cell>
          <cell r="S110">
            <v>11.397980946719604</v>
          </cell>
          <cell r="U110">
            <v>13.792370938817951</v>
          </cell>
        </row>
        <row r="111">
          <cell r="C111" t="str">
            <v>Dominica</v>
          </cell>
          <cell r="D111">
            <v>83.569999575614801</v>
          </cell>
          <cell r="E111">
            <v>2.5667710975102567E-4</v>
          </cell>
          <cell r="F111">
            <v>11.847744676377634</v>
          </cell>
          <cell r="G111">
            <v>9.9089141127272313</v>
          </cell>
          <cell r="I111">
            <v>12.464349610689062</v>
          </cell>
          <cell r="K111">
            <v>9.7349677480771462</v>
          </cell>
          <cell r="M111">
            <v>12.415874254866058</v>
          </cell>
          <cell r="O111">
            <v>12.946325199803821</v>
          </cell>
          <cell r="Q111">
            <v>10.291480310611904</v>
          </cell>
          <cell r="S111">
            <v>10.583658378317004</v>
          </cell>
          <cell r="U111">
            <v>12.806982475741771</v>
          </cell>
        </row>
        <row r="112">
          <cell r="C112" t="str">
            <v>Turkmenistan</v>
          </cell>
          <cell r="D112">
            <v>79.800001263618498</v>
          </cell>
          <cell r="E112">
            <v>2.450979273242758E-4</v>
          </cell>
          <cell r="F112">
            <v>11.313270850151364</v>
          </cell>
          <cell r="G112">
            <v>9.4619045438819267</v>
          </cell>
          <cell r="I112">
            <v>11.902059587582004</v>
          </cell>
          <cell r="K112">
            <v>9.2958052236788795</v>
          </cell>
          <cell r="M112">
            <v>11.855771045335093</v>
          </cell>
          <cell r="O112">
            <v>12.36229236029598</v>
          </cell>
          <cell r="Q112">
            <v>9.8272124681328048</v>
          </cell>
          <cell r="S112">
            <v>10.106209839084951</v>
          </cell>
          <cell r="U112">
            <v>12.229235646012205</v>
          </cell>
        </row>
        <row r="113">
          <cell r="C113" t="str">
            <v>Niger</v>
          </cell>
          <cell r="D113">
            <v>70.149999499320998</v>
          </cell>
          <cell r="E113">
            <v>2.1545888730356799E-4</v>
          </cell>
          <cell r="F113">
            <v>9.9451871166275509</v>
          </cell>
          <cell r="G113">
            <v>8.3177016103450949</v>
          </cell>
          <cell r="I113">
            <v>10.462775199107893</v>
          </cell>
          <cell r="K113">
            <v>8.1716882388591792</v>
          </cell>
          <cell r="M113">
            <v>10.422084207077479</v>
          </cell>
          <cell r="O113">
            <v>10.867353247531756</v>
          </cell>
          <cell r="Q113">
            <v>8.638833819587056</v>
          </cell>
          <cell r="S113">
            <v>8.8840927810242896</v>
          </cell>
          <cell r="U113">
            <v>10.750386727574526</v>
          </cell>
        </row>
        <row r="114">
          <cell r="C114" t="str">
            <v>Cape Verde</v>
          </cell>
          <cell r="D114">
            <v>47.5799995660782</v>
          </cell>
          <cell r="E114">
            <v>1.4613733196834427E-4</v>
          </cell>
          <cell r="F114">
            <v>6.7454312483392895</v>
          </cell>
          <cell r="G114">
            <v>5.6415715158318456</v>
          </cell>
          <cell r="I114">
            <v>7.0964909905429989</v>
          </cell>
          <cell r="K114">
            <v>5.5425363597160029</v>
          </cell>
          <cell r="M114">
            <v>7.0688918829596954</v>
          </cell>
          <cell r="O114">
            <v>7.3709004489299295</v>
          </cell>
          <cell r="Q114">
            <v>5.8593829268858704</v>
          </cell>
          <cell r="S114">
            <v>6.0257324830091497</v>
          </cell>
          <cell r="U114">
            <v>7.291566635551006</v>
          </cell>
        </row>
        <row r="115">
          <cell r="C115" t="str">
            <v>Grenada</v>
          </cell>
          <cell r="D115">
            <v>46.360000371932998</v>
          </cell>
          <cell r="E115">
            <v>1.423902233331643E-4</v>
          </cell>
          <cell r="F115">
            <v>6.5724715854097644</v>
          </cell>
          <cell r="G115">
            <v>5.4969159301698731</v>
          </cell>
          <cell r="I115">
            <v>6.9145298016258456</v>
          </cell>
          <cell r="K115">
            <v>5.4004201353771766</v>
          </cell>
          <cell r="M115">
            <v>6.8876383630067677</v>
          </cell>
          <cell r="O115">
            <v>7.1819031246375982</v>
          </cell>
          <cell r="Q115">
            <v>5.7091424368862578</v>
          </cell>
          <cell r="S115">
            <v>5.8712266225541434</v>
          </cell>
          <cell r="U115">
            <v>7.1046035102766112</v>
          </cell>
        </row>
        <row r="116">
          <cell r="C116" t="str">
            <v>Anguilla</v>
          </cell>
          <cell r="D116">
            <v>42.090000510215802</v>
          </cell>
          <cell r="E116">
            <v>1.2927533487189097E-4</v>
          </cell>
          <cell r="F116">
            <v>5.9671123848988321</v>
          </cell>
          <cell r="G116">
            <v>4.9906210623228375</v>
          </cell>
          <cell r="I116">
            <v>6.2776652403680639</v>
          </cell>
          <cell r="K116">
            <v>4.9030130377440191</v>
          </cell>
          <cell r="M116">
            <v>6.253250644679607</v>
          </cell>
          <cell r="O116">
            <v>6.5204120740975107</v>
          </cell>
          <cell r="Q116">
            <v>5.1833003915788796</v>
          </cell>
          <cell r="S116">
            <v>5.330455771275326</v>
          </cell>
          <cell r="U116">
            <v>6.4502321607715576</v>
          </cell>
        </row>
        <row r="117">
          <cell r="C117" t="str">
            <v>Tajikistan</v>
          </cell>
          <cell r="D117">
            <v>41.580000996589703</v>
          </cell>
          <cell r="E117">
            <v>1.2770892106554014E-4</v>
          </cell>
          <cell r="F117">
            <v>5.8948095961803562</v>
          </cell>
          <cell r="G117">
            <v>4.9301503024363162</v>
          </cell>
          <cell r="I117">
            <v>6.201599519757818</v>
          </cell>
          <cell r="K117">
            <v>4.8436038138371451</v>
          </cell>
          <cell r="M117">
            <v>6.1774807528119497</v>
          </cell>
          <cell r="O117">
            <v>6.4414050190696939</v>
          </cell>
          <cell r="Q117">
            <v>5.1204949592519879</v>
          </cell>
          <cell r="S117">
            <v>5.2658672747725515</v>
          </cell>
          <cell r="U117">
            <v>6.3720754673790143</v>
          </cell>
        </row>
        <row r="118">
          <cell r="C118" t="str">
            <v>Swaziland</v>
          </cell>
          <cell r="D118">
            <v>15.8599998950958</v>
          </cell>
          <cell r="E118">
            <v>4.8712444111494566E-5</v>
          </cell>
          <cell r="F118">
            <v>2.2484770884132046</v>
          </cell>
          <cell r="G118">
            <v>1.8805238433221692</v>
          </cell>
          <cell r="I118">
            <v>2.365497002774295</v>
          </cell>
          <cell r="K118">
            <v>1.8475121245341792</v>
          </cell>
          <cell r="M118">
            <v>2.3562973002234777</v>
          </cell>
          <cell r="O118">
            <v>2.4569668224657781</v>
          </cell>
          <cell r="Q118">
            <v>1.9531276471887491</v>
          </cell>
          <cell r="S118">
            <v>2.0085774993687693</v>
          </cell>
          <cell r="U118">
            <v>2.4305222179398815</v>
          </cell>
        </row>
        <row r="119">
          <cell r="C119" t="str">
            <v>Nepal</v>
          </cell>
          <cell r="D119">
            <v>6.2000000476837203</v>
          </cell>
          <cell r="E119">
            <v>1.90426959528194E-5</v>
          </cell>
          <cell r="F119">
            <v>0.87897592355522625</v>
          </cell>
          <cell r="G119">
            <v>0.73513543476586496</v>
          </cell>
          <cell r="I119">
            <v>0.92472141406074959</v>
          </cell>
          <cell r="K119">
            <v>0.72223047515593775</v>
          </cell>
          <cell r="M119">
            <v>0.92112506118363635</v>
          </cell>
          <cell r="O119">
            <v>0.96047884723855048</v>
          </cell>
          <cell r="Q119">
            <v>0.76351775446398851</v>
          </cell>
          <cell r="S119">
            <v>0.78519424175491748</v>
          </cell>
          <cell r="U119">
            <v>0.95014110761648174</v>
          </cell>
        </row>
        <row r="120">
          <cell r="C120" t="str">
            <v>Gambia</v>
          </cell>
          <cell r="D120">
            <v>1.2200000286102299</v>
          </cell>
          <cell r="E120">
            <v>3.7471111981579634E-6</v>
          </cell>
          <cell r="F120">
            <v>0.17295978123188926</v>
          </cell>
          <cell r="G120">
            <v>0.14465568460468189</v>
          </cell>
          <cell r="I120">
            <v>0.18196131337645391</v>
          </cell>
          <cell r="K120">
            <v>0.1421163215446434</v>
          </cell>
          <cell r="M120">
            <v>0.18125364392819163</v>
          </cell>
          <cell r="O120">
            <v>0.1889974535642662</v>
          </cell>
          <cell r="Q120">
            <v>0.15024059276233129</v>
          </cell>
          <cell r="S120">
            <v>0.15450596613518836</v>
          </cell>
          <cell r="U120">
            <v>0.18696325315496123</v>
          </cell>
        </row>
        <row r="121">
          <cell r="D121">
            <v>325584.1537902499</v>
          </cell>
          <cell r="F121">
            <v>46158.166140603003</v>
          </cell>
          <cell r="G121">
            <v>38604.588162687287</v>
          </cell>
          <cell r="H121">
            <v>9.6777077551454989E-3</v>
          </cell>
          <cell r="I121">
            <v>48560.425285992045</v>
          </cell>
          <cell r="K121">
            <v>37926.902626883915</v>
          </cell>
          <cell r="M121">
            <v>48371.567947408075</v>
          </cell>
          <cell r="O121">
            <v>50438.17585589004</v>
          </cell>
          <cell r="Q121">
            <v>40095.045174049767</v>
          </cell>
          <cell r="S121">
            <v>41233.354967192245</v>
          </cell>
          <cell r="U121">
            <v>49895.304213782132</v>
          </cell>
        </row>
        <row r="122">
          <cell r="I122">
            <v>0</v>
          </cell>
          <cell r="U122">
            <v>0</v>
          </cell>
        </row>
        <row r="123">
          <cell r="F123">
            <v>0.56000000000000005</v>
          </cell>
          <cell r="G123">
            <v>3989021.8985132901</v>
          </cell>
          <cell r="H123" t="str">
            <v>ORCH Oct Plan</v>
          </cell>
          <cell r="I123">
            <v>5017761.0767563386</v>
          </cell>
          <cell r="J123" t="str">
            <v>ORCH Nov Plan</v>
          </cell>
          <cell r="K123">
            <v>3918996.4800000004</v>
          </cell>
          <cell r="L123" t="str">
            <v>ORCH Nov Plan</v>
          </cell>
          <cell r="M123">
            <v>4998246.4000000004</v>
          </cell>
          <cell r="N123" t="str">
            <v>ORCH Nov Plan</v>
          </cell>
          <cell r="O123">
            <v>5211789.5200000005</v>
          </cell>
          <cell r="P123">
            <v>5211789.5200000014</v>
          </cell>
          <cell r="Q123">
            <v>4143031.2</v>
          </cell>
          <cell r="R123">
            <v>4143031.2</v>
          </cell>
          <cell r="S123">
            <v>4260653.04</v>
          </cell>
          <cell r="T123">
            <v>4260653.040000001</v>
          </cell>
          <cell r="U123">
            <v>5155694.4553583479</v>
          </cell>
        </row>
        <row r="124">
          <cell r="F124">
            <v>0.41</v>
          </cell>
          <cell r="G124">
            <v>2920000</v>
          </cell>
          <cell r="H124" t="str">
            <v>IODA Oct Plan</v>
          </cell>
          <cell r="I124">
            <v>3673717.9311966044</v>
          </cell>
          <cell r="J124" t="str">
            <v>IODA Nov Plan</v>
          </cell>
          <cell r="K124">
            <v>2869265.28</v>
          </cell>
          <cell r="L124" t="str">
            <v>IODA Nov Plan</v>
          </cell>
          <cell r="M124">
            <v>3659430.4</v>
          </cell>
          <cell r="N124" t="str">
            <v>IODA Nov Plan</v>
          </cell>
          <cell r="O124">
            <v>3815774.4699999997</v>
          </cell>
          <cell r="Q124">
            <v>3033290.6999999997</v>
          </cell>
          <cell r="S124">
            <v>3119406.69</v>
          </cell>
          <cell r="U124">
            <v>3774704.8691016473</v>
          </cell>
        </row>
        <row r="125">
          <cell r="F125">
            <v>0.03</v>
          </cell>
          <cell r="G125">
            <v>230942.7173019374</v>
          </cell>
          <cell r="H125" t="str">
            <v>IRIS Oct Plan</v>
          </cell>
          <cell r="I125">
            <v>268808.62911194668</v>
          </cell>
          <cell r="J125" t="str">
            <v>IRIS Nov Plan</v>
          </cell>
          <cell r="K125">
            <v>209946.23999999999</v>
          </cell>
          <cell r="L125" t="str">
            <v>IRIS Nov Plan</v>
          </cell>
          <cell r="M125">
            <v>267763.20000000001</v>
          </cell>
          <cell r="N125" t="str">
            <v>IRIS Nov Plan</v>
          </cell>
          <cell r="O125">
            <v>279203.01</v>
          </cell>
          <cell r="Q125">
            <v>221948.1</v>
          </cell>
          <cell r="S125">
            <v>228249.27</v>
          </cell>
          <cell r="U125">
            <v>276197.91725134006</v>
          </cell>
        </row>
        <row r="126">
          <cell r="G126">
            <v>7139964.6158152279</v>
          </cell>
          <cell r="I126">
            <v>8960287.6370648891</v>
          </cell>
          <cell r="K126">
            <v>6998208</v>
          </cell>
          <cell r="M126">
            <v>8925440</v>
          </cell>
          <cell r="O126">
            <v>9306767</v>
          </cell>
          <cell r="Q126">
            <v>7398270</v>
          </cell>
          <cell r="S126">
            <v>7608309</v>
          </cell>
          <cell r="U126">
            <v>9206597.2417113353</v>
          </cell>
        </row>
        <row r="128">
          <cell r="I128">
            <v>0</v>
          </cell>
          <cell r="Q128">
            <v>0</v>
          </cell>
        </row>
      </sheetData>
      <sheetData sheetId="1">
        <row r="1">
          <cell r="D1" t="str">
            <v>Country</v>
          </cell>
          <cell r="E1" t="str">
            <v>royaltyDollar</v>
          </cell>
          <cell r="F1" t="str">
            <v>% of Total</v>
          </cell>
          <cell r="G1" t="str">
            <v>July Plan</v>
          </cell>
          <cell r="H1" t="str">
            <v>Aug Plan</v>
          </cell>
          <cell r="J1" t="str">
            <v>Sep Plan</v>
          </cell>
          <cell r="K1" t="str">
            <v>Nov Plan</v>
          </cell>
          <cell r="L1" t="str">
            <v>Dec Plan</v>
          </cell>
          <cell r="M1" t="str">
            <v>Jan Plan</v>
          </cell>
          <cell r="N1" t="str">
            <v>Feb Plan</v>
          </cell>
          <cell r="O1" t="str">
            <v>Mar Plan</v>
          </cell>
          <cell r="P1" t="str">
            <v>Apr Plan</v>
          </cell>
        </row>
        <row r="2">
          <cell r="D2" t="str">
            <v>United States</v>
          </cell>
          <cell r="E2">
            <v>10667227.291823201</v>
          </cell>
          <cell r="F2">
            <v>0.8507445350941939</v>
          </cell>
          <cell r="G2">
            <v>1676668.939786871</v>
          </cell>
          <cell r="H2">
            <v>1379119.240613424</v>
          </cell>
          <cell r="J2">
            <v>1735101.0559930752</v>
          </cell>
          <cell r="K2">
            <v>1355157.1760520763</v>
          </cell>
          <cell r="L2">
            <v>1728353.0391526294</v>
          </cell>
          <cell r="M2">
            <v>1802194.5169241403</v>
          </cell>
          <cell r="N2">
            <v>1432626.5639533426</v>
          </cell>
          <cell r="O2">
            <v>1473299.2416017926</v>
          </cell>
          <cell r="P2">
            <v>1782797.2988408415</v>
          </cell>
        </row>
        <row r="3">
          <cell r="D3" t="str">
            <v>Canada</v>
          </cell>
          <cell r="E3">
            <v>1502664.0604586599</v>
          </cell>
          <cell r="F3">
            <v>0.11984212978170826</v>
          </cell>
          <cell r="G3">
            <v>236187.91352053755</v>
          </cell>
          <cell r="H3">
            <v>194272.87534646998</v>
          </cell>
          <cell r="J3">
            <v>244419.09099501694</v>
          </cell>
          <cell r="K3">
            <v>190897.40276623089</v>
          </cell>
          <cell r="L3">
            <v>243468.51573228859</v>
          </cell>
          <cell r="M3">
            <v>253870.36916457277</v>
          </cell>
          <cell r="N3">
            <v>201810.3102913379</v>
          </cell>
          <cell r="O3">
            <v>207539.76268538169</v>
          </cell>
          <cell r="P3">
            <v>251137.934419417</v>
          </cell>
        </row>
        <row r="4">
          <cell r="D4" t="str">
            <v>Mexico</v>
          </cell>
          <cell r="E4">
            <v>368804.87412661302</v>
          </cell>
          <cell r="F4">
            <v>2.9413335124097807E-2</v>
          </cell>
          <cell r="G4">
            <v>57968.547999731454</v>
          </cell>
          <cell r="H4">
            <v>47681.171875835375</v>
          </cell>
          <cell r="J4">
            <v>59988.758938603984</v>
          </cell>
          <cell r="K4">
            <v>46852.716086659893</v>
          </cell>
          <cell r="L4">
            <v>59755.455434951014</v>
          </cell>
          <cell r="M4">
            <v>62308.424090237873</v>
          </cell>
          <cell r="N4">
            <v>49531.114800024989</v>
          </cell>
          <cell r="O4">
            <v>50937.317307027639</v>
          </cell>
          <cell r="P4">
            <v>61637.791658968599</v>
          </cell>
        </row>
        <row r="5">
          <cell r="E5">
            <v>12538696.226408474</v>
          </cell>
          <cell r="F5">
            <v>0.55516208487524976</v>
          </cell>
          <cell r="G5">
            <v>1970825.40130714</v>
          </cell>
          <cell r="H5">
            <v>1621073.2878357293</v>
          </cell>
          <cell r="I5">
            <v>0.55516208487524976</v>
          </cell>
          <cell r="J5">
            <v>2039508.9059266963</v>
          </cell>
          <cell r="K5">
            <v>1592907.2949049671</v>
          </cell>
          <cell r="L5">
            <v>2031577.010319869</v>
          </cell>
          <cell r="M5">
            <v>2118373.3101789509</v>
          </cell>
          <cell r="N5">
            <v>1683967.9890447056</v>
          </cell>
          <cell r="O5">
            <v>1731776.321594202</v>
          </cell>
          <cell r="P5">
            <v>2095573.0249192272</v>
          </cell>
        </row>
        <row r="6">
          <cell r="D6" t="str">
            <v>United Kingdom</v>
          </cell>
          <cell r="E6">
            <v>2696607.19701302</v>
          </cell>
          <cell r="F6">
            <v>0.11780129409031853</v>
          </cell>
          <cell r="G6">
            <v>418194.59402063076</v>
          </cell>
          <cell r="H6">
            <v>343979.7787437301</v>
          </cell>
          <cell r="I6">
            <v>0.11780129409031853</v>
          </cell>
          <cell r="J6">
            <v>432768.72641776776</v>
          </cell>
          <cell r="K6">
            <v>338003.16307242011</v>
          </cell>
          <cell r="L6">
            <v>431085.63675345195</v>
          </cell>
          <cell r="M6">
            <v>449503.17052279931</v>
          </cell>
          <cell r="N6">
            <v>357325.56981212815</v>
          </cell>
          <cell r="O6">
            <v>367470.1448759971</v>
          </cell>
          <cell r="P6">
            <v>444665.11838920048</v>
          </cell>
        </row>
        <row r="7">
          <cell r="D7" t="str">
            <v>Germany</v>
          </cell>
          <cell r="E7">
            <v>662987.86642539501</v>
          </cell>
          <cell r="F7">
            <v>0.64252498960619753</v>
          </cell>
          <cell r="G7">
            <v>100562.82904412238</v>
          </cell>
          <cell r="H7">
            <v>82716.467833475297</v>
          </cell>
          <cell r="J7">
            <v>104067.45585105661</v>
          </cell>
          <cell r="K7">
            <v>81279.277136584744</v>
          </cell>
          <cell r="L7">
            <v>103662.72498987727</v>
          </cell>
          <cell r="M7">
            <v>108091.57061902439</v>
          </cell>
          <cell r="N7">
            <v>85925.7166493595</v>
          </cell>
          <cell r="O7">
            <v>88365.172305792017</v>
          </cell>
          <cell r="P7">
            <v>106928.16913900993</v>
          </cell>
        </row>
        <row r="8">
          <cell r="D8" t="str">
            <v>Austria</v>
          </cell>
          <cell r="E8">
            <v>83246.399868369102</v>
          </cell>
          <cell r="F8">
            <v>8.0677030333248384E-2</v>
          </cell>
          <cell r="G8">
            <v>12626.918081680284</v>
          </cell>
          <cell r="H8">
            <v>10386.084731973642</v>
          </cell>
          <cell r="J8">
            <v>13066.967710540699</v>
          </cell>
          <cell r="K8">
            <v>10205.627505681532</v>
          </cell>
          <cell r="L8">
            <v>13016.148700397327</v>
          </cell>
          <cell r="M8">
            <v>13572.245535452676</v>
          </cell>
          <cell r="N8">
            <v>10789.045968119053</v>
          </cell>
          <cell r="O8">
            <v>11095.350067063506</v>
          </cell>
          <cell r="P8">
            <v>13426.165961877801</v>
          </cell>
        </row>
        <row r="9">
          <cell r="D9" t="str">
            <v>Switzerland</v>
          </cell>
          <cell r="E9">
            <v>285613.33053159702</v>
          </cell>
          <cell r="F9">
            <v>0.27679798006055412</v>
          </cell>
          <cell r="G9">
            <v>43322.187306128406</v>
          </cell>
          <cell r="H9">
            <v>35634.024488421106</v>
          </cell>
          <cell r="J9">
            <v>44831.970795825866</v>
          </cell>
          <cell r="K9">
            <v>35014.886729896039</v>
          </cell>
          <cell r="L9">
            <v>44657.613865504332</v>
          </cell>
          <cell r="M9">
            <v>46565.548255572627</v>
          </cell>
          <cell r="N9">
            <v>37016.559960376711</v>
          </cell>
          <cell r="O9">
            <v>38067.470678357757</v>
          </cell>
          <cell r="P9">
            <v>46064.358130866603</v>
          </cell>
        </row>
        <row r="10">
          <cell r="E10">
            <v>1031847.5968253611</v>
          </cell>
          <cell r="F10">
            <v>4.4087868854065085E-2</v>
          </cell>
          <cell r="G10">
            <v>156511.93443193106</v>
          </cell>
          <cell r="H10">
            <v>128736.57705387005</v>
          </cell>
          <cell r="I10">
            <v>4.4087868854065085E-2</v>
          </cell>
          <cell r="J10">
            <v>161966.39435742318</v>
          </cell>
          <cell r="K10">
            <v>126499.79137216232</v>
          </cell>
          <cell r="L10">
            <v>161336.48755577893</v>
          </cell>
          <cell r="M10">
            <v>168229.36441004969</v>
          </cell>
          <cell r="N10">
            <v>133731.32257785526</v>
          </cell>
          <cell r="O10">
            <v>137527.99305121327</v>
          </cell>
          <cell r="P10">
            <v>166418.69323175433</v>
          </cell>
        </row>
        <row r="11">
          <cell r="D11" t="str">
            <v>France</v>
          </cell>
          <cell r="E11">
            <v>510002.45530271501</v>
          </cell>
          <cell r="F11">
            <v>0.50599104353276969</v>
          </cell>
          <cell r="G11">
            <v>78009.568237496132</v>
          </cell>
          <cell r="H11">
            <v>64165.61669112357</v>
          </cell>
          <cell r="J11">
            <v>80728.211165913963</v>
          </cell>
          <cell r="K11">
            <v>63050.745253982655</v>
          </cell>
          <cell r="L11">
            <v>80414.249436385289</v>
          </cell>
          <cell r="M11">
            <v>83849.836308833983</v>
          </cell>
          <cell r="N11">
            <v>66655.126153749967</v>
          </cell>
          <cell r="O11">
            <v>68547.484237762503</v>
          </cell>
          <cell r="P11">
            <v>82947.351285237703</v>
          </cell>
        </row>
        <row r="12">
          <cell r="D12" t="str">
            <v>Belgium</v>
          </cell>
          <cell r="E12">
            <v>181209.241331756</v>
          </cell>
          <cell r="F12">
            <v>0.17978394450045035</v>
          </cell>
          <cell r="G12">
            <v>27717.620827029124</v>
          </cell>
          <cell r="H12">
            <v>22798.719102795785</v>
          </cell>
          <cell r="J12">
            <v>28683.583279539533</v>
          </cell>
          <cell r="K12">
            <v>22402.593544563253</v>
          </cell>
          <cell r="L12">
            <v>28572.02937186015</v>
          </cell>
          <cell r="M12">
            <v>29792.729555188176</v>
          </cell>
          <cell r="N12">
            <v>23683.268022747536</v>
          </cell>
          <cell r="O12">
            <v>24355.642771469855</v>
          </cell>
          <cell r="P12">
            <v>29472.067125549314</v>
          </cell>
        </row>
        <row r="13">
          <cell r="D13" t="str">
            <v>Luxembourg</v>
          </cell>
          <cell r="E13">
            <v>23173.848926424998</v>
          </cell>
          <cell r="F13">
            <v>2.2991575587597211E-2</v>
          </cell>
          <cell r="G13">
            <v>3544.6534234396136</v>
          </cell>
          <cell r="H13">
            <v>2915.6022525193443</v>
          </cell>
          <cell r="J13">
            <v>3668.1850257936726</v>
          </cell>
          <cell r="K13">
            <v>2864.9439429601189</v>
          </cell>
          <cell r="L13">
            <v>3653.9190127321117</v>
          </cell>
          <cell r="M13">
            <v>3810.0276163828107</v>
          </cell>
          <cell r="N13">
            <v>3028.7223278993079</v>
          </cell>
          <cell r="O13">
            <v>3114.7086205095584</v>
          </cell>
          <cell r="P13">
            <v>3769.0198695029103</v>
          </cell>
        </row>
        <row r="14">
          <cell r="D14" t="str">
            <v>Netherlands</v>
          </cell>
          <cell r="E14">
            <v>293542.28601086099</v>
          </cell>
          <cell r="F14">
            <v>0.29123343637918286</v>
          </cell>
          <cell r="G14">
            <v>44899.993623683564</v>
          </cell>
          <cell r="H14">
            <v>36931.825741170709</v>
          </cell>
          <cell r="J14">
            <v>46464.763855194229</v>
          </cell>
          <cell r="K14">
            <v>36290.138810325814</v>
          </cell>
          <cell r="L14">
            <v>46284.056796144738</v>
          </cell>
          <cell r="M14">
            <v>48261.478696454797</v>
          </cell>
          <cell r="N14">
            <v>38364.71354613483</v>
          </cell>
          <cell r="O14">
            <v>39453.898729767847</v>
          </cell>
          <cell r="P14">
            <v>47742.035085620075</v>
          </cell>
        </row>
        <row r="15">
          <cell r="E15">
            <v>1007927.8315717569</v>
          </cell>
          <cell r="F15">
            <v>4.3428686228633356E-2</v>
          </cell>
          <cell r="G15">
            <v>154171.83611164842</v>
          </cell>
          <cell r="H15">
            <v>126811.76378760939</v>
          </cell>
          <cell r="I15">
            <v>4.3428686228633356E-2</v>
          </cell>
          <cell r="J15">
            <v>159544.74332644138</v>
          </cell>
          <cell r="K15">
            <v>124608.42155183182</v>
          </cell>
          <cell r="L15">
            <v>158924.25461712226</v>
          </cell>
          <cell r="M15">
            <v>165714.07217685974</v>
          </cell>
          <cell r="N15">
            <v>131731.83005053163</v>
          </cell>
          <cell r="O15">
            <v>135471.73435950975</v>
          </cell>
          <cell r="P15">
            <v>163930.47336590997</v>
          </cell>
        </row>
        <row r="16">
          <cell r="D16" t="str">
            <v>Italy</v>
          </cell>
          <cell r="E16">
            <v>195587.97646337701</v>
          </cell>
          <cell r="F16">
            <v>0.49272829802613349</v>
          </cell>
          <cell r="G16">
            <v>29479.920045411829</v>
          </cell>
          <cell r="H16">
            <v>24248.272262704944</v>
          </cell>
          <cell r="J16">
            <v>30507.298839738494</v>
          </cell>
          <cell r="K16">
            <v>23826.960857317234</v>
          </cell>
          <cell r="L16">
            <v>30388.65228274632</v>
          </cell>
          <cell r="M16">
            <v>31686.96515124611</v>
          </cell>
          <cell r="N16">
            <v>25189.061214222897</v>
          </cell>
          <cell r="O16">
            <v>25904.185862062754</v>
          </cell>
          <cell r="P16">
            <v>31345.914855251631</v>
          </cell>
        </row>
        <row r="17">
          <cell r="D17" t="str">
            <v>Portugal</v>
          </cell>
          <cell r="E17">
            <v>32757.306600034201</v>
          </cell>
          <cell r="F17">
            <v>8.2522720572127353E-2</v>
          </cell>
          <cell r="G17">
            <v>4937.3320228243647</v>
          </cell>
          <cell r="H17">
            <v>4061.1294384921539</v>
          </cell>
          <cell r="J17">
            <v>5109.3986435270626</v>
          </cell>
          <cell r="K17">
            <v>3990.5677039217235</v>
          </cell>
          <cell r="L17">
            <v>5089.5275772442183</v>
          </cell>
          <cell r="M17">
            <v>5306.9705584807516</v>
          </cell>
          <cell r="N17">
            <v>4218.6938894775585</v>
          </cell>
          <cell r="O17">
            <v>4338.4638148590302</v>
          </cell>
          <cell r="P17">
            <v>5249.851049838484</v>
          </cell>
        </row>
        <row r="18">
          <cell r="D18" t="str">
            <v>Spain</v>
          </cell>
          <cell r="E18">
            <v>168603.65866959101</v>
          </cell>
          <cell r="F18">
            <v>0.42474898140173922</v>
          </cell>
          <cell r="G18">
            <v>25412.719466802908</v>
          </cell>
          <cell r="H18">
            <v>20902.856575511127</v>
          </cell>
          <cell r="J18">
            <v>26298.355826947285</v>
          </cell>
          <cell r="K18">
            <v>20539.671446895125</v>
          </cell>
          <cell r="L18">
            <v>26196.078355912778</v>
          </cell>
          <cell r="M18">
            <v>27315.269339351704</v>
          </cell>
          <cell r="N18">
            <v>21713.849470524568</v>
          </cell>
          <cell r="O18">
            <v>22330.311863616404</v>
          </cell>
          <cell r="P18">
            <v>27021.272086888781</v>
          </cell>
        </row>
        <row r="19">
          <cell r="E19">
            <v>396948.9417330022</v>
          </cell>
          <cell r="F19">
            <v>1.6853513108461719E-2</v>
          </cell>
          <cell r="G19">
            <v>59829.971535039098</v>
          </cell>
          <cell r="H19">
            <v>49212.25827670822</v>
          </cell>
          <cell r="I19">
            <v>1.6853513108461719E-2</v>
          </cell>
          <cell r="J19">
            <v>61915.053310212839</v>
          </cell>
          <cell r="K19">
            <v>48357.200008134081</v>
          </cell>
          <cell r="L19">
            <v>61674.258215903312</v>
          </cell>
          <cell r="M19">
            <v>64309.205049078562</v>
          </cell>
          <cell r="N19">
            <v>51121.604574225021</v>
          </cell>
          <cell r="O19">
            <v>52572.961540538185</v>
          </cell>
          <cell r="P19">
            <v>63617.03799197889</v>
          </cell>
        </row>
        <row r="20">
          <cell r="D20" t="str">
            <v>Denmark</v>
          </cell>
          <cell r="E20">
            <v>89887.831220209599</v>
          </cell>
          <cell r="F20">
            <v>0.28797030525190487</v>
          </cell>
          <cell r="G20">
            <v>13616.675483156943</v>
          </cell>
          <cell r="H20">
            <v>11200.195045300923</v>
          </cell>
          <cell r="J20">
            <v>14091.218277678552</v>
          </cell>
          <cell r="K20">
            <v>11005.592730380125</v>
          </cell>
          <cell r="L20">
            <v>14036.415833802594</v>
          </cell>
          <cell r="M20">
            <v>14636.102161945122</v>
          </cell>
          <cell r="N20">
            <v>11634.742283937456</v>
          </cell>
          <cell r="O20">
            <v>11965.055943019368</v>
          </cell>
          <cell r="P20">
            <v>14478.572182323816</v>
          </cell>
        </row>
        <row r="21">
          <cell r="D21" t="str">
            <v>Finland</v>
          </cell>
          <cell r="E21">
            <v>28165.7803583145</v>
          </cell>
          <cell r="F21">
            <v>9.0233664082645562E-2</v>
          </cell>
          <cell r="G21">
            <v>4266.6986805975594</v>
          </cell>
          <cell r="H21">
            <v>3509.5099006605287</v>
          </cell>
          <cell r="J21">
            <v>4415.393647865958</v>
          </cell>
          <cell r="K21">
            <v>3448.5325026648984</v>
          </cell>
          <cell r="L21">
            <v>4398.2216505404513</v>
          </cell>
          <cell r="M21">
            <v>4586.129548339959</v>
          </cell>
          <cell r="N21">
            <v>3645.6725148053101</v>
          </cell>
          <cell r="O21">
            <v>3749.1741995690713</v>
          </cell>
          <cell r="P21">
            <v>4536.7685308848413</v>
          </cell>
        </row>
        <row r="22">
          <cell r="D22" t="str">
            <v>Norway</v>
          </cell>
          <cell r="E22">
            <v>116815.50901657301</v>
          </cell>
          <cell r="F22">
            <v>0.374237506156406</v>
          </cell>
          <cell r="G22">
            <v>17695.819957894844</v>
          </cell>
          <cell r="H22">
            <v>14555.435007620552</v>
          </cell>
          <cell r="J22">
            <v>18312.521432829592</v>
          </cell>
          <cell r="K22">
            <v>14302.535720089789</v>
          </cell>
          <cell r="L22">
            <v>18241.301832914683</v>
          </cell>
          <cell r="M22">
            <v>19020.636062268066</v>
          </cell>
          <cell r="N22">
            <v>15120.159466804742</v>
          </cell>
          <cell r="O22">
            <v>15549.425115969776</v>
          </cell>
          <cell r="P22">
            <v>18815.914861355435</v>
          </cell>
        </row>
        <row r="23">
          <cell r="D23" t="str">
            <v>Sweden</v>
          </cell>
          <cell r="E23">
            <v>77273.588499784499</v>
          </cell>
          <cell r="F23">
            <v>0.24755852450904356</v>
          </cell>
          <cell r="G23">
            <v>11705.804486959345</v>
          </cell>
          <cell r="H23">
            <v>9628.4363667383932</v>
          </cell>
          <cell r="J23">
            <v>12113.753195161755</v>
          </cell>
          <cell r="K23">
            <v>9461.143208141033</v>
          </cell>
          <cell r="L23">
            <v>12066.641350995898</v>
          </cell>
          <cell r="M23">
            <v>12582.171806239698</v>
          </cell>
          <cell r="N23">
            <v>10002.002221496356</v>
          </cell>
          <cell r="O23">
            <v>10285.961923507888</v>
          </cell>
          <cell r="P23">
            <v>12446.74850526123</v>
          </cell>
        </row>
        <row r="24">
          <cell r="E24">
            <v>312142.7090948816</v>
          </cell>
          <cell r="F24">
            <v>1.3319717917917945E-2</v>
          </cell>
          <cell r="G24">
            <v>47284.998608608694</v>
          </cell>
          <cell r="H24">
            <v>38893.576320320397</v>
          </cell>
          <cell r="I24">
            <v>1.3319717917917945E-2</v>
          </cell>
          <cell r="J24">
            <v>48932.886553535856</v>
          </cell>
          <cell r="K24">
            <v>38217.804161275846</v>
          </cell>
          <cell r="L24">
            <v>48742.580668253628</v>
          </cell>
          <cell r="M24">
            <v>50825.039578792843</v>
          </cell>
          <cell r="N24">
            <v>40402.576487043865</v>
          </cell>
          <cell r="O24">
            <v>41549.617182066104</v>
          </cell>
          <cell r="P24">
            <v>50278.004079825325</v>
          </cell>
        </row>
        <row r="25">
          <cell r="D25" t="str">
            <v>Ireland</v>
          </cell>
          <cell r="E25">
            <v>86994.7804604173</v>
          </cell>
          <cell r="F25">
            <v>0.88329396558909923</v>
          </cell>
          <cell r="G25">
            <v>13459.260448676028</v>
          </cell>
          <cell r="H25">
            <v>11070.715636657462</v>
          </cell>
          <cell r="J25">
            <v>13928.317310125734</v>
          </cell>
          <cell r="K25">
            <v>10878.36301404601</v>
          </cell>
          <cell r="L25">
            <v>13874.148407719063</v>
          </cell>
          <cell r="M25">
            <v>14466.902085954567</v>
          </cell>
          <cell r="N25">
            <v>11500.23930925262</v>
          </cell>
          <cell r="O25">
            <v>11826.734390437292</v>
          </cell>
          <cell r="P25">
            <v>14311.193225387213</v>
          </cell>
        </row>
        <row r="26">
          <cell r="D26" t="str">
            <v>Greece</v>
          </cell>
          <cell r="E26">
            <v>11494.266051292399</v>
          </cell>
          <cell r="F26">
            <v>0.11670603441090077</v>
          </cell>
          <cell r="G26">
            <v>1778.3172695183705</v>
          </cell>
          <cell r="H26">
            <v>1462.7285709841237</v>
          </cell>
          <cell r="J26">
            <v>1840.2918423623153</v>
          </cell>
          <cell r="K26">
            <v>1437.3138023249182</v>
          </cell>
          <cell r="L26">
            <v>1833.134725893103</v>
          </cell>
          <cell r="M26">
            <v>1911.4528553769871</v>
          </cell>
          <cell r="N26">
            <v>1519.4797845857643</v>
          </cell>
          <cell r="O26">
            <v>1562.6182499938409</v>
          </cell>
          <cell r="P26">
            <v>1890.879677762968</v>
          </cell>
        </row>
        <row r="27">
          <cell r="E27">
            <v>98489.046511709705</v>
          </cell>
          <cell r="F27">
            <v>4.2922754135758853E-3</v>
          </cell>
          <cell r="G27">
            <v>15237.577718194399</v>
          </cell>
          <cell r="H27">
            <v>12533.444207641585</v>
          </cell>
          <cell r="I27">
            <v>4.2922754135758853E-3</v>
          </cell>
          <cell r="J27">
            <v>15768.60915248805</v>
          </cell>
          <cell r="K27">
            <v>12315.676816370928</v>
          </cell>
          <cell r="L27">
            <v>15707.283133612167</v>
          </cell>
          <cell r="M27">
            <v>16378.354941331554</v>
          </cell>
          <cell r="N27">
            <v>13019.719093838385</v>
          </cell>
          <cell r="O27">
            <v>13389.352640431132</v>
          </cell>
          <cell r="P27">
            <v>16202.072903150181</v>
          </cell>
        </row>
        <row r="28">
          <cell r="D28" t="str">
            <v>Japan</v>
          </cell>
          <cell r="E28">
            <v>472876.71669231402</v>
          </cell>
          <cell r="F28">
            <v>2.0296890720516176E-2</v>
          </cell>
          <cell r="G28">
            <v>72053.962057832425</v>
          </cell>
          <cell r="H28">
            <v>59266.92090390723</v>
          </cell>
          <cell r="I28">
            <v>2.0296890720516176E-2</v>
          </cell>
          <cell r="J28">
            <v>74565.051387498243</v>
          </cell>
          <cell r="K28">
            <v>58237.163836331245</v>
          </cell>
          <cell r="L28">
            <v>74275.058928134793</v>
          </cell>
          <cell r="M28">
            <v>77448.357431725526</v>
          </cell>
          <cell r="N28">
            <v>61566.369861458013</v>
          </cell>
          <cell r="O28">
            <v>63314.256699777077</v>
          </cell>
          <cell r="P28">
            <v>76614.772230356451</v>
          </cell>
        </row>
        <row r="29">
          <cell r="D29" t="str">
            <v>Australia</v>
          </cell>
          <cell r="E29">
            <v>2281445.7935122801</v>
          </cell>
          <cell r="F29">
            <v>0.94784263878829977</v>
          </cell>
          <cell r="G29">
            <v>383672.56862243661</v>
          </cell>
          <cell r="H29">
            <v>315584.19728944084</v>
          </cell>
          <cell r="J29">
            <v>397043.60424126912</v>
          </cell>
          <cell r="K29">
            <v>310100.95212303515</v>
          </cell>
          <cell r="L29">
            <v>395499.45387691009</v>
          </cell>
          <cell r="M29">
            <v>412396.61751797656</v>
          </cell>
          <cell r="N29">
            <v>327828.29133733769</v>
          </cell>
          <cell r="O29">
            <v>337135.43023389095</v>
          </cell>
          <cell r="P29">
            <v>407957.94730136549</v>
          </cell>
        </row>
        <row r="30">
          <cell r="D30" t="str">
            <v>New Zealand</v>
          </cell>
          <cell r="E30">
            <v>125542.13902980099</v>
          </cell>
          <cell r="F30">
            <v>5.2157361211700282E-2</v>
          </cell>
          <cell r="G30">
            <v>21112.522194869118</v>
          </cell>
          <cell r="H30">
            <v>17365.792903948684</v>
          </cell>
          <cell r="J30">
            <v>21848.296157768164</v>
          </cell>
          <cell r="K30">
            <v>17064.063917455591</v>
          </cell>
          <cell r="L30">
            <v>21763.325504388387</v>
          </cell>
          <cell r="M30">
            <v>22693.133292532377</v>
          </cell>
          <cell r="N30">
            <v>18039.554148518331</v>
          </cell>
          <cell r="O30">
            <v>18551.702247168509</v>
          </cell>
          <cell r="P30">
            <v>22448.884599433539</v>
          </cell>
        </row>
        <row r="31">
          <cell r="E31">
            <v>2406987.932542081</v>
          </cell>
          <cell r="F31">
            <v>0.11402396924431148</v>
          </cell>
          <cell r="G31">
            <v>404785.09081730573</v>
          </cell>
          <cell r="H31">
            <v>332949.99019338953</v>
          </cell>
          <cell r="I31">
            <v>0.11402396924431148</v>
          </cell>
          <cell r="J31">
            <v>418891.90039903723</v>
          </cell>
          <cell r="K31">
            <v>327165.01604049071</v>
          </cell>
          <cell r="L31">
            <v>417262.77938129846</v>
          </cell>
          <cell r="M31">
            <v>435089.75081050891</v>
          </cell>
          <cell r="N31">
            <v>345867.845485856</v>
          </cell>
          <cell r="O31">
            <v>355687.13248105947</v>
          </cell>
          <cell r="P31">
            <v>430406.83190079901</v>
          </cell>
        </row>
        <row r="32">
          <cell r="D32" t="str">
            <v>Bulgaria</v>
          </cell>
          <cell r="E32">
            <v>1439.43374037743</v>
          </cell>
          <cell r="F32">
            <v>1.0064416653829534E-2</v>
          </cell>
          <cell r="G32">
            <v>213.63081386295735</v>
          </cell>
          <cell r="H32">
            <v>175.71886661403815</v>
          </cell>
          <cell r="J32">
            <v>221.07587367449872</v>
          </cell>
          <cell r="K32">
            <v>172.66576815637356</v>
          </cell>
          <cell r="L32">
            <v>220.21608299347815</v>
          </cell>
          <cell r="M32">
            <v>229.62450860382947</v>
          </cell>
          <cell r="N32">
            <v>182.53643969688437</v>
          </cell>
          <cell r="O32">
            <v>187.71870139556447</v>
          </cell>
          <cell r="P32">
            <v>227.15303472638104</v>
          </cell>
        </row>
        <row r="33">
          <cell r="D33" t="str">
            <v>Cyprus</v>
          </cell>
          <cell r="E33">
            <v>1545.5442460179299</v>
          </cell>
          <cell r="F33">
            <v>1.0806333638375484E-2</v>
          </cell>
          <cell r="G33">
            <v>229.37900222586603</v>
          </cell>
          <cell r="H33">
            <v>188.67230605620529</v>
          </cell>
          <cell r="J33">
            <v>237.37288831469007</v>
          </cell>
          <cell r="K33">
            <v>185.39414283034367</v>
          </cell>
          <cell r="L33">
            <v>236.44971658225398</v>
          </cell>
          <cell r="M33">
            <v>246.55170159085426</v>
          </cell>
          <cell r="N33">
            <v>195.99244907802779</v>
          </cell>
          <cell r="O33">
            <v>201.55673072926515</v>
          </cell>
          <cell r="P33">
            <v>243.89803847088842</v>
          </cell>
        </row>
        <row r="34">
          <cell r="D34" t="str">
            <v>Czech Republic</v>
          </cell>
          <cell r="E34">
            <v>62582.685672283202</v>
          </cell>
          <cell r="F34">
            <v>0.43757361402154754</v>
          </cell>
          <cell r="G34">
            <v>9288.0899612606681</v>
          </cell>
          <cell r="H34">
            <v>7639.7810385580697</v>
          </cell>
          <cell r="J34">
            <v>9611.7810245776018</v>
          </cell>
          <cell r="K34">
            <v>7507.0405755948659</v>
          </cell>
          <cell r="L34">
            <v>9574.3996513160855</v>
          </cell>
          <cell r="M34">
            <v>9983.4525490821798</v>
          </cell>
          <cell r="N34">
            <v>7936.1906761282644</v>
          </cell>
          <cell r="O34">
            <v>8161.5013978812294</v>
          </cell>
          <cell r="P34">
            <v>9875.9995496971169</v>
          </cell>
        </row>
        <row r="35">
          <cell r="D35" t="str">
            <v>Estonia</v>
          </cell>
          <cell r="E35">
            <v>2186.8806653618799</v>
          </cell>
          <cell r="F35">
            <v>1.5290511519227567E-2</v>
          </cell>
          <cell r="G35">
            <v>324.56172400122063</v>
          </cell>
          <cell r="H35">
            <v>266.96344622072229</v>
          </cell>
          <cell r="J35">
            <v>335.87273950517391</v>
          </cell>
          <cell r="K35">
            <v>262.32498194187178</v>
          </cell>
          <cell r="L35">
            <v>334.56648999619046</v>
          </cell>
          <cell r="M35">
            <v>348.86037757268838</v>
          </cell>
          <cell r="N35">
            <v>277.32114337714626</v>
          </cell>
          <cell r="O35">
            <v>285.19436990629328</v>
          </cell>
          <cell r="P35">
            <v>345.10555490462883</v>
          </cell>
        </row>
        <row r="36">
          <cell r="D36" t="str">
            <v>Hungary</v>
          </cell>
          <cell r="E36">
            <v>15977.792914092501</v>
          </cell>
          <cell r="F36">
            <v>0.11171557299599444</v>
          </cell>
          <cell r="G36">
            <v>2371.313668857289</v>
          </cell>
          <cell r="H36">
            <v>1950.4889895952913</v>
          </cell>
          <cell r="J36">
            <v>2453.9542382458108</v>
          </cell>
          <cell r="K36">
            <v>1916.5994304342637</v>
          </cell>
          <cell r="L36">
            <v>2444.4105148596891</v>
          </cell>
          <cell r="M36">
            <v>2548.8445515458247</v>
          </cell>
          <cell r="N36">
            <v>2026.1644221204772</v>
          </cell>
          <cell r="O36">
            <v>2083.6878092174288</v>
          </cell>
          <cell r="P36">
            <v>2521.411056902225</v>
          </cell>
        </row>
        <row r="37">
          <cell r="D37" t="str">
            <v>Latvia</v>
          </cell>
          <cell r="E37">
            <v>1903.3433738946901</v>
          </cell>
          <cell r="F37">
            <v>1.3308039274637928E-2</v>
          </cell>
          <cell r="G37">
            <v>282.48107753759683</v>
          </cell>
          <cell r="H37">
            <v>232.35063279148807</v>
          </cell>
          <cell r="J37">
            <v>292.32557740101623</v>
          </cell>
          <cell r="K37">
            <v>228.31356282693361</v>
          </cell>
          <cell r="L37">
            <v>291.18868804671513</v>
          </cell>
          <cell r="M37">
            <v>303.62931941578938</v>
          </cell>
          <cell r="N37">
            <v>241.36541561148485</v>
          </cell>
          <cell r="O37">
            <v>248.21784875188399</v>
          </cell>
          <cell r="P37">
            <v>300.36132360852014</v>
          </cell>
        </row>
        <row r="38">
          <cell r="D38" t="str">
            <v>Lithuania</v>
          </cell>
          <cell r="E38">
            <v>1132.17615550756</v>
          </cell>
          <cell r="F38">
            <v>7.9160938325450198E-3</v>
          </cell>
          <cell r="G38">
            <v>168.02976528387805</v>
          </cell>
          <cell r="H38">
            <v>138.2103984870208</v>
          </cell>
          <cell r="J38">
            <v>173.88562301356041</v>
          </cell>
          <cell r="K38">
            <v>135.80900606636072</v>
          </cell>
          <cell r="L38">
            <v>173.20936089709517</v>
          </cell>
          <cell r="M38">
            <v>180.60948973811665</v>
          </cell>
          <cell r="N38">
            <v>143.57271108697748</v>
          </cell>
          <cell r="O38">
            <v>147.64878139314337</v>
          </cell>
          <cell r="P38">
            <v>178.66556990734122</v>
          </cell>
        </row>
        <row r="39">
          <cell r="D39" t="str">
            <v>Malta</v>
          </cell>
          <cell r="E39">
            <v>1588.7636691927901</v>
          </cell>
          <cell r="F39">
            <v>1.1108520720815217E-2</v>
          </cell>
          <cell r="G39">
            <v>235.79333050547962</v>
          </cell>
          <cell r="H39">
            <v>193.94831692281701</v>
          </cell>
          <cell r="J39">
            <v>244.01075671395708</v>
          </cell>
          <cell r="K39">
            <v>190.57848351406687</v>
          </cell>
          <cell r="L39">
            <v>243.06176951239416</v>
          </cell>
          <cell r="M39">
            <v>253.44624527861441</v>
          </cell>
          <cell r="N39">
            <v>201.47315958994295</v>
          </cell>
          <cell r="O39">
            <v>207.19304017920399</v>
          </cell>
          <cell r="P39">
            <v>250.7183754255571</v>
          </cell>
        </row>
        <row r="40">
          <cell r="D40" t="str">
            <v>Poland</v>
          </cell>
          <cell r="E40">
            <v>35641.225750863603</v>
          </cell>
          <cell r="F40">
            <v>0.24920087389075221</v>
          </cell>
          <cell r="G40">
            <v>5289.6245590532862</v>
          </cell>
          <cell r="H40">
            <v>4350.9024542072093</v>
          </cell>
          <cell r="J40">
            <v>5473.9686174343624</v>
          </cell>
          <cell r="K40">
            <v>4275.3059412751836</v>
          </cell>
          <cell r="L40">
            <v>5452.6796946439963</v>
          </cell>
          <cell r="M40">
            <v>5685.6378445973332</v>
          </cell>
          <cell r="N40">
            <v>4519.7095722444874</v>
          </cell>
          <cell r="O40">
            <v>4648.0254189011603</v>
          </cell>
          <cell r="P40">
            <v>5624.4426982473487</v>
          </cell>
        </row>
        <row r="41">
          <cell r="D41" t="str">
            <v>Romania</v>
          </cell>
          <cell r="E41">
            <v>4603.5642411112804</v>
          </cell>
          <cell r="F41">
            <v>3.2187788375077173E-2</v>
          </cell>
          <cell r="G41">
            <v>683.22920875895227</v>
          </cell>
          <cell r="H41">
            <v>561.98008157074378</v>
          </cell>
          <cell r="J41">
            <v>707.03982967183958</v>
          </cell>
          <cell r="K41">
            <v>552.21573154195301</v>
          </cell>
          <cell r="L41">
            <v>704.29006667618467</v>
          </cell>
          <cell r="M41">
            <v>734.37987941991832</v>
          </cell>
          <cell r="N41">
            <v>583.78388870334879</v>
          </cell>
          <cell r="O41">
            <v>600.35768017072735</v>
          </cell>
          <cell r="P41">
            <v>726.4756678915162</v>
          </cell>
        </row>
        <row r="42">
          <cell r="D42" t="str">
            <v>Slovakia</v>
          </cell>
          <cell r="E42">
            <v>12960.0219941139</v>
          </cell>
          <cell r="F42">
            <v>9.0615536882827252E-2</v>
          </cell>
          <cell r="G42">
            <v>1923.4369520603411</v>
          </cell>
          <cell r="H42">
            <v>1582.094619722872</v>
          </cell>
          <cell r="J42">
            <v>1990.468963467667</v>
          </cell>
          <cell r="K42">
            <v>1554.6058774128903</v>
          </cell>
          <cell r="L42">
            <v>1982.7277900994236</v>
          </cell>
          <cell r="M42">
            <v>2067.4370750215389</v>
          </cell>
          <cell r="N42">
            <v>1643.4770193580218</v>
          </cell>
          <cell r="O42">
            <v>1690.1358017042921</v>
          </cell>
          <cell r="P42">
            <v>2045.1850220710423</v>
          </cell>
        </row>
        <row r="43">
          <cell r="D43" t="str">
            <v>Slovenia</v>
          </cell>
          <cell r="E43">
            <v>1460.64127379656</v>
          </cell>
          <cell r="F43">
            <v>1.0212698194370729E-2</v>
          </cell>
          <cell r="G43">
            <v>216.77828949679008</v>
          </cell>
          <cell r="H43">
            <v>178.30777614947237</v>
          </cell>
          <cell r="J43">
            <v>224.33303921647496</v>
          </cell>
          <cell r="K43">
            <v>175.20969563688121</v>
          </cell>
          <cell r="L43">
            <v>223.46058102663497</v>
          </cell>
          <cell r="M43">
            <v>233.00762329918891</v>
          </cell>
          <cell r="N43">
            <v>185.22579422324532</v>
          </cell>
          <cell r="O43">
            <v>190.48440746564609</v>
          </cell>
          <cell r="P43">
            <v>230.49973658565065</v>
          </cell>
        </row>
        <row r="44">
          <cell r="E44">
            <v>143022.07369661331</v>
          </cell>
          <cell r="F44">
            <v>5.9792530571561465E-3</v>
          </cell>
          <cell r="G44">
            <v>21226.348352904322</v>
          </cell>
          <cell r="H44">
            <v>17459.418926895949</v>
          </cell>
          <cell r="I44">
            <v>5.9792530571561465E-3</v>
          </cell>
          <cell r="J44">
            <v>21966.08917123665</v>
          </cell>
          <cell r="K44">
            <v>17156.063197231986</v>
          </cell>
          <cell r="L44">
            <v>21880.660406650139</v>
          </cell>
          <cell r="M44">
            <v>22815.481165165875</v>
          </cell>
          <cell r="N44">
            <v>18136.812691218307</v>
          </cell>
          <cell r="O44">
            <v>18651.721987695837</v>
          </cell>
          <cell r="P44">
            <v>22569.915628438215</v>
          </cell>
        </row>
        <row r="45">
          <cell r="D45" t="str">
            <v>Brazil</v>
          </cell>
          <cell r="E45">
            <v>1000241.38857061</v>
          </cell>
          <cell r="F45">
            <v>0.82594437878220051</v>
          </cell>
          <cell r="G45">
            <v>144627.54477902403</v>
          </cell>
          <cell r="H45">
            <v>118961.24809992962</v>
          </cell>
          <cell r="J45">
            <v>149667.83228158887</v>
          </cell>
          <cell r="K45">
            <v>116894.30782143632</v>
          </cell>
          <cell r="L45">
            <v>149085.75606809068</v>
          </cell>
          <cell r="M45">
            <v>155455.23747227652</v>
          </cell>
          <cell r="N45">
            <v>123576.72860339357</v>
          </cell>
          <cell r="O45">
            <v>127085.10725125694</v>
          </cell>
          <cell r="P45">
            <v>153782.05562918269</v>
          </cell>
        </row>
        <row r="46">
          <cell r="D46" t="str">
            <v>Argentina</v>
          </cell>
          <cell r="E46">
            <v>15809.3199949265</v>
          </cell>
          <cell r="F46">
            <v>1.305446778286041E-2</v>
          </cell>
          <cell r="G46">
            <v>2285.9113426206159</v>
          </cell>
          <cell r="H46">
            <v>1880.2425691414644</v>
          </cell>
          <cell r="J46">
            <v>2365.5756305664963</v>
          </cell>
          <cell r="K46">
            <v>1847.5735347998641</v>
          </cell>
          <cell r="L46">
            <v>2356.3756222227321</v>
          </cell>
          <cell r="M46">
            <v>2457.0484906634279</v>
          </cell>
          <cell r="N46">
            <v>1953.1925680551064</v>
          </cell>
          <cell r="O46">
            <v>2008.6442633570794</v>
          </cell>
          <cell r="P46">
            <v>2430.603007133725</v>
          </cell>
        </row>
        <row r="47">
          <cell r="D47" t="str">
            <v>Belize</v>
          </cell>
          <cell r="E47">
            <v>139.58999973535501</v>
          </cell>
          <cell r="F47">
            <v>1.1526575178056273E-4</v>
          </cell>
          <cell r="G47">
            <v>20.183686826116411</v>
          </cell>
          <cell r="H47">
            <v>16.601793107678851</v>
          </cell>
          <cell r="J47">
            <v>20.887090763594522</v>
          </cell>
          <cell r="K47">
            <v>16.313338544385697</v>
          </cell>
          <cell r="L47">
            <v>20.805858353681668</v>
          </cell>
          <cell r="M47">
            <v>21.694759690583194</v>
          </cell>
          <cell r="N47">
            <v>17.245912546865192</v>
          </cell>
          <cell r="O47">
            <v>17.735528933592228</v>
          </cell>
          <cell r="P47">
            <v>21.461256602525186</v>
          </cell>
        </row>
        <row r="48">
          <cell r="D48" t="str">
            <v>Bolivia</v>
          </cell>
          <cell r="E48">
            <v>331.02000105381001</v>
          </cell>
          <cell r="F48">
            <v>2.7333812843475641E-4</v>
          </cell>
          <cell r="G48">
            <v>47.863056430385733</v>
          </cell>
          <cell r="H48">
            <v>39.369049232880663</v>
          </cell>
          <cell r="J48">
            <v>49.53108976061494</v>
          </cell>
          <cell r="K48">
            <v>38.685015777573675</v>
          </cell>
          <cell r="L48">
            <v>49.338457391061709</v>
          </cell>
          <cell r="M48">
            <v>51.446374305136679</v>
          </cell>
          <cell r="N48">
            <v>40.89649688559556</v>
          </cell>
          <cell r="O48">
            <v>42.057560121913461</v>
          </cell>
          <cell r="P48">
            <v>50.892651312074356</v>
          </cell>
        </row>
        <row r="49">
          <cell r="D49" t="str">
            <v>Chile</v>
          </cell>
          <cell r="E49">
            <v>52616.940018117399</v>
          </cell>
          <cell r="F49">
            <v>4.3448177943114986E-2</v>
          </cell>
          <cell r="G49">
            <v>7608.0223589630968</v>
          </cell>
          <cell r="H49">
            <v>6257.8662783583786</v>
          </cell>
          <cell r="J49">
            <v>7873.1628622725129</v>
          </cell>
          <cell r="K49">
            <v>6149.1364518412711</v>
          </cell>
          <cell r="L49">
            <v>7842.5431843012038</v>
          </cell>
          <cell r="M49">
            <v>8177.6049252170596</v>
          </cell>
          <cell r="N49">
            <v>6500.6601315027674</v>
          </cell>
          <cell r="O49">
            <v>6685.2157307659345</v>
          </cell>
          <cell r="P49">
            <v>8089.5884627076639</v>
          </cell>
        </row>
        <row r="50">
          <cell r="D50" t="str">
            <v>Colombia</v>
          </cell>
          <cell r="E50">
            <v>81394.190247774095</v>
          </cell>
          <cell r="F50">
            <v>6.7210849969674358E-2</v>
          </cell>
          <cell r="G50">
            <v>11769.000992485266</v>
          </cell>
          <cell r="H50">
            <v>9680.4177177625279</v>
          </cell>
          <cell r="J50">
            <v>12179.152106581341</v>
          </cell>
          <cell r="K50">
            <v>9512.2213881756379</v>
          </cell>
          <cell r="L50">
            <v>12131.785918177678</v>
          </cell>
          <cell r="M50">
            <v>12650.09958437463</v>
          </cell>
          <cell r="N50">
            <v>10056.000354590515</v>
          </cell>
          <cell r="O50">
            <v>10341.493079035261</v>
          </cell>
          <cell r="P50">
            <v>12513.945169238383</v>
          </cell>
        </row>
        <row r="51">
          <cell r="D51" t="str">
            <v>Costa Rica</v>
          </cell>
          <cell r="E51">
            <v>8443.9800654053706</v>
          </cell>
          <cell r="F51">
            <v>6.9725747697133916E-3</v>
          </cell>
          <cell r="G51">
            <v>1220.9373846925062</v>
          </cell>
          <cell r="H51">
            <v>1004.2639896625686</v>
          </cell>
          <cell r="J51">
            <v>1263.4872008487739</v>
          </cell>
          <cell r="K51">
            <v>986.81499914146821</v>
          </cell>
          <cell r="L51">
            <v>1258.5733470535924</v>
          </cell>
          <cell r="M51">
            <v>1312.3441414023196</v>
          </cell>
          <cell r="N51">
            <v>1043.2276096535497</v>
          </cell>
          <cell r="O51">
            <v>1072.8451396847629</v>
          </cell>
          <cell r="P51">
            <v>1298.2192368639535</v>
          </cell>
        </row>
        <row r="52">
          <cell r="D52" t="str">
            <v>Dominican Republic</v>
          </cell>
          <cell r="E52">
            <v>5326.4200163483602</v>
          </cell>
          <cell r="F52">
            <v>4.3982649806390845E-3</v>
          </cell>
          <cell r="G52">
            <v>770.16114132926759</v>
          </cell>
          <cell r="H52">
            <v>633.48465709336938</v>
          </cell>
          <cell r="J52">
            <v>797.00135065131633</v>
          </cell>
          <cell r="K52">
            <v>622.4779219214762</v>
          </cell>
          <cell r="L52">
            <v>793.90171647296302</v>
          </cell>
          <cell r="M52">
            <v>827.82006221698055</v>
          </cell>
          <cell r="N52">
            <v>658.06271197055014</v>
          </cell>
          <cell r="O52">
            <v>676.7453004621276</v>
          </cell>
          <cell r="P52">
            <v>818.91014370942776</v>
          </cell>
        </row>
        <row r="53">
          <cell r="D53" t="str">
            <v>Ecuador</v>
          </cell>
          <cell r="E53">
            <v>11671.7100889087</v>
          </cell>
          <cell r="F53">
            <v>9.6378568702159932E-3</v>
          </cell>
          <cell r="G53">
            <v>1687.643395704441</v>
          </cell>
          <cell r="H53">
            <v>1388.1461170301318</v>
          </cell>
          <cell r="J53">
            <v>1746.4579730323753</v>
          </cell>
          <cell r="K53">
            <v>1364.027211356635</v>
          </cell>
          <cell r="L53">
            <v>1739.6657877746652</v>
          </cell>
          <cell r="M53">
            <v>1813.9905869839756</v>
          </cell>
          <cell r="N53">
            <v>1442.0036667906199</v>
          </cell>
          <cell r="O53">
            <v>1482.9425630689439</v>
          </cell>
          <cell r="P53">
            <v>1794.4664064993781</v>
          </cell>
        </row>
        <row r="54">
          <cell r="D54" t="str">
            <v>El Salvador</v>
          </cell>
          <cell r="E54">
            <v>1550.4200069308299</v>
          </cell>
          <cell r="F54">
            <v>1.2802516513598366E-3</v>
          </cell>
          <cell r="G54">
            <v>224.17932465194531</v>
          </cell>
          <cell r="H54">
            <v>184.395388164417</v>
          </cell>
          <cell r="J54">
            <v>231.99200134574551</v>
          </cell>
          <cell r="K54">
            <v>181.1915359768098</v>
          </cell>
          <cell r="L54">
            <v>231.08975653036569</v>
          </cell>
          <cell r="M54">
            <v>240.96274470668578</v>
          </cell>
          <cell r="N54">
            <v>191.54959453493703</v>
          </cell>
          <cell r="O54">
            <v>196.98774227576342</v>
          </cell>
          <cell r="P54">
            <v>238.36923614524423</v>
          </cell>
        </row>
        <row r="55">
          <cell r="D55" t="str">
            <v>Guatemala</v>
          </cell>
          <cell r="E55">
            <v>3281.7800195813202</v>
          </cell>
          <cell r="F55">
            <v>2.7099136173983512E-3</v>
          </cell>
          <cell r="G55">
            <v>474.5212427323965</v>
          </cell>
          <cell r="H55">
            <v>390.31043064185855</v>
          </cell>
          <cell r="J55">
            <v>491.05836567878919</v>
          </cell>
          <cell r="K55">
            <v>383.52882433648386</v>
          </cell>
          <cell r="L55">
            <v>489.14858059174964</v>
          </cell>
          <cell r="M55">
            <v>510.04677281435261</v>
          </cell>
          <cell r="N55">
            <v>405.45376691059744</v>
          </cell>
          <cell r="O55">
            <v>416.96471524691594</v>
          </cell>
          <cell r="P55">
            <v>504.55708322088509</v>
          </cell>
        </row>
        <row r="56">
          <cell r="D56" t="str">
            <v>Honduras</v>
          </cell>
          <cell r="E56">
            <v>1873.7900134325</v>
          </cell>
          <cell r="F56">
            <v>1.5472728346349013E-3</v>
          </cell>
          <cell r="G56">
            <v>270.93624816052704</v>
          </cell>
          <cell r="H56">
            <v>222.85460412077154</v>
          </cell>
          <cell r="J56">
            <v>280.37840931787645</v>
          </cell>
          <cell r="K56">
            <v>218.98252674379273</v>
          </cell>
          <cell r="L56">
            <v>279.28798393819068</v>
          </cell>
          <cell r="M56">
            <v>291.22017428972492</v>
          </cell>
          <cell r="N56">
            <v>231.50095826428699</v>
          </cell>
          <cell r="O56">
            <v>238.07333664097135</v>
          </cell>
          <cell r="P56">
            <v>288.08573947821799</v>
          </cell>
        </row>
        <row r="57">
          <cell r="D57" t="str">
            <v>Nicaragua</v>
          </cell>
          <cell r="E57">
            <v>851.65000599622704</v>
          </cell>
          <cell r="F57">
            <v>7.0324577964887413E-4</v>
          </cell>
          <cell r="G57">
            <v>123.14232422864826</v>
          </cell>
          <cell r="H57">
            <v>101.28889767539519</v>
          </cell>
          <cell r="J57">
            <v>127.43384918535529</v>
          </cell>
          <cell r="K57">
            <v>99.529012790919225</v>
          </cell>
          <cell r="L57">
            <v>126.93824360816114</v>
          </cell>
          <cell r="M57">
            <v>132.36150337130661</v>
          </cell>
          <cell r="N57">
            <v>105.21872305891365</v>
          </cell>
          <cell r="O57">
            <v>108.20591268197028</v>
          </cell>
          <cell r="P57">
            <v>130.93688193193589</v>
          </cell>
        </row>
        <row r="58">
          <cell r="D58" t="str">
            <v>Panama</v>
          </cell>
          <cell r="E58">
            <v>5264.5300282239896</v>
          </cell>
          <cell r="F58">
            <v>4.3471596290926232E-3</v>
          </cell>
          <cell r="G58">
            <v>761.21230444738035</v>
          </cell>
          <cell r="H58">
            <v>626.12392365812696</v>
          </cell>
          <cell r="J58">
            <v>787.74064571713529</v>
          </cell>
          <cell r="K58">
            <v>615.24508052384738</v>
          </cell>
          <cell r="L58">
            <v>784.67702753487299</v>
          </cell>
          <cell r="M58">
            <v>818.20126128455809</v>
          </cell>
          <cell r="N58">
            <v>650.41639543825568</v>
          </cell>
          <cell r="O58">
            <v>668.88190281788036</v>
          </cell>
          <cell r="P58">
            <v>809.39487099087671</v>
          </cell>
        </row>
        <row r="59">
          <cell r="D59" t="str">
            <v>Paraguay</v>
          </cell>
          <cell r="E59">
            <v>1619.9300040006599</v>
          </cell>
          <cell r="F59">
            <v>1.3376491875996004E-3</v>
          </cell>
          <cell r="G59">
            <v>234.22995875755149</v>
          </cell>
          <cell r="H59">
            <v>192.66238861184519</v>
          </cell>
          <cell r="J59">
            <v>242.39290127072061</v>
          </cell>
          <cell r="K59">
            <v>189.31489808418999</v>
          </cell>
          <cell r="L59">
            <v>241.45020610369866</v>
          </cell>
          <cell r="M59">
            <v>251.76583006654025</v>
          </cell>
          <cell r="N59">
            <v>200.13733959455337</v>
          </cell>
          <cell r="O59">
            <v>205.81929587231838</v>
          </cell>
          <cell r="P59">
            <v>249.05604670749514</v>
          </cell>
        </row>
        <row r="60">
          <cell r="D60" t="str">
            <v>Peru</v>
          </cell>
          <cell r="E60">
            <v>13890.6201034188</v>
          </cell>
          <cell r="F60">
            <v>1.1470110838557729E-2</v>
          </cell>
          <cell r="G60">
            <v>2008.4814565477211</v>
          </cell>
          <cell r="H60">
            <v>1652.0467191885482</v>
          </cell>
          <cell r="J60">
            <v>2078.4772792662643</v>
          </cell>
          <cell r="K60">
            <v>1623.3425658580859</v>
          </cell>
          <cell r="L60">
            <v>2070.3938309653549</v>
          </cell>
          <cell r="M60">
            <v>2158.8485254544248</v>
          </cell>
          <cell r="N60">
            <v>1716.1431333151145</v>
          </cell>
          <cell r="O60">
            <v>1764.8649274072975</v>
          </cell>
          <cell r="P60">
            <v>2135.6126009946624</v>
          </cell>
        </row>
        <row r="61">
          <cell r="D61" t="str">
            <v>Venezuela</v>
          </cell>
          <cell r="E61">
            <v>6720.2600372433699</v>
          </cell>
          <cell r="F61">
            <v>5.5492214830740252E-3</v>
          </cell>
          <cell r="G61">
            <v>971.7001521523116</v>
          </cell>
          <cell r="H61">
            <v>799.2575899393662</v>
          </cell>
          <cell r="J61">
            <v>1005.564020481244</v>
          </cell>
          <cell r="K61">
            <v>785.37056595530851</v>
          </cell>
          <cell r="L61">
            <v>1001.6532609776887</v>
          </cell>
          <cell r="M61">
            <v>1044.4475022754666</v>
          </cell>
          <cell r="N61">
            <v>830.26733372174419</v>
          </cell>
          <cell r="O61">
            <v>853.83886064730677</v>
          </cell>
          <cell r="P61">
            <v>1033.2059987707444</v>
          </cell>
        </row>
        <row r="62">
          <cell r="E62">
            <v>1211027.5392217073</v>
          </cell>
          <cell r="F62">
            <v>4.9325541168944852E-2</v>
          </cell>
          <cell r="G62">
            <v>175105.6711497542</v>
          </cell>
          <cell r="H62">
            <v>144030.58021331896</v>
          </cell>
          <cell r="I62">
            <v>4.9325541168944852E-2</v>
          </cell>
          <cell r="J62">
            <v>181208.12505832902</v>
          </cell>
          <cell r="K62">
            <v>141528.06269326407</v>
          </cell>
          <cell r="L62">
            <v>180503.38485008833</v>
          </cell>
          <cell r="M62">
            <v>188215.1407113937</v>
          </cell>
          <cell r="N62">
            <v>149618.70530022754</v>
          </cell>
          <cell r="O62">
            <v>153866.42311027698</v>
          </cell>
          <cell r="P62">
            <v>186189.3604214899</v>
          </cell>
        </row>
        <row r="63">
          <cell r="D63" t="str">
            <v>Thailand</v>
          </cell>
          <cell r="E63">
            <v>13858.979835271801</v>
          </cell>
          <cell r="F63">
            <v>0.12453604576012003</v>
          </cell>
          <cell r="G63">
            <v>2674.4422443664248</v>
          </cell>
          <cell r="H63">
            <v>2199.8229164929407</v>
          </cell>
          <cell r="J63">
            <v>2767.6468814305917</v>
          </cell>
          <cell r="K63">
            <v>2161.6012042607995</v>
          </cell>
          <cell r="L63">
            <v>2756.8831695996332</v>
          </cell>
          <cell r="M63">
            <v>2874.6671655050363</v>
          </cell>
          <cell r="N63">
            <v>2285.1720528236006</v>
          </cell>
          <cell r="O63">
            <v>2350.0487405902022</v>
          </cell>
          <cell r="P63">
            <v>2843.7268061805789</v>
          </cell>
        </row>
        <row r="64">
          <cell r="D64" t="str">
            <v>Brunei Darussalam</v>
          </cell>
          <cell r="E64">
            <v>316.26999765634503</v>
          </cell>
          <cell r="F64">
            <v>2.841985151060088E-3</v>
          </cell>
          <cell r="G64">
            <v>61.032330836147054</v>
          </cell>
          <cell r="H64">
            <v>50.201241138464489</v>
          </cell>
          <cell r="J64">
            <v>63.159314979007412</v>
          </cell>
          <cell r="K64">
            <v>49.328999387501312</v>
          </cell>
          <cell r="L64">
            <v>62.913680801310811</v>
          </cell>
          <cell r="M64">
            <v>65.601580239200871</v>
          </cell>
          <cell r="N64">
            <v>52.148958175945793</v>
          </cell>
          <cell r="O64">
            <v>53.629482004667587</v>
          </cell>
          <cell r="P64">
            <v>64.895503205584873</v>
          </cell>
        </row>
        <row r="65">
          <cell r="D65" t="str">
            <v>Cambodia</v>
          </cell>
          <cell r="E65">
            <v>110.019999146462</v>
          </cell>
          <cell r="F65">
            <v>9.8863378192969617E-4</v>
          </cell>
          <cell r="G65">
            <v>21.231153875669474</v>
          </cell>
          <cell r="H65">
            <v>17.463371638578788</v>
          </cell>
          <cell r="J65">
            <v>21.971062167053809</v>
          </cell>
          <cell r="K65">
            <v>17.159947230928363</v>
          </cell>
          <cell r="L65">
            <v>21.885614061888024</v>
          </cell>
          <cell r="M65">
            <v>22.820646458428428</v>
          </cell>
          <cell r="N65">
            <v>18.140918760939996</v>
          </cell>
          <cell r="O65">
            <v>18.655944629910593</v>
          </cell>
          <cell r="P65">
            <v>22.575025327080468</v>
          </cell>
        </row>
        <row r="66">
          <cell r="D66" t="str">
            <v>Hong Kong</v>
          </cell>
          <cell r="E66">
            <v>23710.923694282799</v>
          </cell>
          <cell r="F66">
            <v>0.21306508222854384</v>
          </cell>
          <cell r="G66">
            <v>4575.6250990096833</v>
          </cell>
          <cell r="H66">
            <v>3763.6127574952789</v>
          </cell>
          <cell r="J66">
            <v>4735.0861894831178</v>
          </cell>
          <cell r="K66">
            <v>3698.220346728172</v>
          </cell>
          <cell r="L66">
            <v>4716.6708693856335</v>
          </cell>
          <cell r="M66">
            <v>4918.1840667865708</v>
          </cell>
          <cell r="N66">
            <v>3909.6341012711582</v>
          </cell>
          <cell r="O66">
            <v>4020.6297309246988</v>
          </cell>
          <cell r="P66">
            <v>4865.249109976201</v>
          </cell>
        </row>
        <row r="67">
          <cell r="D67" t="str">
            <v>Laos</v>
          </cell>
          <cell r="E67">
            <v>15.7199997901917</v>
          </cell>
          <cell r="F67">
            <v>1.4125907076060023E-4</v>
          </cell>
          <cell r="G67">
            <v>3.0335733235804576</v>
          </cell>
          <cell r="H67">
            <v>2.4952208746070177</v>
          </cell>
          <cell r="J67">
            <v>3.1392937223766699</v>
          </cell>
          <cell r="K67">
            <v>2.4518666511784759</v>
          </cell>
          <cell r="L67">
            <v>3.1270846312505167</v>
          </cell>
          <cell r="M67">
            <v>3.2606849692933322</v>
          </cell>
          <cell r="N67">
            <v>2.5920309155449766</v>
          </cell>
          <cell r="O67">
            <v>2.6656194141358842</v>
          </cell>
          <cell r="P67">
            <v>3.2255898578298567</v>
          </cell>
        </row>
        <row r="68">
          <cell r="D68" t="str">
            <v>Macao</v>
          </cell>
          <cell r="E68">
            <v>668.15999221801803</v>
          </cell>
          <cell r="F68">
            <v>6.0040496742892208E-3</v>
          </cell>
          <cell r="G68">
            <v>128.93844499546191</v>
          </cell>
          <cell r="H68">
            <v>106.05641109485855</v>
          </cell>
          <cell r="J68">
            <v>133.43196546491109</v>
          </cell>
          <cell r="K68">
            <v>104.21369112187821</v>
          </cell>
          <cell r="L68">
            <v>132.9130324915831</v>
          </cell>
          <cell r="M68">
            <v>138.59155679300889</v>
          </cell>
          <cell r="N68">
            <v>110.17120734568876</v>
          </cell>
          <cell r="O68">
            <v>113.29899941325067</v>
          </cell>
          <cell r="P68">
            <v>137.09988060246866</v>
          </cell>
        </row>
        <row r="69">
          <cell r="D69" t="str">
            <v>Malaysia</v>
          </cell>
          <cell r="E69">
            <v>13619.679843545</v>
          </cell>
          <cell r="F69">
            <v>0.12238570893343392</v>
          </cell>
          <cell r="G69">
            <v>2628.2632315849883</v>
          </cell>
          <cell r="H69">
            <v>2161.8390524586325</v>
          </cell>
          <cell r="J69">
            <v>2719.8585244446422</v>
          </cell>
          <cell r="K69">
            <v>2124.2773062217989</v>
          </cell>
          <cell r="L69">
            <v>2709.2806672857241</v>
          </cell>
          <cell r="M69">
            <v>2825.030912541315</v>
          </cell>
          <cell r="N69">
            <v>2245.7144838080758</v>
          </cell>
          <cell r="O69">
            <v>2309.4709599118901</v>
          </cell>
          <cell r="P69">
            <v>2794.6247936745517</v>
          </cell>
        </row>
        <row r="70">
          <cell r="D70" t="str">
            <v>Philippines</v>
          </cell>
          <cell r="E70">
            <v>11744.319862365701</v>
          </cell>
          <cell r="F70">
            <v>0.1055338252299562</v>
          </cell>
          <cell r="G70">
            <v>2266.3648799981465</v>
          </cell>
          <cell r="H70">
            <v>1864.1649153787521</v>
          </cell>
          <cell r="J70">
            <v>2345.3479713474394</v>
          </cell>
          <cell r="K70">
            <v>1831.7752287295862</v>
          </cell>
          <cell r="L70">
            <v>2336.2266308049429</v>
          </cell>
          <cell r="M70">
            <v>2436.0386616342303</v>
          </cell>
          <cell r="N70">
            <v>1936.4911305084433</v>
          </cell>
          <cell r="O70">
            <v>1991.4686672245764</v>
          </cell>
          <cell r="P70">
            <v>2409.8193092084371</v>
          </cell>
        </row>
        <row r="71">
          <cell r="D71" t="str">
            <v>Singapore</v>
          </cell>
          <cell r="E71">
            <v>27098.720095425801</v>
          </cell>
          <cell r="F71">
            <v>0.24350763807705952</v>
          </cell>
          <cell r="G71">
            <v>5229.386481032192</v>
          </cell>
          <cell r="H71">
            <v>4301.3545139757634</v>
          </cell>
          <cell r="J71">
            <v>5411.6312350774724</v>
          </cell>
          <cell r="K71">
            <v>4226.6188917540867</v>
          </cell>
          <cell r="L71">
            <v>5390.5847498699095</v>
          </cell>
          <cell r="M71">
            <v>5620.8899797424583</v>
          </cell>
          <cell r="N71">
            <v>4468.2392618649665</v>
          </cell>
          <cell r="O71">
            <v>4595.0938516978413</v>
          </cell>
          <cell r="P71">
            <v>5560.3917217933786</v>
          </cell>
        </row>
        <row r="72">
          <cell r="D72" t="str">
            <v>Sri Lanka</v>
          </cell>
          <cell r="E72">
            <v>857.25999045371998</v>
          </cell>
          <cell r="F72">
            <v>7.703292065391101E-3</v>
          </cell>
          <cell r="G72">
            <v>165.43009371004129</v>
          </cell>
          <cell r="H72">
            <v>136.07207707980825</v>
          </cell>
          <cell r="J72">
            <v>171.19535256960896</v>
          </cell>
          <cell r="K72">
            <v>133.70783778855397</v>
          </cell>
          <cell r="L72">
            <v>170.52955323869642</v>
          </cell>
          <cell r="M72">
            <v>177.81519102774126</v>
          </cell>
          <cell r="N72">
            <v>141.35142669036489</v>
          </cell>
          <cell r="O72">
            <v>145.36443409758547</v>
          </cell>
          <cell r="P72">
            <v>175.9013465417558</v>
          </cell>
        </row>
        <row r="73">
          <cell r="D73" t="str">
            <v>Taiwan</v>
          </cell>
          <cell r="E73">
            <v>18456.794147372198</v>
          </cell>
          <cell r="F73">
            <v>0.16585175733298707</v>
          </cell>
          <cell r="G73">
            <v>3561.7073226183193</v>
          </cell>
          <cell r="H73">
            <v>2929.6296850832296</v>
          </cell>
          <cell r="J73">
            <v>3685.8332554301787</v>
          </cell>
          <cell r="K73">
            <v>2878.7276502283025</v>
          </cell>
          <cell r="L73">
            <v>3671.498606279451</v>
          </cell>
          <cell r="M73">
            <v>3828.3582735940845</v>
          </cell>
          <cell r="N73">
            <v>3043.2939993859204</v>
          </cell>
          <cell r="O73">
            <v>3129.693985914801</v>
          </cell>
          <cell r="P73">
            <v>3787.1532318316413</v>
          </cell>
        </row>
        <row r="74">
          <cell r="D74" t="str">
            <v>Viet Nam</v>
          </cell>
          <cell r="E74">
            <v>760.93998825550102</v>
          </cell>
          <cell r="F74">
            <v>6.8377657175683285E-3</v>
          </cell>
          <cell r="G74">
            <v>146.84270229175141</v>
          </cell>
          <cell r="H74">
            <v>120.78329315265157</v>
          </cell>
          <cell r="J74">
            <v>151.96018830269594</v>
          </cell>
          <cell r="K74">
            <v>118.68469501608385</v>
          </cell>
          <cell r="L74">
            <v>151.36919684072774</v>
          </cell>
          <cell r="M74">
            <v>157.83623507342932</v>
          </cell>
          <cell r="N74">
            <v>125.46946569702452</v>
          </cell>
          <cell r="O74">
            <v>129.03157969199057</v>
          </cell>
          <cell r="P74">
            <v>156.13742629090598</v>
          </cell>
        </row>
        <row r="75">
          <cell r="D75" t="str">
            <v>Mongolia</v>
          </cell>
          <cell r="E75">
            <v>67.099999308586106</v>
          </cell>
          <cell r="F75">
            <v>6.0295697690032884E-4</v>
          </cell>
          <cell r="G75">
            <v>12.948649531267691</v>
          </cell>
          <cell r="H75">
            <v>10.650720177831426</v>
          </cell>
          <cell r="J75">
            <v>13.399911540224931</v>
          </cell>
          <cell r="K75">
            <v>10.465664936043538</v>
          </cell>
          <cell r="L75">
            <v>13.347797671455385</v>
          </cell>
          <cell r="M75">
            <v>13.918063747151717</v>
          </cell>
          <cell r="N75">
            <v>11.063948788944659</v>
          </cell>
          <cell r="O75">
            <v>11.378057457549772</v>
          </cell>
          <cell r="P75">
            <v>13.768262094075153</v>
          </cell>
        </row>
        <row r="76">
          <cell r="E76">
            <v>111284.88744509213</v>
          </cell>
          <cell r="F76">
            <v>6.0493651287813009E-3</v>
          </cell>
          <cell r="G76">
            <v>21475.246207173674</v>
          </cell>
          <cell r="H76">
            <v>17664.146176041399</v>
          </cell>
          <cell r="I76">
            <v>6.0493651287813009E-3</v>
          </cell>
          <cell r="J76">
            <v>22223.661145959322</v>
          </cell>
          <cell r="K76">
            <v>17357.233330054914</v>
          </cell>
          <cell r="L76">
            <v>22137.230652962207</v>
          </cell>
          <cell r="M76">
            <v>23083.013018111949</v>
          </cell>
          <cell r="N76">
            <v>18349.482986036619</v>
          </cell>
          <cell r="O76">
            <v>18870.430052973101</v>
          </cell>
          <cell r="P76">
            <v>22834.56800658449</v>
          </cell>
        </row>
        <row r="77">
          <cell r="D77" t="str">
            <v>Russia</v>
          </cell>
          <cell r="E77">
            <v>96111.119342729406</v>
          </cell>
          <cell r="F77">
            <v>3.267074887306961E-3</v>
          </cell>
          <cell r="G77">
            <v>11598.115849939712</v>
          </cell>
          <cell r="H77">
            <v>9539.8586709363262</v>
          </cell>
          <cell r="I77">
            <v>3.267074887306961E-3</v>
          </cell>
          <cell r="J77">
            <v>12002.311596061709</v>
          </cell>
          <cell r="K77">
            <v>9374.1045413097745</v>
          </cell>
          <cell r="L77">
            <v>11955.633161687667</v>
          </cell>
          <cell r="M77">
            <v>12466.420946564029</v>
          </cell>
          <cell r="N77">
            <v>9909.9878718717518</v>
          </cell>
          <cell r="O77">
            <v>10191.335260196331</v>
          </cell>
          <cell r="P77">
            <v>12332.243484837301</v>
          </cell>
        </row>
        <row r="78">
          <cell r="D78" t="str">
            <v>Turkey</v>
          </cell>
          <cell r="E78">
            <v>30604.5595454127</v>
          </cell>
          <cell r="F78">
            <v>1.2814133826542964E-3</v>
          </cell>
          <cell r="G78">
            <v>4549.0175084227521</v>
          </cell>
          <cell r="H78">
            <v>3741.7270773505452</v>
          </cell>
          <cell r="I78">
            <v>1.2814133826542964E-3</v>
          </cell>
          <cell r="J78">
            <v>4707.5513211323841</v>
          </cell>
          <cell r="K78">
            <v>3676.7149281773268</v>
          </cell>
          <cell r="L78">
            <v>4689.243087451965</v>
          </cell>
          <cell r="M78">
            <v>4889.5844710486044</v>
          </cell>
          <cell r="N78">
            <v>3886.8992964608183</v>
          </cell>
          <cell r="O78">
            <v>3997.2494785073422</v>
          </cell>
          <cell r="P78">
            <v>4836.957334837185</v>
          </cell>
        </row>
        <row r="79">
          <cell r="D79" t="str">
            <v>South Africa</v>
          </cell>
          <cell r="E79">
            <v>53601.364593625098</v>
          </cell>
          <cell r="F79">
            <v>0.41619094682232305</v>
          </cell>
          <cell r="G79">
            <v>7137.7722613130554</v>
          </cell>
          <cell r="H79">
            <v>5871.0690149391885</v>
          </cell>
          <cell r="J79">
            <v>7386.5244916009869</v>
          </cell>
          <cell r="K79">
            <v>5769.0597537838403</v>
          </cell>
          <cell r="L79">
            <v>7357.7974088241499</v>
          </cell>
          <cell r="M79">
            <v>7672.1490612373291</v>
          </cell>
          <cell r="N79">
            <v>6098.8558363264383</v>
          </cell>
          <cell r="O79">
            <v>6272.0040967989771</v>
          </cell>
          <cell r="P79">
            <v>7589.5728758639607</v>
          </cell>
        </row>
        <row r="80">
          <cell r="D80" t="str">
            <v>Israel</v>
          </cell>
          <cell r="E80">
            <v>18035.6756429374</v>
          </cell>
          <cell r="F80">
            <v>0.14003906391792051</v>
          </cell>
          <cell r="G80">
            <v>2401.7027606328643</v>
          </cell>
          <cell r="H80">
            <v>1975.4850876191447</v>
          </cell>
          <cell r="J80">
            <v>2485.4023935609407</v>
          </cell>
          <cell r="K80">
            <v>1941.1612236518388</v>
          </cell>
          <cell r="L80">
            <v>2475.7363645137539</v>
          </cell>
          <cell r="M80">
            <v>2581.508754521522</v>
          </cell>
          <cell r="N80">
            <v>2052.1303233780259</v>
          </cell>
          <cell r="O80">
            <v>2110.3908898336972</v>
          </cell>
          <cell r="P80">
            <v>2553.7236914635887</v>
          </cell>
        </row>
        <row r="81">
          <cell r="D81" t="str">
            <v>India</v>
          </cell>
          <cell r="E81">
            <v>15845.7345459387</v>
          </cell>
          <cell r="F81">
            <v>0.1230351375150206</v>
          </cell>
          <cell r="G81">
            <v>2110.081438403955</v>
          </cell>
          <cell r="H81">
            <v>1735.6162817294501</v>
          </cell>
          <cell r="J81">
            <v>2183.6180328309101</v>
          </cell>
          <cell r="K81">
            <v>1705.4601152633593</v>
          </cell>
          <cell r="L81">
            <v>2175.1256794848332</v>
          </cell>
          <cell r="M81">
            <v>2268.0548964176583</v>
          </cell>
          <cell r="N81">
            <v>1802.9550431981233</v>
          </cell>
          <cell r="O81">
            <v>1854.1414522259488</v>
          </cell>
          <cell r="P81">
            <v>2243.6435717589898</v>
          </cell>
        </row>
        <row r="82">
          <cell r="D82" t="str">
            <v>Indonesia</v>
          </cell>
          <cell r="E82">
            <v>19971.393551528501</v>
          </cell>
          <cell r="F82">
            <v>0.15506905942764809</v>
          </cell>
          <cell r="G82">
            <v>2659.470705505516</v>
          </cell>
          <cell r="H82">
            <v>2187.5082986129878</v>
          </cell>
          <cell r="J82">
            <v>2752.1535826218869</v>
          </cell>
          <cell r="K82">
            <v>2149.5005516856568</v>
          </cell>
          <cell r="L82">
            <v>2741.4501260947413</v>
          </cell>
          <cell r="M82">
            <v>2858.5747666988268</v>
          </cell>
          <cell r="N82">
            <v>2272.3796501217803</v>
          </cell>
          <cell r="O82">
            <v>2336.893157919134</v>
          </cell>
          <cell r="P82">
            <v>2827.8076116351726</v>
          </cell>
        </row>
        <row r="83">
          <cell r="D83" t="str">
            <v>Nigeria</v>
          </cell>
          <cell r="E83">
            <v>5429.5900194644901</v>
          </cell>
          <cell r="F83">
            <v>4.2158370933092194E-2</v>
          </cell>
          <cell r="G83">
            <v>723.02594019863932</v>
          </cell>
          <cell r="H83">
            <v>594.71429447324704</v>
          </cell>
          <cell r="J83">
            <v>748.22348203606339</v>
          </cell>
          <cell r="K83">
            <v>584.38119063417241</v>
          </cell>
          <cell r="L83">
            <v>745.3135508595725</v>
          </cell>
          <cell r="M83">
            <v>777.15603486132795</v>
          </cell>
          <cell r="N83">
            <v>617.78812965163058</v>
          </cell>
          <cell r="O83">
            <v>635.32731123920428</v>
          </cell>
          <cell r="P83">
            <v>768.79141886045068</v>
          </cell>
        </row>
        <row r="84">
          <cell r="D84" t="str">
            <v>Ukraine</v>
          </cell>
          <cell r="E84">
            <v>2276.6700331270699</v>
          </cell>
          <cell r="F84">
            <v>1.7677338326604022E-2</v>
          </cell>
          <cell r="G84">
            <v>303.17049451665929</v>
          </cell>
          <cell r="H84">
            <v>249.36840675736482</v>
          </cell>
          <cell r="J84">
            <v>313.73602307481491</v>
          </cell>
          <cell r="K84">
            <v>245.03565460199459</v>
          </cell>
          <cell r="L84">
            <v>312.51586592036512</v>
          </cell>
          <cell r="M84">
            <v>325.86767127716712</v>
          </cell>
          <cell r="N84">
            <v>259.04344831881224</v>
          </cell>
          <cell r="O84">
            <v>266.3977658608099</v>
          </cell>
          <cell r="P84">
            <v>322.36032163943321</v>
          </cell>
        </row>
        <row r="85">
          <cell r="D85" t="str">
            <v>Kazakhstan</v>
          </cell>
          <cell r="E85">
            <v>2468.7800361812101</v>
          </cell>
          <cell r="F85">
            <v>1.9168987740220838E-2</v>
          </cell>
          <cell r="G85">
            <v>328.7526314886664</v>
          </cell>
          <cell r="H85">
            <v>270.41061519631148</v>
          </cell>
          <cell r="J85">
            <v>340.20970062760085</v>
          </cell>
          <cell r="K85">
            <v>265.71225668706057</v>
          </cell>
          <cell r="L85">
            <v>338.88658415482331</v>
          </cell>
          <cell r="M85">
            <v>353.36504174078055</v>
          </cell>
          <cell r="N85">
            <v>280.90205625214048</v>
          </cell>
          <cell r="O85">
            <v>288.87694592136631</v>
          </cell>
          <cell r="P85">
            <v>349.56173487612631</v>
          </cell>
        </row>
        <row r="86">
          <cell r="D86" t="str">
            <v>Kenya</v>
          </cell>
          <cell r="E86">
            <v>2496.4400072097801</v>
          </cell>
          <cell r="F86">
            <v>1.9383755211510693E-2</v>
          </cell>
          <cell r="G86">
            <v>332.43594394634829</v>
          </cell>
          <cell r="H86">
            <v>273.44026938685545</v>
          </cell>
          <cell r="J86">
            <v>344.02137697182218</v>
          </cell>
          <cell r="K86">
            <v>268.68927092655866</v>
          </cell>
          <cell r="L86">
            <v>342.68343643097541</v>
          </cell>
          <cell r="M86">
            <v>357.32410924530325</v>
          </cell>
          <cell r="N86">
            <v>284.04925552624769</v>
          </cell>
          <cell r="O86">
            <v>292.11349508245172</v>
          </cell>
          <cell r="P86">
            <v>353.47819050103743</v>
          </cell>
        </row>
        <row r="87">
          <cell r="D87" t="str">
            <v>Azerbaijan</v>
          </cell>
          <cell r="E87">
            <v>783.48001420497906</v>
          </cell>
          <cell r="F87">
            <v>6.0833766341672254E-3</v>
          </cell>
          <cell r="G87">
            <v>104.33133475393944</v>
          </cell>
          <cell r="H87">
            <v>85.81619647366287</v>
          </cell>
          <cell r="J87">
            <v>107.96729444259798</v>
          </cell>
          <cell r="K87">
            <v>84.325148288883312</v>
          </cell>
          <cell r="L87">
            <v>107.54739663975845</v>
          </cell>
          <cell r="M87">
            <v>112.14220945777627</v>
          </cell>
          <cell r="N87">
            <v>89.145709134566545</v>
          </cell>
          <cell r="O87">
            <v>91.676581298047367</v>
          </cell>
          <cell r="P87">
            <v>110.9352105057941</v>
          </cell>
        </row>
        <row r="88">
          <cell r="D88" t="str">
            <v>Trinidad and Tobago</v>
          </cell>
          <cell r="E88">
            <v>1554.5800080895399</v>
          </cell>
          <cell r="F88">
            <v>1.2070627872686458E-2</v>
          </cell>
          <cell r="G88">
            <v>207.01409644807879</v>
          </cell>
          <cell r="H88">
            <v>170.27638355729297</v>
          </cell>
          <cell r="J88">
            <v>214.2285628540198</v>
          </cell>
          <cell r="K88">
            <v>167.3178477208574</v>
          </cell>
          <cell r="L88">
            <v>213.39540218891025</v>
          </cell>
          <cell r="M88">
            <v>222.51242370611169</v>
          </cell>
          <cell r="N88">
            <v>176.88279817601699</v>
          </cell>
          <cell r="O88">
            <v>181.90455137589919</v>
          </cell>
          <cell r="P88">
            <v>220.11749798175799</v>
          </cell>
        </row>
        <row r="89">
          <cell r="D89" t="str">
            <v>Namibia</v>
          </cell>
          <cell r="E89">
            <v>440.64000260829903</v>
          </cell>
          <cell r="F89">
            <v>3.421375207211605E-3</v>
          </cell>
          <cell r="G89">
            <v>58.677386512217481</v>
          </cell>
          <cell r="H89">
            <v>48.264216511457754</v>
          </cell>
          <cell r="J89">
            <v>60.722300559348483</v>
          </cell>
          <cell r="K89">
            <v>47.425630377646726</v>
          </cell>
          <cell r="L89">
            <v>60.486144224044672</v>
          </cell>
          <cell r="M89">
            <v>63.070330540744152</v>
          </cell>
          <cell r="N89">
            <v>50.136780509243572</v>
          </cell>
          <cell r="O89">
            <v>51.560178038852662</v>
          </cell>
          <cell r="P89">
            <v>62.391497626430031</v>
          </cell>
        </row>
        <row r="90">
          <cell r="D90" t="str">
            <v>Belarus</v>
          </cell>
          <cell r="E90">
            <v>279.87000441551203</v>
          </cell>
          <cell r="F90">
            <v>2.1730671039429613E-3</v>
          </cell>
          <cell r="G90">
            <v>37.268610033263734</v>
          </cell>
          <cell r="H90">
            <v>30.654744027360593</v>
          </cell>
          <cell r="J90">
            <v>38.567425619711173</v>
          </cell>
          <cell r="K90">
            <v>30.122120789381203</v>
          </cell>
          <cell r="L90">
            <v>38.417432259569097</v>
          </cell>
          <cell r="M90">
            <v>40.058763576708053</v>
          </cell>
          <cell r="N90">
            <v>31.84409245516213</v>
          </cell>
          <cell r="O90">
            <v>32.74815534218704</v>
          </cell>
          <cell r="P90">
            <v>39.627606692172144</v>
          </cell>
        </row>
        <row r="91">
          <cell r="D91" t="str">
            <v>Mozambique</v>
          </cell>
          <cell r="E91">
            <v>935.89000135660206</v>
          </cell>
          <cell r="F91">
            <v>7.2667729401888091E-3</v>
          </cell>
          <cell r="G91">
            <v>124.62685869974801</v>
          </cell>
          <cell r="H91">
            <v>102.50997955021526</v>
          </cell>
          <cell r="J91">
            <v>128.97011986309008</v>
          </cell>
          <cell r="K91">
            <v>100.72887848525433</v>
          </cell>
          <cell r="L91">
            <v>128.4685395443274</v>
          </cell>
          <cell r="M91">
            <v>133.95717907121008</v>
          </cell>
          <cell r="N91">
            <v>106.48718069412948</v>
          </cell>
          <cell r="O91">
            <v>109.51038219202213</v>
          </cell>
          <cell r="P91">
            <v>132.51538319853006</v>
          </cell>
        </row>
        <row r="92">
          <cell r="D92" t="str">
            <v>Botswana</v>
          </cell>
          <cell r="E92">
            <v>513.84000062942505</v>
          </cell>
          <cell r="F92">
            <v>3.9897408955625298E-3</v>
          </cell>
          <cell r="G92">
            <v>68.424991248860763</v>
          </cell>
          <cell r="H92">
            <v>56.281964632865758</v>
          </cell>
          <cell r="J92">
            <v>70.809610505045214</v>
          </cell>
          <cell r="K92">
            <v>55.304070894270431</v>
          </cell>
          <cell r="L92">
            <v>70.534223407271838</v>
          </cell>
          <cell r="M92">
            <v>73.547699920387686</v>
          </cell>
          <cell r="N92">
            <v>58.465602705000201</v>
          </cell>
          <cell r="O92">
            <v>60.125457877433156</v>
          </cell>
          <cell r="P92">
            <v>72.756097925440088</v>
          </cell>
        </row>
        <row r="93">
          <cell r="D93" t="str">
            <v>Ghana</v>
          </cell>
          <cell r="E93">
            <v>565.80000013112999</v>
          </cell>
          <cell r="F93">
            <v>4.3931873666263272E-3</v>
          </cell>
          <cell r="G93">
            <v>75.344192764585216</v>
          </cell>
          <cell r="H93">
            <v>61.973251513405302</v>
          </cell>
          <cell r="J93">
            <v>77.969947034025395</v>
          </cell>
          <cell r="K93">
            <v>60.896472211000443</v>
          </cell>
          <cell r="L93">
            <v>77.666712525685398</v>
          </cell>
          <cell r="M93">
            <v>80.984914708130404</v>
          </cell>
          <cell r="N93">
            <v>64.377701186429178</v>
          </cell>
          <cell r="O93">
            <v>66.205402524646956</v>
          </cell>
          <cell r="P93">
            <v>80.113265151271236</v>
          </cell>
        </row>
        <row r="94">
          <cell r="D94" t="str">
            <v>Bermuda</v>
          </cell>
          <cell r="E94">
            <v>388.660003006458</v>
          </cell>
          <cell r="F94">
            <v>3.0177734441944166E-3</v>
          </cell>
          <cell r="G94">
            <v>51.755521703103817</v>
          </cell>
          <cell r="H94">
            <v>42.570738978327647</v>
          </cell>
          <cell r="J94">
            <v>53.559207920880986</v>
          </cell>
          <cell r="K94">
            <v>41.831076470704858</v>
          </cell>
          <cell r="L94">
            <v>53.350909714985313</v>
          </cell>
          <cell r="M94">
            <v>55.630253069361807</v>
          </cell>
          <cell r="N94">
            <v>44.222406381879701</v>
          </cell>
          <cell r="O94">
            <v>45.477893139465415</v>
          </cell>
          <cell r="P94">
            <v>55.031498528338567</v>
          </cell>
        </row>
        <row r="95">
          <cell r="D95" t="str">
            <v>Mauritius</v>
          </cell>
          <cell r="E95">
            <v>418.25000095367398</v>
          </cell>
          <cell r="F95">
            <v>3.2475267229679773E-3</v>
          </cell>
          <cell r="G95">
            <v>55.695844270657773</v>
          </cell>
          <cell r="H95">
            <v>45.811793033893153</v>
          </cell>
          <cell r="J95">
            <v>57.636851208520874</v>
          </cell>
          <cell r="K95">
            <v>45.015817522840919</v>
          </cell>
          <cell r="L95">
            <v>57.412694557101645</v>
          </cell>
          <cell r="M95">
            <v>59.865572014949763</v>
          </cell>
          <cell r="N95">
            <v>47.589207452066049</v>
          </cell>
          <cell r="O95">
            <v>48.940278654390987</v>
          </cell>
          <cell r="P95">
            <v>59.221232269627869</v>
          </cell>
        </row>
        <row r="96">
          <cell r="D96" t="str">
            <v>Cayman Islands</v>
          </cell>
          <cell r="E96">
            <v>427.18000024557102</v>
          </cell>
          <cell r="F96">
            <v>3.3168642274997058E-3</v>
          </cell>
          <cell r="G96">
            <v>56.884998720782143</v>
          </cell>
          <cell r="H96">
            <v>46.789914440756014</v>
          </cell>
          <cell r="J96">
            <v>58.867447835671335</v>
          </cell>
          <cell r="K96">
            <v>45.976944164052</v>
          </cell>
          <cell r="L96">
            <v>58.638505245856685</v>
          </cell>
          <cell r="M96">
            <v>61.143753759082564</v>
          </cell>
          <cell r="N96">
            <v>48.60527819415784</v>
          </cell>
          <cell r="O96">
            <v>49.985195935281475</v>
          </cell>
          <cell r="P96">
            <v>60.485656802866842</v>
          </cell>
        </row>
        <row r="97">
          <cell r="D97" t="str">
            <v>Armenia</v>
          </cell>
          <cell r="E97">
            <v>224.4600045681</v>
          </cell>
          <cell r="F97">
            <v>1.7428329023558269E-3</v>
          </cell>
          <cell r="G97">
            <v>29.889992662069865</v>
          </cell>
          <cell r="H97">
            <v>24.585571429082819</v>
          </cell>
          <cell r="J97">
            <v>30.931662536896052</v>
          </cell>
          <cell r="K97">
            <v>24.15839948302305</v>
          </cell>
          <cell r="L97">
            <v>30.811365578409966</v>
          </cell>
          <cell r="M97">
            <v>32.127738284060143</v>
          </cell>
          <cell r="N97">
            <v>25.539446976035141</v>
          </cell>
          <cell r="O97">
            <v>26.264519175806093</v>
          </cell>
          <cell r="P97">
            <v>31.781943898289466</v>
          </cell>
        </row>
        <row r="98">
          <cell r="D98" t="str">
            <v>Bahamas</v>
          </cell>
          <cell r="E98">
            <v>419.07000315189401</v>
          </cell>
          <cell r="F98">
            <v>3.2538936782472122E-3</v>
          </cell>
          <cell r="G98">
            <v>55.805039045623758</v>
          </cell>
          <cell r="H98">
            <v>45.901609581189113</v>
          </cell>
          <cell r="J98">
            <v>57.749851434657636</v>
          </cell>
          <cell r="K98">
            <v>45.104073516240156</v>
          </cell>
          <cell r="L98">
            <v>57.525255311758457</v>
          </cell>
          <cell r="M98">
            <v>59.982941771167397</v>
          </cell>
          <cell r="N98">
            <v>47.68250871837391</v>
          </cell>
          <cell r="O98">
            <v>49.036228770318289</v>
          </cell>
          <cell r="P98">
            <v>59.337338762231973</v>
          </cell>
        </row>
        <row r="99">
          <cell r="D99" t="str">
            <v>Barbados</v>
          </cell>
          <cell r="E99">
            <v>232.830002129078</v>
          </cell>
          <cell r="F99">
            <v>1.8078222405231294E-3</v>
          </cell>
          <cell r="G99">
            <v>31.004575040166863</v>
          </cell>
          <cell r="H99">
            <v>25.502354680925979</v>
          </cell>
          <cell r="J99">
            <v>32.085088246251175</v>
          </cell>
          <cell r="K99">
            <v>25.059253713776162</v>
          </cell>
          <cell r="L99">
            <v>31.960305476357131</v>
          </cell>
          <cell r="M99">
            <v>33.325765039850118</v>
          </cell>
          <cell r="N99">
            <v>26.491799754025422</v>
          </cell>
          <cell r="O99">
            <v>27.243909521381273</v>
          </cell>
          <cell r="P99">
            <v>32.967076160153589</v>
          </cell>
        </row>
        <row r="100">
          <cell r="D100" t="str">
            <v>Moldova</v>
          </cell>
          <cell r="E100">
            <v>149.250001907349</v>
          </cell>
          <cell r="F100">
            <v>1.158860414804453E-3</v>
          </cell>
          <cell r="G100">
            <v>19.874727662099403</v>
          </cell>
          <cell r="H100">
            <v>16.347663316431056</v>
          </cell>
          <cell r="J100">
            <v>20.567364335184152</v>
          </cell>
          <cell r="K100">
            <v>16.06362423389222</v>
          </cell>
          <cell r="L100">
            <v>20.48737537983309</v>
          </cell>
          <cell r="M100">
            <v>21.362669974997655</v>
          </cell>
          <cell r="N100">
            <v>16.981922980979956</v>
          </cell>
          <cell r="O100">
            <v>17.464044628473502</v>
          </cell>
          <cell r="P100">
            <v>21.132741205125576</v>
          </cell>
        </row>
        <row r="101">
          <cell r="D101" t="str">
            <v>Papua New Guinea</v>
          </cell>
          <cell r="E101">
            <v>102.140000462532</v>
          </cell>
          <cell r="F101">
            <v>7.930720388038304E-4</v>
          </cell>
          <cell r="G101">
            <v>13.60137130088421</v>
          </cell>
          <cell r="H101">
            <v>11.187606816501942</v>
          </cell>
          <cell r="J101">
            <v>14.075380742794707</v>
          </cell>
          <cell r="K101">
            <v>10.993223220849435</v>
          </cell>
          <cell r="L101">
            <v>14.020639892998091</v>
          </cell>
          <cell r="M101">
            <v>14.619652216029479</v>
          </cell>
          <cell r="N101">
            <v>11.621665654709568</v>
          </cell>
          <cell r="O101">
            <v>11.951608064549916</v>
          </cell>
          <cell r="P101">
            <v>14.462299288987895</v>
          </cell>
        </row>
        <row r="102">
          <cell r="D102" t="str">
            <v>Zimbabwe</v>
          </cell>
          <cell r="E102">
            <v>133.99000060558299</v>
          </cell>
          <cell r="F102">
            <v>1.0403732375013732E-3</v>
          </cell>
          <cell r="G102">
            <v>17.842644807024087</v>
          </cell>
          <cell r="H102">
            <v>14.676203615918404</v>
          </cell>
          <cell r="J102">
            <v>18.46446314578489</v>
          </cell>
          <cell r="K102">
            <v>14.421205985399018</v>
          </cell>
          <cell r="L102">
            <v>18.392652626260865</v>
          </cell>
          <cell r="M102">
            <v>19.178453107583262</v>
          </cell>
          <cell r="N102">
            <v>15.245613677901254</v>
          </cell>
          <cell r="O102">
            <v>15.678441007978787</v>
          </cell>
          <cell r="P102">
            <v>18.972033304429587</v>
          </cell>
        </row>
        <row r="103">
          <cell r="D103" t="str">
            <v>Uganda</v>
          </cell>
          <cell r="E103">
            <v>110.410000920296</v>
          </cell>
          <cell r="F103">
            <v>8.5728494358400448E-4</v>
          </cell>
          <cell r="G103">
            <v>14.702637664455384</v>
          </cell>
          <cell r="H103">
            <v>12.093437177523864</v>
          </cell>
          <cell r="J103">
            <v>15.215026372900367</v>
          </cell>
          <cell r="K103">
            <v>11.883314866209048</v>
          </cell>
          <cell r="L103">
            <v>15.155853304082541</v>
          </cell>
          <cell r="M103">
            <v>15.80336603991247</v>
          </cell>
          <cell r="N103">
            <v>12.562640589594993</v>
          </cell>
          <cell r="O103">
            <v>12.91929754680228</v>
          </cell>
          <cell r="P103">
            <v>15.633272670607605</v>
          </cell>
        </row>
        <row r="104">
          <cell r="D104" t="str">
            <v>Burkina Faso</v>
          </cell>
          <cell r="E104">
            <v>238.91000348329499</v>
          </cell>
          <cell r="F104">
            <v>1.8550307685051488E-3</v>
          </cell>
          <cell r="G104">
            <v>31.814212357124966</v>
          </cell>
          <cell r="H104">
            <v>26.168309882480251</v>
          </cell>
          <cell r="J104">
            <v>32.922941522046919</v>
          </cell>
          <cell r="K104">
            <v>25.713638007562146</v>
          </cell>
          <cell r="L104">
            <v>32.794900239920771</v>
          </cell>
          <cell r="M104">
            <v>34.196016702950971</v>
          </cell>
          <cell r="N104">
            <v>27.183592808645695</v>
          </cell>
          <cell r="O104">
            <v>27.955342778562333</v>
          </cell>
          <cell r="P104">
            <v>33.827961208753067</v>
          </cell>
        </row>
        <row r="105">
          <cell r="D105" t="str">
            <v>Virgin Islands, British</v>
          </cell>
          <cell r="E105">
            <v>134.64000111818299</v>
          </cell>
          <cell r="F105">
            <v>1.0454202046975435E-3</v>
          </cell>
          <cell r="G105">
            <v>17.929201477061316</v>
          </cell>
          <cell r="H105">
            <v>14.747399524794094</v>
          </cell>
          <cell r="J105">
            <v>18.554036326286422</v>
          </cell>
          <cell r="K105">
            <v>14.491164872184997</v>
          </cell>
          <cell r="L105">
            <v>18.481877445882553</v>
          </cell>
          <cell r="M105">
            <v>19.271489933424462</v>
          </cell>
          <cell r="N105">
            <v>15.31957185881587</v>
          </cell>
          <cell r="O105">
            <v>15.75449888278956</v>
          </cell>
          <cell r="P105">
            <v>19.064068764666981</v>
          </cell>
        </row>
        <row r="106">
          <cell r="D106" t="str">
            <v>Uzbekistan</v>
          </cell>
          <cell r="E106">
            <v>26.0700010061264</v>
          </cell>
          <cell r="F106">
            <v>2.0242205557000095E-4</v>
          </cell>
          <cell r="G106">
            <v>3.4715856852656222</v>
          </cell>
          <cell r="H106">
            <v>2.8555014650635542</v>
          </cell>
          <cell r="J106">
            <v>3.5925708680692301</v>
          </cell>
          <cell r="K106">
            <v>2.8058874009232837</v>
          </cell>
          <cell r="L106">
            <v>3.5785989275678447</v>
          </cell>
          <cell r="M106">
            <v>3.7314895854236658</v>
          </cell>
          <cell r="N106">
            <v>2.9662897389772782</v>
          </cell>
          <cell r="O106">
            <v>3.0505035525424833</v>
          </cell>
          <cell r="P106">
            <v>3.69132715202133</v>
          </cell>
        </row>
        <row r="107">
          <cell r="D107" t="str">
            <v>Antigua and Barbuda</v>
          </cell>
          <cell r="E107">
            <v>147.34000051021599</v>
          </cell>
          <cell r="F107">
            <v>1.1440300966599165E-3</v>
          </cell>
          <cell r="G107">
            <v>19.620384230828872</v>
          </cell>
          <cell r="H107">
            <v>16.138456888456425</v>
          </cell>
          <cell r="J107">
            <v>20.304157004440317</v>
          </cell>
          <cell r="K107">
            <v>15.858052747542756</v>
          </cell>
          <cell r="L107">
            <v>20.225191694077687</v>
          </cell>
          <cell r="M107">
            <v>21.089284856221798</v>
          </cell>
          <cell r="N107">
            <v>16.764599723323904</v>
          </cell>
          <cell r="O107">
            <v>17.240551501413545</v>
          </cell>
          <cell r="P107">
            <v>20.862298560494342</v>
          </cell>
        </row>
        <row r="108">
          <cell r="D108" t="str">
            <v>Saint Kitts and Nevis</v>
          </cell>
          <cell r="E108">
            <v>102.47000110149401</v>
          </cell>
          <cell r="F108">
            <v>7.9563434816708688E-4</v>
          </cell>
          <cell r="G108">
            <v>13.645315506873301</v>
          </cell>
          <cell r="H108">
            <v>11.223752473259166</v>
          </cell>
          <cell r="J108">
            <v>14.120856409700147</v>
          </cell>
          <cell r="K108">
            <v>11.028740850286525</v>
          </cell>
          <cell r="L108">
            <v>14.065938699561567</v>
          </cell>
          <cell r="M108">
            <v>14.666886351048518</v>
          </cell>
          <cell r="N108">
            <v>11.65921369734213</v>
          </cell>
          <cell r="O108">
            <v>11.99022210684544</v>
          </cell>
          <cell r="P108">
            <v>14.509025037809254</v>
          </cell>
        </row>
        <row r="109">
          <cell r="D109" t="str">
            <v>Fiji</v>
          </cell>
          <cell r="E109">
            <v>19.519999980926499</v>
          </cell>
          <cell r="F109">
            <v>1.5156418750950483E-4</v>
          </cell>
          <cell r="G109">
            <v>2.5993613308355812</v>
          </cell>
          <cell r="H109">
            <v>2.1380662214196891</v>
          </cell>
          <cell r="J109">
            <v>2.6899493889435893</v>
          </cell>
          <cell r="K109">
            <v>2.1009175258425707</v>
          </cell>
          <cell r="L109">
            <v>2.6794878520124454</v>
          </cell>
          <cell r="M109">
            <v>2.7939652407063753</v>
          </cell>
          <cell r="N109">
            <v>2.221019310074138</v>
          </cell>
          <cell r="O109">
            <v>2.2840746831368488</v>
          </cell>
          <cell r="P109">
            <v>2.7638934850872126</v>
          </cell>
        </row>
        <row r="110">
          <cell r="D110" t="str">
            <v>Kyrgyzstan</v>
          </cell>
          <cell r="E110">
            <v>52.470000624656699</v>
          </cell>
          <cell r="F110">
            <v>4.0740640476792878E-4</v>
          </cell>
          <cell r="G110">
            <v>6.9871153066557454</v>
          </cell>
          <cell r="H110">
            <v>5.7471483649112045</v>
          </cell>
          <cell r="J110">
            <v>7.2306171237744987</v>
          </cell>
          <cell r="K110">
            <v>5.6472922131672902</v>
          </cell>
          <cell r="L110">
            <v>7.2024963835158742</v>
          </cell>
          <cell r="M110">
            <v>7.5102130157980875</v>
          </cell>
          <cell r="N110">
            <v>5.9701272900018356</v>
          </cell>
          <cell r="O110">
            <v>6.1396209102488255</v>
          </cell>
          <cell r="P110">
            <v>7.4293797659177709</v>
          </cell>
        </row>
        <row r="111">
          <cell r="D111" t="str">
            <v>Dominica</v>
          </cell>
          <cell r="E111">
            <v>7.2500001192092904</v>
          </cell>
          <cell r="F111">
            <v>5.6293052181632927E-5</v>
          </cell>
          <cell r="G111">
            <v>0.96543903569878498</v>
          </cell>
          <cell r="H111">
            <v>0.79410760119449353</v>
          </cell>
          <cell r="J111">
            <v>0.99908470335881261</v>
          </cell>
          <cell r="K111">
            <v>0.78031005777104334</v>
          </cell>
          <cell r="L111">
            <v>0.99519914269938548</v>
          </cell>
          <cell r="M111">
            <v>1.0377176407777018</v>
          </cell>
          <cell r="N111">
            <v>0.8249175347611527</v>
          </cell>
          <cell r="O111">
            <v>0.84833717936505304</v>
          </cell>
          <cell r="P111">
            <v>1.0265485715135216</v>
          </cell>
        </row>
        <row r="112">
          <cell r="D112" t="str">
            <v>Turkmenistan</v>
          </cell>
          <cell r="E112">
            <v>12.2700002193451</v>
          </cell>
          <cell r="F112">
            <v>9.5271138104694676E-5</v>
          </cell>
          <cell r="G112">
            <v>1.6339223427599572</v>
          </cell>
          <cell r="H112">
            <v>1.3439586593969226</v>
          </cell>
          <cell r="J112">
            <v>1.6908647348676109</v>
          </cell>
          <cell r="K112">
            <v>1.320607506562649</v>
          </cell>
          <cell r="L112">
            <v>1.6842887584042272</v>
          </cell>
          <cell r="M112">
            <v>1.7562476511171925</v>
          </cell>
          <cell r="N112">
            <v>1.3961018160045042</v>
          </cell>
          <cell r="O112">
            <v>1.4357375456185586</v>
          </cell>
          <cell r="P112">
            <v>1.7373449642112622</v>
          </cell>
        </row>
        <row r="113">
          <cell r="D113" t="str">
            <v>Niger</v>
          </cell>
          <cell r="E113">
            <v>81.6700004339218</v>
          </cell>
          <cell r="F113">
            <v>6.3413152006984485E-4</v>
          </cell>
          <cell r="G113">
            <v>10.875504161101198</v>
          </cell>
          <cell r="H113">
            <v>8.9454851127930972</v>
          </cell>
          <cell r="J113">
            <v>11.254516802095985</v>
          </cell>
          <cell r="K113">
            <v>8.7900581667445596</v>
          </cell>
          <cell r="L113">
            <v>11.210746631678933</v>
          </cell>
          <cell r="M113">
            <v>11.689710176424988</v>
          </cell>
          <cell r="N113">
            <v>9.2925536985012833</v>
          </cell>
          <cell r="O113">
            <v>9.5563719541582834</v>
          </cell>
          <cell r="P113">
            <v>11.56389253826589</v>
          </cell>
        </row>
        <row r="114">
          <cell r="D114" t="str">
            <v>Cape Verde</v>
          </cell>
          <cell r="E114">
            <v>13.420000076293899</v>
          </cell>
          <cell r="F114">
            <v>1.0420037960698994E-4</v>
          </cell>
          <cell r="G114">
            <v>1.7870609268552466</v>
          </cell>
          <cell r="H114">
            <v>1.4699205370189634</v>
          </cell>
          <cell r="J114">
            <v>1.8493402172194204</v>
          </cell>
          <cell r="K114">
            <v>1.4443808086395433</v>
          </cell>
          <cell r="L114">
            <v>1.8421479105313423</v>
          </cell>
          <cell r="M114">
            <v>1.9208511157827566</v>
          </cell>
          <cell r="N114">
            <v>1.5269507858488447</v>
          </cell>
          <cell r="O114">
            <v>1.5703013551182694</v>
          </cell>
          <cell r="P114">
            <v>1.9001767836568455</v>
          </cell>
        </row>
        <row r="115">
          <cell r="D115" t="str">
            <v>Grenada</v>
          </cell>
          <cell r="E115">
            <v>48.799999952316298</v>
          </cell>
          <cell r="F115">
            <v>3.7891046877376247E-4</v>
          </cell>
          <cell r="G115">
            <v>6.4984033270889592</v>
          </cell>
          <cell r="H115">
            <v>5.3451655535492284</v>
          </cell>
          <cell r="J115">
            <v>6.7248734723589809</v>
          </cell>
          <cell r="K115">
            <v>5.252293814606432</v>
          </cell>
          <cell r="L115">
            <v>6.6987196300311203</v>
          </cell>
          <cell r="M115">
            <v>6.9849131017659456</v>
          </cell>
          <cell r="N115">
            <v>5.5525482751853508</v>
          </cell>
          <cell r="O115">
            <v>5.7101867078421282</v>
          </cell>
          <cell r="P115">
            <v>6.9097337127180385</v>
          </cell>
        </row>
        <row r="116">
          <cell r="D116" t="str">
            <v>Anguilla</v>
          </cell>
          <cell r="E116">
            <v>31.720000505447398</v>
          </cell>
          <cell r="F116">
            <v>2.4629180886817951E-4</v>
          </cell>
          <cell r="G116">
            <v>4.2239622340425607</v>
          </cell>
          <cell r="H116">
            <v>3.4743576685645854</v>
          </cell>
          <cell r="J116">
            <v>4.3711678309575843</v>
          </cell>
          <cell r="K116">
            <v>3.4139910372308599</v>
          </cell>
          <cell r="L116">
            <v>4.3541678331569749</v>
          </cell>
          <cell r="M116">
            <v>4.5401935929306383</v>
          </cell>
          <cell r="N116">
            <v>3.6091564399077525</v>
          </cell>
          <cell r="O116">
            <v>3.7116214228675237</v>
          </cell>
          <cell r="P116">
            <v>4.4913269892230776</v>
          </cell>
        </row>
        <row r="117">
          <cell r="D117" t="str">
            <v>Tajikistan</v>
          </cell>
          <cell r="E117">
            <v>43.980000734329202</v>
          </cell>
          <cell r="F117">
            <v>3.4148530145898314E-4</v>
          </cell>
          <cell r="G117">
            <v>5.8565529380451204</v>
          </cell>
          <cell r="H117">
            <v>4.817221008194859</v>
          </cell>
          <cell r="J117">
            <v>6.0606545192953556</v>
          </cell>
          <cell r="K117">
            <v>4.7335222551027751</v>
          </cell>
          <cell r="L117">
            <v>6.0370839044201761</v>
          </cell>
          <cell r="M117">
            <v>6.2950099107594522</v>
          </cell>
          <cell r="N117">
            <v>5.0041204397267425</v>
          </cell>
          <cell r="O117">
            <v>5.1461888493738313</v>
          </cell>
          <cell r="P117">
            <v>6.2272560257437943</v>
          </cell>
        </row>
        <row r="118">
          <cell r="D118" t="str">
            <v>Swaziland</v>
          </cell>
          <cell r="E118">
            <v>16.470000147819501</v>
          </cell>
          <cell r="F118">
            <v>1.2788228448385502E-4</v>
          </cell>
          <cell r="G118">
            <v>2.1932111447198017</v>
          </cell>
          <cell r="H118">
            <v>1.8039933922765692</v>
          </cell>
          <cell r="J118">
            <v>2.269644819509117</v>
          </cell>
          <cell r="K118">
            <v>1.7726491800714315</v>
          </cell>
          <cell r="L118">
            <v>2.2608178976356172</v>
          </cell>
          <cell r="M118">
            <v>2.3574081953074062</v>
          </cell>
          <cell r="N118">
            <v>1.8739850615253315</v>
          </cell>
          <cell r="O118">
            <v>1.9271880330764808</v>
          </cell>
          <cell r="P118">
            <v>2.3320351512512203</v>
          </cell>
        </row>
        <row r="119">
          <cell r="D119" t="str">
            <v>Nepal</v>
          </cell>
          <cell r="E119">
            <v>0.62000000476837203</v>
          </cell>
          <cell r="F119">
            <v>4.8140264892637176E-6</v>
          </cell>
          <cell r="G119">
            <v>8.2561682330303407E-2</v>
          </cell>
          <cell r="H119">
            <v>6.790989081816505E-2</v>
          </cell>
          <cell r="J119">
            <v>8.5438966987772799E-2</v>
          </cell>
          <cell r="K119">
            <v>6.6729962977106774E-2</v>
          </cell>
          <cell r="L119">
            <v>8.5106684561874674E-2</v>
          </cell>
          <cell r="M119">
            <v>8.8742749193301912E-2</v>
          </cell>
          <cell r="N119">
            <v>7.0544671320806648E-2</v>
          </cell>
          <cell r="O119">
            <v>7.2547454703888223E-2</v>
          </cell>
          <cell r="P119">
            <v>8.7787601209413979E-2</v>
          </cell>
        </row>
        <row r="120">
          <cell r="D120" t="str">
            <v>Micronesia</v>
          </cell>
          <cell r="E120">
            <v>6.0999999046325701</v>
          </cell>
          <cell r="F120">
            <v>4.736380790251465E-5</v>
          </cell>
          <cell r="G120">
            <v>0.81230040398033021</v>
          </cell>
          <cell r="H120">
            <v>0.66814568440072231</v>
          </cell>
          <cell r="J120">
            <v>0.84060917172416461</v>
          </cell>
          <cell r="K120">
            <v>0.65653671720302398</v>
          </cell>
          <cell r="L120">
            <v>0.8373399414810988</v>
          </cell>
          <cell r="M120">
            <v>0.87311412492361395</v>
          </cell>
          <cell r="N120">
            <v>0.69406852422528964</v>
          </cell>
          <cell r="O120">
            <v>0.71377332801857585</v>
          </cell>
          <cell r="P120">
            <v>0.8637167014303625</v>
          </cell>
        </row>
        <row r="121">
          <cell r="D121" t="str">
            <v>Guinea-Bissau</v>
          </cell>
          <cell r="E121">
            <v>0.61000001430511497</v>
          </cell>
          <cell r="F121">
            <v>4.7363809753729734E-6</v>
          </cell>
          <cell r="G121">
            <v>8.1230043572910263E-2</v>
          </cell>
          <cell r="H121">
            <v>6.6814571051520555E-2</v>
          </cell>
          <cell r="J121">
            <v>8.4060920457938573E-2</v>
          </cell>
          <cell r="K121">
            <v>6.5653674286377056E-2</v>
          </cell>
          <cell r="L121">
            <v>8.3733997420854203E-2</v>
          </cell>
          <cell r="M121">
            <v>8.7311415904929163E-2</v>
          </cell>
          <cell r="N121">
            <v>6.9406855135296749E-2</v>
          </cell>
          <cell r="O121">
            <v>7.1377335591641625E-2</v>
          </cell>
          <cell r="P121">
            <v>8.6371673518874176E-2</v>
          </cell>
        </row>
        <row r="122">
          <cell r="E122">
            <v>128790.31848933555</v>
          </cell>
          <cell r="F122">
            <v>4.8310519221065077E-3</v>
          </cell>
          <cell r="G122">
            <v>17150.234323478104</v>
          </cell>
          <cell r="H122">
            <v>14106.671612551003</v>
          </cell>
          <cell r="I122">
            <v>4.8310519221065077E-3</v>
          </cell>
          <cell r="J122">
            <v>17747.922072784499</v>
          </cell>
          <cell r="K122">
            <v>13861.569545977467</v>
          </cell>
          <cell r="L122">
            <v>17678.898267734985</v>
          </cell>
          <cell r="M122">
            <v>18434.204587618438</v>
          </cell>
          <cell r="N122">
            <v>14653.984866542793</v>
          </cell>
          <cell r="O122">
            <v>15070.015685556398</v>
          </cell>
          <cell r="P122">
            <v>18235.795213258305</v>
          </cell>
        </row>
        <row r="123">
          <cell r="L123">
            <v>0</v>
          </cell>
          <cell r="M123">
            <v>0</v>
          </cell>
          <cell r="P123">
            <v>0</v>
          </cell>
        </row>
        <row r="124">
          <cell r="H124">
            <v>2920000</v>
          </cell>
          <cell r="J124">
            <v>3673717.9311966044</v>
          </cell>
          <cell r="K124">
            <v>2869265.28</v>
          </cell>
          <cell r="L124">
            <v>3659430.4</v>
          </cell>
          <cell r="M124">
            <v>3815774.4699999997</v>
          </cell>
          <cell r="N124">
            <v>3033290.6999999997</v>
          </cell>
          <cell r="O124">
            <v>3119406.69</v>
          </cell>
          <cell r="P124">
            <v>3774704.8691016473</v>
          </cell>
        </row>
        <row r="125">
          <cell r="P125">
            <v>0</v>
          </cell>
        </row>
        <row r="126">
          <cell r="N126" t="str">
            <v>match</v>
          </cell>
          <cell r="O126">
            <v>3119406.6900000004</v>
          </cell>
          <cell r="P126">
            <v>3774704.8691016478</v>
          </cell>
        </row>
      </sheetData>
      <sheetData sheetId="2">
        <row r="1">
          <cell r="J1" t="str">
            <v>Country</v>
          </cell>
          <cell r="K1" t="str">
            <v>% of Total</v>
          </cell>
          <cell r="M1">
            <v>41487</v>
          </cell>
          <cell r="O1" t="str">
            <v>Sep Plan</v>
          </cell>
          <cell r="P1" t="str">
            <v>Nov Plan</v>
          </cell>
          <cell r="Q1" t="str">
            <v>Dec Plan</v>
          </cell>
          <cell r="R1" t="str">
            <v>Jan Plan</v>
          </cell>
          <cell r="S1" t="str">
            <v>Feb Plan</v>
          </cell>
          <cell r="T1" t="str">
            <v>Mar Plan</v>
          </cell>
          <cell r="U1" t="str">
            <v>Apr Plan</v>
          </cell>
        </row>
        <row r="2">
          <cell r="J2" t="str">
            <v>United States</v>
          </cell>
          <cell r="K2">
            <v>0.8507445350941939</v>
          </cell>
          <cell r="L2">
            <v>135922.62288811826</v>
          </cell>
          <cell r="M2">
            <v>115426.41125779826</v>
          </cell>
          <cell r="O2">
            <v>134351.9974823654</v>
          </cell>
          <cell r="P2">
            <v>104932.25906139071</v>
          </cell>
          <cell r="Q2">
            <v>133829.48639378813</v>
          </cell>
          <cell r="R2">
            <v>139547.16491250359</v>
          </cell>
          <cell r="S2">
            <v>110930.85319071898</v>
          </cell>
          <cell r="T2">
            <v>114080.21182095623</v>
          </cell>
          <cell r="U2">
            <v>138045.20340652048</v>
          </cell>
        </row>
        <row r="3">
          <cell r="J3" t="str">
            <v>Canada</v>
          </cell>
          <cell r="K3">
            <v>0.11984212978170826</v>
          </cell>
          <cell r="L3">
            <v>19147.059946291072</v>
          </cell>
          <cell r="M3">
            <v>16259.812890437568</v>
          </cell>
          <cell r="O3">
            <v>18925.810104593478</v>
          </cell>
          <cell r="P3">
            <v>14781.529460345799</v>
          </cell>
          <cell r="Q3">
            <v>18852.205351219745</v>
          </cell>
          <cell r="R3">
            <v>19657.639583029555</v>
          </cell>
          <cell r="S3">
            <v>15626.535530323266</v>
          </cell>
          <cell r="T3">
            <v>16070.177340672652</v>
          </cell>
          <cell r="U3">
            <v>19446.062243062006</v>
          </cell>
        </row>
        <row r="4">
          <cell r="J4" t="str">
            <v>Mexico</v>
          </cell>
          <cell r="K4">
            <v>2.9413335124097807E-2</v>
          </cell>
          <cell r="L4">
            <v>4699.3398053528963</v>
          </cell>
          <cell r="M4">
            <v>3990.7111670387112</v>
          </cell>
          <cell r="O4">
            <v>4645.037568302715</v>
          </cell>
          <cell r="P4">
            <v>3627.890128920556</v>
          </cell>
          <cell r="Q4">
            <v>4626.9724581310948</v>
          </cell>
          <cell r="R4">
            <v>4824.653415769234</v>
          </cell>
          <cell r="S4">
            <v>3835.283361696178</v>
          </cell>
          <cell r="T4">
            <v>3944.1681526009838</v>
          </cell>
          <cell r="U4">
            <v>4772.7251396574338</v>
          </cell>
        </row>
        <row r="5">
          <cell r="K5">
            <v>0</v>
          </cell>
          <cell r="L5">
            <v>159769.02263976223</v>
          </cell>
          <cell r="M5">
            <v>135676.93531527455</v>
          </cell>
          <cell r="N5">
            <v>0.5874917247894369</v>
          </cell>
          <cell r="O5">
            <v>157922.8451552616</v>
          </cell>
          <cell r="P5">
            <v>123341.67865065706</v>
          </cell>
          <cell r="Q5">
            <v>157308.66420313896</v>
          </cell>
          <cell r="R5">
            <v>164029.45791130239</v>
          </cell>
          <cell r="S5">
            <v>130392.67208273843</v>
          </cell>
          <cell r="T5">
            <v>134094.55731422987</v>
          </cell>
          <cell r="U5">
            <v>162263.99078923994</v>
          </cell>
        </row>
        <row r="6">
          <cell r="J6" t="str">
            <v>United Kingdom</v>
          </cell>
          <cell r="K6">
            <v>0</v>
          </cell>
          <cell r="L6">
            <v>27291.972976282599</v>
          </cell>
          <cell r="M6">
            <v>23176.528158893329</v>
          </cell>
          <cell r="N6">
            <v>0.10035617675959033</v>
          </cell>
          <cell r="O6">
            <v>26976.606297661678</v>
          </cell>
          <cell r="P6">
            <v>21069.401971451371</v>
          </cell>
          <cell r="Q6">
            <v>26871.691028913538</v>
          </cell>
          <cell r="R6">
            <v>28019.746623369665</v>
          </cell>
          <cell r="S6">
            <v>22273.86275505523</v>
          </cell>
          <cell r="T6">
            <v>22906.224085367456</v>
          </cell>
          <cell r="U6">
            <v>27718.167004306186</v>
          </cell>
        </row>
        <row r="7">
          <cell r="J7" t="str">
            <v>Germany</v>
          </cell>
          <cell r="K7">
            <v>0.64252498960619753</v>
          </cell>
          <cell r="L7">
            <v>10378.625975549219</v>
          </cell>
          <cell r="M7">
            <v>8813.599419212891</v>
          </cell>
          <cell r="O7">
            <v>10258.697936436687</v>
          </cell>
          <cell r="P7">
            <v>8012.2988096252338</v>
          </cell>
          <cell r="Q7">
            <v>10218.80062544318</v>
          </cell>
          <cell r="R7">
            <v>10655.384657838038</v>
          </cell>
          <cell r="S7">
            <v>8470.3326786351718</v>
          </cell>
          <cell r="T7">
            <v>8710.8078445169049</v>
          </cell>
          <cell r="U7">
            <v>10540.699579158365</v>
          </cell>
        </row>
        <row r="8">
          <cell r="J8" t="str">
            <v>Austria</v>
          </cell>
          <cell r="K8">
            <v>8.0677030333248384E-2</v>
          </cell>
          <cell r="L8">
            <v>1303.1660031775789</v>
          </cell>
          <cell r="M8">
            <v>1106.6573895044037</v>
          </cell>
          <cell r="O8">
            <v>1288.1075413188134</v>
          </cell>
          <cell r="P8">
            <v>1006.044098766287</v>
          </cell>
          <cell r="Q8">
            <v>1283.0979360562833</v>
          </cell>
          <cell r="R8">
            <v>1337.9165093325066</v>
          </cell>
          <cell r="S8">
            <v>1063.5559666959971</v>
          </cell>
          <cell r="T8">
            <v>1093.7506245942434</v>
          </cell>
          <cell r="U8">
            <v>1323.5163665815112</v>
          </cell>
        </row>
        <row r="9">
          <cell r="J9" t="str">
            <v>Switzerland</v>
          </cell>
          <cell r="K9">
            <v>0.27679798006055412</v>
          </cell>
          <cell r="L9">
            <v>4471.083229925026</v>
          </cell>
          <cell r="M9">
            <v>3796.8741383836596</v>
          </cell>
          <cell r="O9">
            <v>4419.4185639338757</v>
          </cell>
          <cell r="P9">
            <v>3451.6760624440858</v>
          </cell>
          <cell r="Q9">
            <v>4402.2309132253495</v>
          </cell>
          <cell r="R9">
            <v>4590.3101011922718</v>
          </cell>
          <cell r="S9">
            <v>3648.9957804195319</v>
          </cell>
          <cell r="T9">
            <v>3752.5918136439932</v>
          </cell>
          <cell r="U9">
            <v>4540.9040879863478</v>
          </cell>
        </row>
        <row r="10">
          <cell r="K10">
            <v>0</v>
          </cell>
          <cell r="L10">
            <v>16152.875208651823</v>
          </cell>
          <cell r="M10">
            <v>13717.130947100954</v>
          </cell>
          <cell r="N10">
            <v>5.9396248157793194E-2</v>
          </cell>
          <cell r="O10">
            <v>15966.224041689376</v>
          </cell>
          <cell r="P10">
            <v>12470.018970835607</v>
          </cell>
          <cell r="Q10">
            <v>15904.129474724812</v>
          </cell>
          <cell r="R10">
            <v>16583.611268362816</v>
          </cell>
          <cell r="S10">
            <v>13182.884425750701</v>
          </cell>
          <cell r="T10">
            <v>13557.150282755141</v>
          </cell>
          <cell r="U10">
            <v>16405.120033726223</v>
          </cell>
        </row>
        <row r="11">
          <cell r="J11" t="str">
            <v>France</v>
          </cell>
          <cell r="K11">
            <v>0.50599104353276969</v>
          </cell>
          <cell r="L11">
            <v>6135.2046438566886</v>
          </cell>
          <cell r="M11">
            <v>5210.0573055852965</v>
          </cell>
          <cell r="O11">
            <v>6064.31057134408</v>
          </cell>
          <cell r="P11">
            <v>4736.3777228882018</v>
          </cell>
          <cell r="Q11">
            <v>6040.7257376424477</v>
          </cell>
          <cell r="R11">
            <v>6298.8073362368004</v>
          </cell>
          <cell r="S11">
            <v>5007.1391441797814</v>
          </cell>
          <cell r="T11">
            <v>5149.2932557091499</v>
          </cell>
          <cell r="U11">
            <v>6231.0125791124728</v>
          </cell>
        </row>
        <row r="12">
          <cell r="J12" t="str">
            <v>Belgium</v>
          </cell>
          <cell r="K12">
            <v>0.17978394450045035</v>
          </cell>
          <cell r="L12">
            <v>2179.9027972687845</v>
          </cell>
          <cell r="M12">
            <v>1851.1882086522546</v>
          </cell>
          <cell r="O12">
            <v>2154.7133869799595</v>
          </cell>
          <cell r="P12">
            <v>1682.8848663400388</v>
          </cell>
          <cell r="Q12">
            <v>2146.3334472805095</v>
          </cell>
          <cell r="R12">
            <v>2238.0325561705063</v>
          </cell>
          <cell r="S12">
            <v>1779.0892497190025</v>
          </cell>
          <cell r="T12">
            <v>1829.5981020482266</v>
          </cell>
          <cell r="U12">
            <v>2213.9443652666446</v>
          </cell>
        </row>
        <row r="13">
          <cell r="J13" t="str">
            <v>Luxembourg</v>
          </cell>
          <cell r="K13">
            <v>2.2991575587597211E-2</v>
          </cell>
          <cell r="L13">
            <v>278.77572758948071</v>
          </cell>
          <cell r="M13">
            <v>236.73823457572638</v>
          </cell>
          <cell r="O13">
            <v>275.55439304666743</v>
          </cell>
          <cell r="P13">
            <v>215.21484978645304</v>
          </cell>
          <cell r="Q13">
            <v>274.48272884687049</v>
          </cell>
          <cell r="R13">
            <v>286.20962136342882</v>
          </cell>
          <cell r="S13">
            <v>227.51789697157074</v>
          </cell>
          <cell r="T13">
            <v>233.97719509964821</v>
          </cell>
          <cell r="U13">
            <v>283.12911568494081</v>
          </cell>
        </row>
        <row r="14">
          <cell r="J14" t="str">
            <v>Netherlands</v>
          </cell>
          <cell r="K14">
            <v>0.29123343637918286</v>
          </cell>
          <cell r="L14">
            <v>3531.2418157539705</v>
          </cell>
          <cell r="M14">
            <v>2998.7544487826576</v>
          </cell>
          <cell r="O14">
            <v>3490.4372904157181</v>
          </cell>
          <cell r="P14">
            <v>2726.1185308652725</v>
          </cell>
          <cell r="Q14">
            <v>3476.8625596904435</v>
          </cell>
          <cell r="R14">
            <v>3625.4066728433049</v>
          </cell>
          <cell r="S14">
            <v>2881.9607738644836</v>
          </cell>
          <cell r="T14">
            <v>2963.7804640057898</v>
          </cell>
          <cell r="U14">
            <v>3586.3860215132759</v>
          </cell>
        </row>
        <row r="15">
          <cell r="K15">
            <v>0</v>
          </cell>
          <cell r="L15">
            <v>12125.124984468923</v>
          </cell>
          <cell r="M15">
            <v>10296.738197595934</v>
          </cell>
          <cell r="N15">
            <v>4.4585680457435037E-2</v>
          </cell>
          <cell r="O15">
            <v>11985.015641786424</v>
          </cell>
          <cell r="P15">
            <v>9360.5959698799652</v>
          </cell>
          <cell r="Q15">
            <v>11938.40447346027</v>
          </cell>
          <cell r="R15">
            <v>12448.456186614039</v>
          </cell>
          <cell r="S15">
            <v>9895.7070647348373</v>
          </cell>
          <cell r="T15">
            <v>10176.649016862813</v>
          </cell>
          <cell r="U15">
            <v>12314.472081577333</v>
          </cell>
        </row>
        <row r="16">
          <cell r="J16" t="str">
            <v>Italy</v>
          </cell>
          <cell r="K16">
            <v>0.49272829802613349</v>
          </cell>
          <cell r="L16">
            <v>4108.5103385663724</v>
          </cell>
          <cell r="M16">
            <v>3488.97478521019</v>
          </cell>
          <cell r="O16">
            <v>4061.0353076963293</v>
          </cell>
          <cell r="P16">
            <v>3171.7698058086457</v>
          </cell>
          <cell r="Q16">
            <v>4045.2414526056846</v>
          </cell>
          <cell r="R16">
            <v>4218.0687627884618</v>
          </cell>
          <cell r="S16">
            <v>3353.0883050660873</v>
          </cell>
          <cell r="T16">
            <v>3448.2834404839314</v>
          </cell>
          <cell r="U16">
            <v>4172.6692241072542</v>
          </cell>
        </row>
        <row r="17">
          <cell r="J17" t="str">
            <v>Portugal</v>
          </cell>
          <cell r="K17">
            <v>8.2522720572127353E-2</v>
          </cell>
          <cell r="L17">
            <v>688.0981912251093</v>
          </cell>
          <cell r="M17">
            <v>584.33764091996147</v>
          </cell>
          <cell r="O17">
            <v>680.14701666838869</v>
          </cell>
          <cell r="P17">
            <v>531.21177422201777</v>
          </cell>
          <cell r="Q17">
            <v>677.50184305927553</v>
          </cell>
          <cell r="R17">
            <v>706.4471662375463</v>
          </cell>
          <cell r="S17">
            <v>561.57921183158999</v>
          </cell>
          <cell r="T17">
            <v>577.52260617565889</v>
          </cell>
          <cell r="U17">
            <v>698.84359757769619</v>
          </cell>
        </row>
        <row r="18">
          <cell r="J18" t="str">
            <v>Spain</v>
          </cell>
          <cell r="K18">
            <v>0.42474898140173922</v>
          </cell>
          <cell r="L18">
            <v>3541.6792345302338</v>
          </cell>
          <cell r="M18">
            <v>3007.6179754461364</v>
          </cell>
          <cell r="O18">
            <v>3500.7541017849712</v>
          </cell>
          <cell r="P18">
            <v>2734.1762177145365</v>
          </cell>
          <cell r="Q18">
            <v>3487.1392477385684</v>
          </cell>
          <cell r="R18">
            <v>3636.1224180833815</v>
          </cell>
          <cell r="S18">
            <v>2890.479089251266</v>
          </cell>
          <cell r="T18">
            <v>2972.5406168012532</v>
          </cell>
          <cell r="U18">
            <v>3596.9864320070774</v>
          </cell>
        </row>
        <row r="19">
          <cell r="K19">
            <v>0</v>
          </cell>
          <cell r="L19">
            <v>8338.2877643217143</v>
          </cell>
          <cell r="M19">
            <v>7080.9304015762873</v>
          </cell>
          <cell r="N19">
            <v>3.0660981581500102E-2</v>
          </cell>
          <cell r="O19">
            <v>8241.9364261496885</v>
          </cell>
          <cell r="P19">
            <v>6437.1577977451998</v>
          </cell>
          <cell r="Q19">
            <v>8209.882543403528</v>
          </cell>
          <cell r="R19">
            <v>8560.6383471093886</v>
          </cell>
          <cell r="S19">
            <v>6805.1466061489427</v>
          </cell>
          <cell r="T19">
            <v>6998.346663460843</v>
          </cell>
          <cell r="U19">
            <v>8468.4992536920272</v>
          </cell>
        </row>
        <row r="20">
          <cell r="J20" t="str">
            <v>Denmark</v>
          </cell>
          <cell r="K20">
            <v>0.28797030525190487</v>
          </cell>
          <cell r="L20">
            <v>1257.7916387713526</v>
          </cell>
          <cell r="M20">
            <v>1068.1251721646506</v>
          </cell>
          <cell r="O20">
            <v>1243.2574908788133</v>
          </cell>
          <cell r="P20">
            <v>971.01509138361473</v>
          </cell>
          <cell r="Q20">
            <v>1238.4223128605167</v>
          </cell>
          <cell r="R20">
            <v>1291.3321823231049</v>
          </cell>
          <cell r="S20">
            <v>1026.5244788566811</v>
          </cell>
          <cell r="T20">
            <v>1055.6678022301965</v>
          </cell>
          <cell r="U20">
            <v>1277.4334318146114</v>
          </cell>
        </row>
        <row r="21">
          <cell r="J21" t="str">
            <v>Finland</v>
          </cell>
          <cell r="K21">
            <v>9.0233664082645562E-2</v>
          </cell>
          <cell r="L21">
            <v>394.12101230220071</v>
          </cell>
          <cell r="M21">
            <v>334.69023099104936</v>
          </cell>
          <cell r="O21">
            <v>389.56682947589974</v>
          </cell>
          <cell r="P21">
            <v>304.26140465574582</v>
          </cell>
          <cell r="Q21">
            <v>388.05175718849461</v>
          </cell>
          <cell r="R21">
            <v>404.63072835556505</v>
          </cell>
          <cell r="S21">
            <v>321.65491826228441</v>
          </cell>
          <cell r="T21">
            <v>330.78679333265785</v>
          </cell>
          <cell r="U21">
            <v>400.275643259361</v>
          </cell>
        </row>
        <row r="22">
          <cell r="J22" t="str">
            <v>Norway</v>
          </cell>
          <cell r="K22">
            <v>0.374237506156406</v>
          </cell>
          <cell r="L22">
            <v>1634.5880029067905</v>
          </cell>
          <cell r="M22">
            <v>1388.1031946822109</v>
          </cell>
          <cell r="O22">
            <v>1615.6998635319537</v>
          </cell>
          <cell r="P22">
            <v>1261.9018683949355</v>
          </cell>
          <cell r="Q22">
            <v>1609.4162122999051</v>
          </cell>
          <cell r="R22">
            <v>1678.176279701365</v>
          </cell>
          <cell r="S22">
            <v>1334.0401908445992</v>
          </cell>
          <cell r="T22">
            <v>1371.9139731808491</v>
          </cell>
          <cell r="U22">
            <v>1660.1138835649347</v>
          </cell>
        </row>
        <row r="23">
          <cell r="J23" t="str">
            <v>Sweden</v>
          </cell>
          <cell r="K23">
            <v>0.24755852450904356</v>
          </cell>
          <cell r="L23">
            <v>1081.2817729997118</v>
          </cell>
          <cell r="M23">
            <v>918.23179956260401</v>
          </cell>
          <cell r="O23">
            <v>1068.7872478988484</v>
          </cell>
          <cell r="P23">
            <v>834.74948255051618</v>
          </cell>
          <cell r="Q23">
            <v>1064.6306056544304</v>
          </cell>
          <cell r="R23">
            <v>1110.1154663405575</v>
          </cell>
          <cell r="S23">
            <v>882.46906268990688</v>
          </cell>
          <cell r="T23">
            <v>907.52261162206594</v>
          </cell>
          <cell r="U23">
            <v>1098.1671713057895</v>
          </cell>
        </row>
        <row r="24">
          <cell r="K24">
            <v>0</v>
          </cell>
          <cell r="L24">
            <v>4367.7824269800558</v>
          </cell>
          <cell r="M24">
            <v>3709.150397400515</v>
          </cell>
          <cell r="N24">
            <v>1.6060910864537571E-2</v>
          </cell>
          <cell r="O24">
            <v>4317.3114317855152</v>
          </cell>
          <cell r="P24">
            <v>3371.9278469848123</v>
          </cell>
          <cell r="Q24">
            <v>4300.520888003347</v>
          </cell>
          <cell r="R24">
            <v>4484.2546567205927</v>
          </cell>
          <cell r="S24">
            <v>3564.6886506534715</v>
          </cell>
          <cell r="T24">
            <v>3665.8911803657693</v>
          </cell>
          <cell r="U24">
            <v>4435.9901299446965</v>
          </cell>
        </row>
        <row r="25">
          <cell r="J25" t="str">
            <v>Ireland</v>
          </cell>
          <cell r="K25">
            <v>0.88329396558909923</v>
          </cell>
          <cell r="L25">
            <v>1664.5706597623534</v>
          </cell>
          <cell r="M25">
            <v>1413.5646698014802</v>
          </cell>
          <cell r="O25">
            <v>1645.336062074774</v>
          </cell>
          <cell r="P25">
            <v>1285.0484782062131</v>
          </cell>
          <cell r="Q25">
            <v>1638.9371520996319</v>
          </cell>
          <cell r="R25">
            <v>1708.9584605615898</v>
          </cell>
          <cell r="S25">
            <v>1358.5100078275295</v>
          </cell>
          <cell r="T25">
            <v>1397.0784952623062</v>
          </cell>
          <cell r="U25">
            <v>1690.5647524221442</v>
          </cell>
        </row>
        <row r="26">
          <cell r="J26" t="str">
            <v>Greece</v>
          </cell>
          <cell r="K26">
            <v>0.11670603441090077</v>
          </cell>
          <cell r="L26">
            <v>219.93294222047436</v>
          </cell>
          <cell r="M26">
            <v>186.76854300239665</v>
          </cell>
          <cell r="O26">
            <v>217.39155316195254</v>
          </cell>
          <cell r="P26">
            <v>169.78822199604619</v>
          </cell>
          <cell r="Q26">
            <v>216.54609124684356</v>
          </cell>
          <cell r="R26">
            <v>225.79772156836106</v>
          </cell>
          <cell r="S26">
            <v>179.49439472886326</v>
          </cell>
          <cell r="T26">
            <v>184.59029190137193</v>
          </cell>
          <cell r="U26">
            <v>223.36743582126607</v>
          </cell>
        </row>
        <row r="27">
          <cell r="K27">
            <v>0</v>
          </cell>
          <cell r="L27">
            <v>1884.5036019828278</v>
          </cell>
          <cell r="M27">
            <v>1600.3332128038769</v>
          </cell>
          <cell r="N27">
            <v>6.9295677798385871E-3</v>
          </cell>
          <cell r="O27">
            <v>1862.7276152367265</v>
          </cell>
          <cell r="P27">
            <v>1454.8367002022592</v>
          </cell>
          <cell r="Q27">
            <v>1855.4832433464755</v>
          </cell>
          <cell r="R27">
            <v>1934.756182129951</v>
          </cell>
          <cell r="S27">
            <v>1538.0044025563927</v>
          </cell>
          <cell r="T27">
            <v>1581.6687871636782</v>
          </cell>
          <cell r="U27">
            <v>1913.9321882434103</v>
          </cell>
        </row>
        <row r="28">
          <cell r="J28" t="str">
            <v>Japan</v>
          </cell>
          <cell r="L28">
            <v>5907.6041666112915</v>
          </cell>
          <cell r="M28">
            <v>5016.7774399471627</v>
          </cell>
          <cell r="N28">
            <v>2.1723038070034333E-2</v>
          </cell>
          <cell r="O28">
            <v>5839.3400837525569</v>
          </cell>
          <cell r="P28">
            <v>4560.6701641805648</v>
          </cell>
          <cell r="Q28">
            <v>5816.630187354217</v>
          </cell>
          <cell r="R28">
            <v>6065.1376154981763</v>
          </cell>
          <cell r="S28">
            <v>4821.387025871787</v>
          </cell>
          <cell r="T28">
            <v>4958.2675816675446</v>
          </cell>
          <cell r="U28">
            <v>5999.8578713150528</v>
          </cell>
        </row>
        <row r="29">
          <cell r="J29" t="str">
            <v>Australia</v>
          </cell>
          <cell r="K29">
            <v>0.94784263878829977</v>
          </cell>
          <cell r="L29">
            <v>19409.748670180936</v>
          </cell>
          <cell r="M29">
            <v>16482.889932597478</v>
          </cell>
          <cell r="O29">
            <v>19185.463383943068</v>
          </cell>
          <cell r="P29">
            <v>14984.325143963581</v>
          </cell>
          <cell r="Q29">
            <v>19110.848807714534</v>
          </cell>
          <cell r="R29">
            <v>19927.333221177552</v>
          </cell>
          <cell r="S29">
            <v>15840.924302740279</v>
          </cell>
          <cell r="T29">
            <v>16290.652671618851</v>
          </cell>
          <cell r="U29">
            <v>19712.853138877967</v>
          </cell>
        </row>
        <row r="30">
          <cell r="J30" t="str">
            <v>New Zealand</v>
          </cell>
          <cell r="K30">
            <v>5.2157361211700282E-2</v>
          </cell>
          <cell r="L30">
            <v>1068.0689293669313</v>
          </cell>
          <cell r="M30">
            <v>907.01136332736689</v>
          </cell>
          <cell r="O30">
            <v>1055.7270825138157</v>
          </cell>
          <cell r="P30">
            <v>824.54916783061981</v>
          </cell>
          <cell r="Q30">
            <v>1051.6212328244783</v>
          </cell>
          <cell r="R30">
            <v>1096.550286165183</v>
          </cell>
          <cell r="S30">
            <v>871.68563322013847</v>
          </cell>
          <cell r="T30">
            <v>896.43303750734697</v>
          </cell>
          <cell r="U30">
            <v>1084.7479946587412</v>
          </cell>
        </row>
        <row r="31">
          <cell r="K31">
            <v>0</v>
          </cell>
          <cell r="L31">
            <v>20477.817599547867</v>
          </cell>
          <cell r="M31">
            <v>17389.901295924843</v>
          </cell>
          <cell r="N31">
            <v>7.5299630571112872E-2</v>
          </cell>
          <cell r="O31">
            <v>20241.190466456883</v>
          </cell>
          <cell r="P31">
            <v>15808.874311794199</v>
          </cell>
          <cell r="Q31">
            <v>20162.47004053901</v>
          </cell>
          <cell r="R31">
            <v>21023.883507342733</v>
          </cell>
          <cell r="S31">
            <v>16712.609935960416</v>
          </cell>
          <cell r="T31">
            <v>17187.085709126197</v>
          </cell>
          <cell r="U31">
            <v>20797.601133536707</v>
          </cell>
        </row>
        <row r="32">
          <cell r="J32" t="str">
            <v>Bulgaria</v>
          </cell>
          <cell r="K32">
            <v>1.0064416653829534E-2</v>
          </cell>
          <cell r="L32">
            <v>8.959976247917286</v>
          </cell>
          <cell r="M32">
            <v>7.6088724693276317</v>
          </cell>
          <cell r="O32">
            <v>8.8564411186584504</v>
          </cell>
          <cell r="P32">
            <v>6.9171012805150287</v>
          </cell>
          <cell r="Q32">
            <v>8.8219973532024287</v>
          </cell>
          <cell r="R32">
            <v>9.1989049101077036</v>
          </cell>
          <cell r="S32">
            <v>7.3125267054931671</v>
          </cell>
          <cell r="T32">
            <v>7.5201314288535031</v>
          </cell>
          <cell r="U32">
            <v>9.099896083372716</v>
          </cell>
        </row>
        <row r="33">
          <cell r="J33" t="str">
            <v>Cyprus</v>
          </cell>
          <cell r="K33">
            <v>1.0806333638375484E-2</v>
          </cell>
          <cell r="L33">
            <v>9.6204773766070169</v>
          </cell>
          <cell r="M33">
            <v>8.1697744979703213</v>
          </cell>
          <cell r="O33">
            <v>9.5093099648685939</v>
          </cell>
          <cell r="P33">
            <v>7.42700812363901</v>
          </cell>
          <cell r="Q33">
            <v>9.4723271138915237</v>
          </cell>
          <cell r="R33">
            <v>9.8770191045786948</v>
          </cell>
          <cell r="S33">
            <v>7.8515830611028967</v>
          </cell>
          <cell r="T33">
            <v>8.0744917484812966</v>
          </cell>
          <cell r="U33">
            <v>9.7707116600796358</v>
          </cell>
        </row>
        <row r="34">
          <cell r="J34" t="str">
            <v>Czech Republic</v>
          </cell>
          <cell r="K34">
            <v>0.43757361402154754</v>
          </cell>
          <cell r="L34">
            <v>389.55553244673911</v>
          </cell>
          <cell r="M34">
            <v>330.81319459939965</v>
          </cell>
          <cell r="O34">
            <v>385.05410506686826</v>
          </cell>
          <cell r="P34">
            <v>300.73685440242116</v>
          </cell>
          <cell r="Q34">
            <v>383.55658330783342</v>
          </cell>
          <cell r="R34">
            <v>399.94350442802761</v>
          </cell>
          <cell r="S34">
            <v>317.92888233956472</v>
          </cell>
          <cell r="T34">
            <v>326.95497418505289</v>
          </cell>
          <cell r="U34">
            <v>395.63886843921676</v>
          </cell>
        </row>
        <row r="35">
          <cell r="J35" t="str">
            <v>Estonia</v>
          </cell>
          <cell r="K35">
            <v>1.5290511519227567E-2</v>
          </cell>
          <cell r="L35">
            <v>13.612574354088853</v>
          </cell>
          <cell r="M35">
            <v>11.559890269081682</v>
          </cell>
          <cell r="O35">
            <v>13.455277101696728</v>
          </cell>
          <cell r="P35">
            <v>10.508906819664961</v>
          </cell>
          <cell r="Q35">
            <v>13.40294790959492</v>
          </cell>
          <cell r="R35">
            <v>13.975570202447944</v>
          </cell>
          <cell r="S35">
            <v>11.109662653171027</v>
          </cell>
          <cell r="T35">
            <v>11.425069151448243</v>
          </cell>
          <cell r="U35">
            <v>13.82514960105914</v>
          </cell>
        </row>
        <row r="36">
          <cell r="J36" t="str">
            <v>Hungary</v>
          </cell>
          <cell r="K36">
            <v>0.11171557299599444</v>
          </cell>
          <cell r="L36">
            <v>99.456224339212852</v>
          </cell>
          <cell r="M36">
            <v>84.458898811680783</v>
          </cell>
          <cell r="O36">
            <v>98.306978765604356</v>
          </cell>
          <cell r="P36">
            <v>76.780200939915474</v>
          </cell>
          <cell r="Q36">
            <v>97.924651093131146</v>
          </cell>
          <cell r="R36">
            <v>102.10834550230206</v>
          </cell>
          <cell r="S36">
            <v>81.169444693234112</v>
          </cell>
          <cell r="T36">
            <v>83.473868429313242</v>
          </cell>
          <cell r="U36">
            <v>101.00934213322437</v>
          </cell>
        </row>
        <row r="37">
          <cell r="J37" t="str">
            <v>Latvia</v>
          </cell>
          <cell r="K37">
            <v>1.3308039274637928E-2</v>
          </cell>
          <cell r="L37">
            <v>11.847652964738423</v>
          </cell>
          <cell r="M37">
            <v>10.061107080557326</v>
          </cell>
          <cell r="O37">
            <v>11.710749891875574</v>
          </cell>
          <cell r="P37">
            <v>9.1463875825049339</v>
          </cell>
          <cell r="Q37">
            <v>11.665205376060962</v>
          </cell>
          <cell r="R37">
            <v>12.163585038064987</v>
          </cell>
          <cell r="S37">
            <v>9.6692531659560252</v>
          </cell>
          <cell r="T37">
            <v>9.9437660271687456</v>
          </cell>
          <cell r="U37">
            <v>12.032667032576445</v>
          </cell>
        </row>
        <row r="38">
          <cell r="J38" t="str">
            <v>Lithuania</v>
          </cell>
          <cell r="K38">
            <v>7.9160938325450198E-3</v>
          </cell>
          <cell r="L38">
            <v>7.0474042515816979</v>
          </cell>
          <cell r="M38">
            <v>5.9847033860772685</v>
          </cell>
          <cell r="O38">
            <v>6.9659694475222134</v>
          </cell>
          <cell r="P38">
            <v>5.4405957810718553</v>
          </cell>
          <cell r="Q38">
            <v>6.9388779539290599</v>
          </cell>
          <cell r="R38">
            <v>7.2353318557577548</v>
          </cell>
          <cell r="S38">
            <v>5.7516147775588369</v>
          </cell>
          <cell r="T38">
            <v>5.914904765118588</v>
          </cell>
          <cell r="U38">
            <v>7.1574571820789652</v>
          </cell>
        </row>
        <row r="39">
          <cell r="J39" t="str">
            <v>Malta</v>
          </cell>
          <cell r="K39">
            <v>1.1108520720815217E-2</v>
          </cell>
          <cell r="L39">
            <v>9.8895033096755949</v>
          </cell>
          <cell r="M39">
            <v>8.3982331410539448</v>
          </cell>
          <cell r="O39">
            <v>9.7752272251032792</v>
          </cell>
          <cell r="P39">
            <v>7.6346961324719542</v>
          </cell>
          <cell r="Q39">
            <v>9.7372101898958245</v>
          </cell>
          <cell r="R39">
            <v>10.153218941294345</v>
          </cell>
          <cell r="S39">
            <v>8.0711438351051132</v>
          </cell>
          <cell r="T39">
            <v>8.3002859156160493</v>
          </cell>
          <cell r="U39">
            <v>10.043938727531462</v>
          </cell>
        </row>
        <row r="40">
          <cell r="J40" t="str">
            <v>Poland</v>
          </cell>
          <cell r="K40">
            <v>0.24920087389075221</v>
          </cell>
          <cell r="L40">
            <v>221.85428006617477</v>
          </cell>
          <cell r="M40">
            <v>188.40015610425337</v>
          </cell>
          <cell r="O40">
            <v>219.29068939051683</v>
          </cell>
          <cell r="P40">
            <v>171.2714947308244</v>
          </cell>
          <cell r="Q40">
            <v>218.4378415060383</v>
          </cell>
          <cell r="R40">
            <v>227.77029422410857</v>
          </cell>
          <cell r="S40">
            <v>181.06246075026868</v>
          </cell>
          <cell r="T40">
            <v>186.20287576533647</v>
          </cell>
          <cell r="U40">
            <v>225.31877746025631</v>
          </cell>
        </row>
        <row r="41">
          <cell r="J41" t="str">
            <v>Romania</v>
          </cell>
          <cell r="K41">
            <v>3.2187788375077173E-2</v>
          </cell>
          <cell r="L41">
            <v>28.655592195096776</v>
          </cell>
          <cell r="M41">
            <v>24.334522828253419</v>
          </cell>
          <cell r="O41">
            <v>28.324468500143073</v>
          </cell>
          <cell r="P41">
            <v>22.12211595010583</v>
          </cell>
          <cell r="Q41">
            <v>28.214311233063174</v>
          </cell>
          <cell r="R41">
            <v>29.419728406846236</v>
          </cell>
          <cell r="S41">
            <v>23.386756548274853</v>
          </cell>
          <cell r="T41">
            <v>24.050713251482911</v>
          </cell>
          <cell r="U41">
            <v>29.103080629650144</v>
          </cell>
        </row>
        <row r="42">
          <cell r="J42" t="str">
            <v>Slovakia</v>
          </cell>
          <cell r="K42">
            <v>9.0615536882827252E-2</v>
          </cell>
          <cell r="L42">
            <v>80.671646066388774</v>
          </cell>
          <cell r="M42">
            <v>68.506907811565739</v>
          </cell>
          <cell r="O42">
            <v>79.739461753406019</v>
          </cell>
          <cell r="P42">
            <v>62.278507315996656</v>
          </cell>
          <cell r="Q42">
            <v>79.429345389346707</v>
          </cell>
          <cell r="R42">
            <v>82.822853607348662</v>
          </cell>
          <cell r="S42">
            <v>65.838742192389617</v>
          </cell>
          <cell r="T42">
            <v>67.707922902386329</v>
          </cell>
          <cell r="U42">
            <v>81.931422111682593</v>
          </cell>
        </row>
        <row r="43">
          <cell r="J43" t="str">
            <v>Slovenia</v>
          </cell>
          <cell r="K43">
            <v>1.0212698194370729E-2</v>
          </cell>
          <cell r="L43">
            <v>9.0919857947148301</v>
          </cell>
          <cell r="M43">
            <v>7.7209758698862805</v>
          </cell>
          <cell r="O43">
            <v>8.9869252567815856</v>
          </cell>
          <cell r="P43">
            <v>7.0190126450017098</v>
          </cell>
          <cell r="Q43">
            <v>8.9519740228075619</v>
          </cell>
          <cell r="R43">
            <v>9.3344346519972863</v>
          </cell>
          <cell r="S43">
            <v>7.4202639705960154</v>
          </cell>
          <cell r="T43">
            <v>7.6309273857079285</v>
          </cell>
          <cell r="U43">
            <v>9.2339671037227991</v>
          </cell>
        </row>
        <row r="44">
          <cell r="K44">
            <v>0</v>
          </cell>
          <cell r="L44">
            <v>890.26284941293591</v>
          </cell>
          <cell r="M44">
            <v>756.01723686910736</v>
          </cell>
          <cell r="N44">
            <v>3.2736136722626369E-3</v>
          </cell>
          <cell r="O44">
            <v>879.97560348304489</v>
          </cell>
          <cell r="P44">
            <v>687.28288170413293</v>
          </cell>
          <cell r="Q44">
            <v>876.55327244879493</v>
          </cell>
          <cell r="R44">
            <v>914.00279087288175</v>
          </cell>
          <cell r="S44">
            <v>726.572334692715</v>
          </cell>
          <cell r="T44">
            <v>747.19993095596612</v>
          </cell>
          <cell r="U44">
            <v>904.16527816445125</v>
          </cell>
        </row>
        <row r="45">
          <cell r="J45" t="str">
            <v>Brazil</v>
          </cell>
          <cell r="K45">
            <v>0.82594437878220051</v>
          </cell>
          <cell r="L45">
            <v>4044.4714831506603</v>
          </cell>
          <cell r="M45">
            <v>3434.5925557870787</v>
          </cell>
          <cell r="O45">
            <v>3997.7364398642444</v>
          </cell>
          <cell r="P45">
            <v>3122.3318121642201</v>
          </cell>
          <cell r="Q45">
            <v>3982.1887616891377</v>
          </cell>
          <cell r="R45">
            <v>4152.3222334203501</v>
          </cell>
          <cell r="S45">
            <v>3300.8241218295007</v>
          </cell>
          <cell r="T45">
            <v>3394.5354621462157</v>
          </cell>
          <cell r="U45">
            <v>4107.6303318761975</v>
          </cell>
        </row>
        <row r="46">
          <cell r="J46" t="str">
            <v>Argentina</v>
          </cell>
          <cell r="K46">
            <v>1.305446778286041E-2</v>
          </cell>
          <cell r="L46">
            <v>63.924913144073557</v>
          </cell>
          <cell r="M46">
            <v>54.285468874893773</v>
          </cell>
          <cell r="O46">
            <v>63.186242196506051</v>
          </cell>
          <cell r="P46">
            <v>49.350030215589598</v>
          </cell>
          <cell r="Q46">
            <v>62.940503295619678</v>
          </cell>
          <cell r="R46">
            <v>65.629548687242817</v>
          </cell>
          <cell r="S46">
            <v>52.171191259689635</v>
          </cell>
          <cell r="T46">
            <v>53.652346292013931</v>
          </cell>
          <cell r="U46">
            <v>64.923170626140035</v>
          </cell>
        </row>
        <row r="47">
          <cell r="J47" t="str">
            <v>Belize</v>
          </cell>
          <cell r="K47">
            <v>1.1526575178056273E-4</v>
          </cell>
          <cell r="L47">
            <v>0.56443152594339685</v>
          </cell>
          <cell r="M47">
            <v>0.47931907180776084</v>
          </cell>
          <cell r="O47">
            <v>0.55790935564078092</v>
          </cell>
          <cell r="P47">
            <v>0.43574111390905151</v>
          </cell>
          <cell r="Q47">
            <v>0.55573957900771231</v>
          </cell>
          <cell r="R47">
            <v>0.57948277894455291</v>
          </cell>
          <cell r="S47">
            <v>0.46065084244422555</v>
          </cell>
          <cell r="T47">
            <v>0.47372885153231531</v>
          </cell>
          <cell r="U47">
            <v>0.57324574196927247</v>
          </cell>
        </row>
        <row r="48">
          <cell r="J48" t="str">
            <v>Bolivia</v>
          </cell>
          <cell r="K48">
            <v>2.7333812843475641E-4</v>
          </cell>
          <cell r="L48">
            <v>1.3384778613568902</v>
          </cell>
          <cell r="M48">
            <v>1.1366444584549287</v>
          </cell>
          <cell r="O48">
            <v>1.323011360715453</v>
          </cell>
          <cell r="P48">
            <v>1.0333048517717711</v>
          </cell>
          <cell r="Q48">
            <v>1.3178660102983275</v>
          </cell>
          <cell r="R48">
            <v>1.3741700011502105</v>
          </cell>
          <cell r="S48">
            <v>1.0923751174182794</v>
          </cell>
          <cell r="T48">
            <v>1.1233879592431135</v>
          </cell>
          <cell r="U48">
            <v>1.3593796580737423</v>
          </cell>
        </row>
        <row r="49">
          <cell r="J49" t="str">
            <v>Chile</v>
          </cell>
          <cell r="K49">
            <v>4.3448177943114986E-2</v>
          </cell>
          <cell r="L49">
            <v>212.75635648114545</v>
          </cell>
          <cell r="M49">
            <v>180.67413782264609</v>
          </cell>
          <cell r="O49">
            <v>210.29789495631337</v>
          </cell>
          <cell r="P49">
            <v>164.24789811195365</v>
          </cell>
          <cell r="Q49">
            <v>209.48002113174624</v>
          </cell>
          <cell r="R49">
            <v>218.4297634433976</v>
          </cell>
          <cell r="S49">
            <v>173.63735075675422</v>
          </cell>
          <cell r="T49">
            <v>178.56696477673424</v>
          </cell>
          <cell r="U49">
            <v>216.07877984112457</v>
          </cell>
        </row>
        <row r="50">
          <cell r="J50" t="str">
            <v>Colombia</v>
          </cell>
          <cell r="K50">
            <v>6.7210849969674358E-2</v>
          </cell>
          <cell r="L50">
            <v>329.11703626031561</v>
          </cell>
          <cell r="M50">
            <v>279.48841460041973</v>
          </cell>
          <cell r="O50">
            <v>325.31399326693531</v>
          </cell>
          <cell r="P50">
            <v>254.07833792915611</v>
          </cell>
          <cell r="Q50">
            <v>324.04880799290436</v>
          </cell>
          <cell r="R50">
            <v>337.89334224617483</v>
          </cell>
          <cell r="S50">
            <v>268.60306883578454</v>
          </cell>
          <cell r="T50">
            <v>276.22878673675314</v>
          </cell>
          <cell r="U50">
            <v>334.25655898726774</v>
          </cell>
        </row>
        <row r="51">
          <cell r="J51" t="str">
            <v>Costa Rica</v>
          </cell>
          <cell r="K51">
            <v>6.9725747697133916E-3</v>
          </cell>
          <cell r="L51">
            <v>34.143194801835399</v>
          </cell>
          <cell r="M51">
            <v>28.99463210105754</v>
          </cell>
          <cell r="O51">
            <v>33.748660264097168</v>
          </cell>
          <cell r="P51">
            <v>26.358544928012169</v>
          </cell>
          <cell r="Q51">
            <v>33.617407662401142</v>
          </cell>
          <cell r="R51">
            <v>35.053664610146065</v>
          </cell>
          <cell r="S51">
            <v>27.865366703099511</v>
          </cell>
          <cell r="T51">
            <v>28.656472428755951</v>
          </cell>
          <cell r="U51">
            <v>34.676378157059801</v>
          </cell>
        </row>
        <row r="52">
          <cell r="J52" t="str">
            <v>Dominican Republic</v>
          </cell>
          <cell r="K52">
            <v>4.3982649806390845E-3</v>
          </cell>
          <cell r="L52">
            <v>21.537354992067563</v>
          </cell>
          <cell r="M52">
            <v>18.289667620421547</v>
          </cell>
          <cell r="O52">
            <v>21.288484596510941</v>
          </cell>
          <cell r="P52">
            <v>16.626837133543319</v>
          </cell>
          <cell r="Q52">
            <v>21.205691117670824</v>
          </cell>
          <cell r="R52">
            <v>22.1116747528561</v>
          </cell>
          <cell r="S52">
            <v>17.577332705741178</v>
          </cell>
          <cell r="T52">
            <v>18.076358205510871</v>
          </cell>
          <cell r="U52">
            <v>21.873684362062907</v>
          </cell>
        </row>
        <row r="53">
          <cell r="J53" t="str">
            <v>Ecuador</v>
          </cell>
          <cell r="K53">
            <v>9.6378568702159932E-3</v>
          </cell>
          <cell r="L53">
            <v>47.194506399752612</v>
          </cell>
          <cell r="M53">
            <v>40.077894239067341</v>
          </cell>
          <cell r="O53">
            <v>46.64916016386934</v>
          </cell>
          <cell r="P53">
            <v>36.434156923896474</v>
          </cell>
          <cell r="Q53">
            <v>46.467735965381785</v>
          </cell>
          <cell r="R53">
            <v>48.453005302520474</v>
          </cell>
          <cell r="S53">
            <v>38.516964649429625</v>
          </cell>
          <cell r="T53">
            <v>39.610472285404178</v>
          </cell>
          <cell r="U53">
            <v>47.931500269729504</v>
          </cell>
        </row>
        <row r="54">
          <cell r="J54" t="str">
            <v>El Salvador</v>
          </cell>
          <cell r="K54">
            <v>1.2802516513598366E-3</v>
          </cell>
          <cell r="L54">
            <v>6.2691162119366037</v>
          </cell>
          <cell r="M54">
            <v>5.3237759154894917</v>
          </cell>
          <cell r="O54">
            <v>6.1966747523409511</v>
          </cell>
          <cell r="P54">
            <v>4.8397574477235956</v>
          </cell>
          <cell r="Q54">
            <v>6.1725751384083027</v>
          </cell>
          <cell r="R54">
            <v>6.4362898191191507</v>
          </cell>
          <cell r="S54">
            <v>5.1164287104313066</v>
          </cell>
          <cell r="T54">
            <v>5.2616855839855665</v>
          </cell>
          <cell r="U54">
            <v>6.3670153228889381</v>
          </cell>
        </row>
        <row r="55">
          <cell r="J55" t="str">
            <v>Guatemala</v>
          </cell>
          <cell r="K55">
            <v>2.7099136173983512E-3</v>
          </cell>
          <cell r="L55">
            <v>13.26986251002678</v>
          </cell>
          <cell r="M55">
            <v>11.268857051688661</v>
          </cell>
          <cell r="O55">
            <v>13.116525392582753</v>
          </cell>
          <cell r="P55">
            <v>10.244333290693781</v>
          </cell>
          <cell r="Q55">
            <v>13.065513646649242</v>
          </cell>
          <cell r="R55">
            <v>13.623719530318375</v>
          </cell>
          <cell r="S55">
            <v>10.829964421540641</v>
          </cell>
          <cell r="T55">
            <v>11.13743020707374</v>
          </cell>
          <cell r="U55">
            <v>13.477085936467303</v>
          </cell>
        </row>
        <row r="56">
          <cell r="J56" t="str">
            <v>Honduras</v>
          </cell>
          <cell r="K56">
            <v>1.5472728346349013E-3</v>
          </cell>
          <cell r="L56">
            <v>7.5766613552856912</v>
          </cell>
          <cell r="M56">
            <v>6.434152100464817</v>
          </cell>
          <cell r="O56">
            <v>7.4891108315940391</v>
          </cell>
          <cell r="P56">
            <v>5.8491822425151581</v>
          </cell>
          <cell r="Q56">
            <v>7.45998477819386</v>
          </cell>
          <cell r="R56">
            <v>7.778702243720975</v>
          </cell>
          <cell r="S56">
            <v>6.1835586352009866</v>
          </cell>
          <cell r="T56">
            <v>6.3591116323447743</v>
          </cell>
          <cell r="U56">
            <v>7.6949792147085336</v>
          </cell>
        </row>
        <row r="57">
          <cell r="J57" t="str">
            <v>Nicaragua</v>
          </cell>
          <cell r="K57">
            <v>7.0324577964887413E-4</v>
          </cell>
          <cell r="L57">
            <v>3.4436429068378565</v>
          </cell>
          <cell r="M57">
            <v>2.9243648624765672</v>
          </cell>
          <cell r="O57">
            <v>3.4038506123478345</v>
          </cell>
          <cell r="P57">
            <v>2.6584921769253027</v>
          </cell>
          <cell r="Q57">
            <v>3.3906126276349853</v>
          </cell>
          <cell r="R57">
            <v>3.5354718324986298</v>
          </cell>
          <cell r="S57">
            <v>2.810468468182306</v>
          </cell>
          <cell r="T57">
            <v>2.8902584713301422</v>
          </cell>
          <cell r="U57">
            <v>3.4974191597608493</v>
          </cell>
        </row>
        <row r="58">
          <cell r="J58" t="str">
            <v>Panama</v>
          </cell>
          <cell r="K58">
            <v>4.3471596290926232E-3</v>
          </cell>
          <cell r="L58">
            <v>21.28710310795061</v>
          </cell>
          <cell r="M58">
            <v>18.077152026767212</v>
          </cell>
          <cell r="O58">
            <v>21.041124445636623</v>
          </cell>
          <cell r="P58">
            <v>16.433642689698779</v>
          </cell>
          <cell r="Q58">
            <v>20.959292980195084</v>
          </cell>
          <cell r="R58">
            <v>21.854749597937051</v>
          </cell>
          <cell r="S58">
            <v>17.373094040919877</v>
          </cell>
          <cell r="T58">
            <v>17.866321146616308</v>
          </cell>
          <cell r="U58">
            <v>21.61952452088455</v>
          </cell>
        </row>
        <row r="59">
          <cell r="J59" t="str">
            <v>Paraguay</v>
          </cell>
          <cell r="K59">
            <v>1.3376491875996004E-3</v>
          </cell>
          <cell r="L59">
            <v>6.5501795673977909</v>
          </cell>
          <cell r="M59">
            <v>5.5624568191361483</v>
          </cell>
          <cell r="O59">
            <v>6.4744903390544968</v>
          </cell>
          <cell r="P59">
            <v>5.0567383461292517</v>
          </cell>
          <cell r="Q59">
            <v>6.4493102668677285</v>
          </cell>
          <cell r="R59">
            <v>6.7248480707332936</v>
          </cell>
          <cell r="S59">
            <v>5.3458136145735686</v>
          </cell>
          <cell r="T59">
            <v>5.4975827911231416</v>
          </cell>
          <cell r="U59">
            <v>6.6524677902585214</v>
          </cell>
        </row>
        <row r="60">
          <cell r="J60" t="str">
            <v>Peru</v>
          </cell>
          <cell r="K60">
            <v>1.1470110838557729E-2</v>
          </cell>
          <cell r="L60">
            <v>56.166658902048304</v>
          </cell>
          <cell r="M60">
            <v>47.697106866019936</v>
          </cell>
          <cell r="O60">
            <v>55.517636836748508</v>
          </cell>
          <cell r="P60">
            <v>43.360658272271316</v>
          </cell>
          <cell r="Q60">
            <v>55.30172206508599</v>
          </cell>
          <cell r="R60">
            <v>57.664411161636195</v>
          </cell>
          <cell r="S60">
            <v>45.839428790341287</v>
          </cell>
          <cell r="T60">
            <v>47.140823276308204</v>
          </cell>
          <cell r="U60">
            <v>57.043762753019188</v>
          </cell>
        </row>
        <row r="61">
          <cell r="J61" t="str">
            <v>Venezuela</v>
          </cell>
          <cell r="K61">
            <v>5.5492214830740252E-3</v>
          </cell>
          <cell r="L61">
            <v>27.173340746106401</v>
          </cell>
          <cell r="M61">
            <v>23.075784866144932</v>
          </cell>
          <cell r="O61">
            <v>26.859344897378964</v>
          </cell>
          <cell r="P61">
            <v>20.977817894824732</v>
          </cell>
          <cell r="Q61">
            <v>26.754885672329895</v>
          </cell>
          <cell r="R61">
            <v>27.897950920516266</v>
          </cell>
          <cell r="S61">
            <v>22.177043151153121</v>
          </cell>
          <cell r="T61">
            <v>22.806655745235929</v>
          </cell>
          <cell r="U61">
            <v>27.597682202017438</v>
          </cell>
        </row>
        <row r="62">
          <cell r="K62">
            <v>0</v>
          </cell>
          <cell r="L62">
            <v>4896.7843199247409</v>
          </cell>
          <cell r="M62">
            <v>4158.3823850840354</v>
          </cell>
          <cell r="N62">
            <v>1.8006120451277596E-2</v>
          </cell>
          <cell r="O62">
            <v>4840.200554132517</v>
          </cell>
          <cell r="P62">
            <v>3780.3172857328341</v>
          </cell>
          <cell r="Q62">
            <v>4821.3764316195329</v>
          </cell>
          <cell r="R62">
            <v>5027.3630284192632</v>
          </cell>
          <cell r="S62">
            <v>3996.424222532205</v>
          </cell>
          <cell r="T62">
            <v>4109.8838485361812</v>
          </cell>
          <cell r="U62">
            <v>4973.2529664196309</v>
          </cell>
        </row>
        <row r="63">
          <cell r="J63" t="str">
            <v>Thailand</v>
          </cell>
          <cell r="K63">
            <v>0.12453604576012003</v>
          </cell>
          <cell r="L63">
            <v>176.24501352472413</v>
          </cell>
          <cell r="M63">
            <v>149.66845828148999</v>
          </cell>
          <cell r="O63">
            <v>174.20845117772586</v>
          </cell>
          <cell r="P63">
            <v>136.0611429097967</v>
          </cell>
          <cell r="Q63">
            <v>173.53093354367519</v>
          </cell>
          <cell r="R63">
            <v>180.94480112840031</v>
          </cell>
          <cell r="S63">
            <v>143.83926167316858</v>
          </cell>
          <cell r="T63">
            <v>147.92289942666645</v>
          </cell>
          <cell r="U63">
            <v>178.99727230419936</v>
          </cell>
        </row>
        <row r="64">
          <cell r="J64" t="str">
            <v>Brunei Darussalam</v>
          </cell>
          <cell r="K64">
            <v>2.841985151060088E-3</v>
          </cell>
          <cell r="L64">
            <v>4.0220139344270729</v>
          </cell>
          <cell r="M64">
            <v>3.4155214534221363</v>
          </cell>
          <cell r="O64">
            <v>3.9755383946421845</v>
          </cell>
          <cell r="P64">
            <v>3.1049945855092655</v>
          </cell>
          <cell r="Q64">
            <v>3.960077047336664</v>
          </cell>
          <cell r="R64">
            <v>4.1292658268511468</v>
          </cell>
          <cell r="S64">
            <v>3.2824957892271329</v>
          </cell>
          <cell r="T64">
            <v>3.3756867829423496</v>
          </cell>
          <cell r="U64">
            <v>4.0848220839503826</v>
          </cell>
        </row>
        <row r="65">
          <cell r="J65" t="str">
            <v>Cambodia</v>
          </cell>
          <cell r="K65">
            <v>9.8863378192969617E-4</v>
          </cell>
          <cell r="L65">
            <v>1.3991272422670387</v>
          </cell>
          <cell r="M65">
            <v>1.1881483231885281</v>
          </cell>
          <cell r="O65">
            <v>1.3829599204048468</v>
          </cell>
          <cell r="P65">
            <v>1.0801261712427406</v>
          </cell>
          <cell r="Q65">
            <v>1.3775814228237868</v>
          </cell>
          <cell r="R65">
            <v>1.4364366715533874</v>
          </cell>
          <cell r="S65">
            <v>1.141873040772728</v>
          </cell>
          <cell r="T65">
            <v>1.1742911427899376</v>
          </cell>
          <cell r="U65">
            <v>1.4209761454451828</v>
          </cell>
        </row>
        <row r="66">
          <cell r="J66" t="str">
            <v>Hong Kong</v>
          </cell>
          <cell r="K66">
            <v>0.21306508222854384</v>
          </cell>
          <cell r="L66">
            <v>301.53244444060607</v>
          </cell>
          <cell r="M66">
            <v>256.0633925392936</v>
          </cell>
          <cell r="O66">
            <v>298.04814942161568</v>
          </cell>
          <cell r="P66">
            <v>232.78303422308329</v>
          </cell>
          <cell r="Q66">
            <v>296.88900429596788</v>
          </cell>
          <cell r="R66">
            <v>309.57317374208691</v>
          </cell>
          <cell r="S66">
            <v>246.09039036873591</v>
          </cell>
          <cell r="T66">
            <v>253.07696689306644</v>
          </cell>
          <cell r="U66">
            <v>306.24120357603465</v>
          </cell>
        </row>
        <row r="67">
          <cell r="J67" t="str">
            <v>Laos</v>
          </cell>
          <cell r="K67">
            <v>1.4125907076060023E-4</v>
          </cell>
          <cell r="L67">
            <v>0.19991165356772891</v>
          </cell>
          <cell r="M67">
            <v>0.16976632917780674</v>
          </cell>
          <cell r="O67">
            <v>0.19760161631765327</v>
          </cell>
          <cell r="P67">
            <v>0.1543317880116751</v>
          </cell>
          <cell r="Q67">
            <v>0.19683311984881349</v>
          </cell>
          <cell r="R67">
            <v>0.20524254090733707</v>
          </cell>
          <cell r="S67">
            <v>0.16315437284703962</v>
          </cell>
          <cell r="T67">
            <v>0.16778637212773895</v>
          </cell>
          <cell r="U67">
            <v>0.20303349283368921</v>
          </cell>
        </row>
        <row r="68">
          <cell r="J68" t="str">
            <v>Macao</v>
          </cell>
          <cell r="K68">
            <v>6.0040496742892208E-3</v>
          </cell>
          <cell r="L68">
            <v>8.4970083126493456</v>
          </cell>
          <cell r="M68">
            <v>7.2157169654098041</v>
          </cell>
          <cell r="O68">
            <v>8.3988229124181757</v>
          </cell>
          <cell r="P68">
            <v>6.5596900542716945</v>
          </cell>
          <cell r="Q68">
            <v>8.3661588792443382</v>
          </cell>
          <cell r="R68">
            <v>8.7235913718660587</v>
          </cell>
          <cell r="S68">
            <v>6.9346835843999859</v>
          </cell>
          <cell r="T68">
            <v>7.1315612335509071</v>
          </cell>
          <cell r="U68">
            <v>8.6296983970952379</v>
          </cell>
        </row>
        <row r="69">
          <cell r="J69" t="str">
            <v>Malaysia</v>
          </cell>
          <cell r="K69">
            <v>0.12238570893343392</v>
          </cell>
          <cell r="L69">
            <v>173.20182919372326</v>
          </cell>
          <cell r="M69">
            <v>147.08416555184976</v>
          </cell>
          <cell r="O69">
            <v>171.2004317260004</v>
          </cell>
          <cell r="P69">
            <v>133.71180473630517</v>
          </cell>
          <cell r="Q69">
            <v>170.53461264163738</v>
          </cell>
          <cell r="R69">
            <v>177.82046658663032</v>
          </cell>
          <cell r="S69">
            <v>141.35562041403523</v>
          </cell>
          <cell r="T69">
            <v>145.36874688226948</v>
          </cell>
          <cell r="U69">
            <v>175.90656531922346</v>
          </cell>
        </row>
        <row r="70">
          <cell r="J70" t="str">
            <v>Philippines</v>
          </cell>
          <cell r="K70">
            <v>0.1055338252299562</v>
          </cell>
          <cell r="L70">
            <v>149.35282665708093</v>
          </cell>
          <cell r="M70">
            <v>126.83143119173766</v>
          </cell>
          <cell r="O70">
            <v>147.62701134404284</v>
          </cell>
          <cell r="P70">
            <v>115.30037579713131</v>
          </cell>
          <cell r="Q70">
            <v>147.05287212880037</v>
          </cell>
          <cell r="R70">
            <v>153.3355013964061</v>
          </cell>
          <cell r="S70">
            <v>121.89167730491044</v>
          </cell>
          <cell r="T70">
            <v>125.35221686475971</v>
          </cell>
          <cell r="U70">
            <v>151.68513450616925</v>
          </cell>
        </row>
        <row r="71">
          <cell r="J71" t="str">
            <v>Singapore</v>
          </cell>
          <cell r="K71">
            <v>0.24350763807705952</v>
          </cell>
          <cell r="L71">
            <v>344.61514097638246</v>
          </cell>
          <cell r="M71">
            <v>292.64951001384213</v>
          </cell>
          <cell r="O71">
            <v>340.63301287935383</v>
          </cell>
          <cell r="P71">
            <v>266.04287410769575</v>
          </cell>
          <cell r="Q71">
            <v>339.30825009428014</v>
          </cell>
          <cell r="R71">
            <v>353.80472277055173</v>
          </cell>
          <cell r="S71">
            <v>281.25157386358654</v>
          </cell>
          <cell r="T71">
            <v>289.23638643770641</v>
          </cell>
          <cell r="U71">
            <v>349.99668357054662</v>
          </cell>
        </row>
        <row r="72">
          <cell r="J72" t="str">
            <v>Sri Lanka</v>
          </cell>
          <cell r="K72">
            <v>7.703292065391101E-3</v>
          </cell>
          <cell r="L72">
            <v>10.901797997223049</v>
          </cell>
          <cell r="M72">
            <v>9.2578806407576248</v>
          </cell>
          <cell r="O72">
            <v>10.775824553369496</v>
          </cell>
          <cell r="P72">
            <v>8.4161875880012804</v>
          </cell>
          <cell r="Q72">
            <v>10.733916074722293</v>
          </cell>
          <cell r="R72">
            <v>11.19250769765916</v>
          </cell>
          <cell r="S72">
            <v>8.8973103038209551</v>
          </cell>
          <cell r="T72">
            <v>9.1499074865277557</v>
          </cell>
          <cell r="U72">
            <v>11.072041504541987</v>
          </cell>
        </row>
        <row r="73">
          <cell r="J73" t="str">
            <v>Taiwan</v>
          </cell>
          <cell r="K73">
            <v>0.16585175733298707</v>
          </cell>
          <cell r="L73">
            <v>234.71553987313141</v>
          </cell>
          <cell r="M73">
            <v>199.32202497514126</v>
          </cell>
          <cell r="O73">
            <v>232.00333360300093</v>
          </cell>
          <cell r="P73">
            <v>181.20038675220843</v>
          </cell>
          <cell r="Q73">
            <v>231.10104471510871</v>
          </cell>
          <cell r="R73">
            <v>240.97451516340911</v>
          </cell>
          <cell r="S73">
            <v>191.55895127684991</v>
          </cell>
          <cell r="T73">
            <v>196.9973646582537</v>
          </cell>
          <cell r="U73">
            <v>238.38087991524537</v>
          </cell>
        </row>
        <row r="74">
          <cell r="J74" t="str">
            <v>Viet Nam</v>
          </cell>
          <cell r="K74">
            <v>6.8377657175683285E-3</v>
          </cell>
          <cell r="L74">
            <v>9.6768939788968247</v>
          </cell>
          <cell r="M74">
            <v>8.2176838584528014</v>
          </cell>
          <cell r="O74">
            <v>9.5650746569246277</v>
          </cell>
          <cell r="P74">
            <v>7.4705617381959524</v>
          </cell>
          <cell r="Q74">
            <v>9.5278749303484105</v>
          </cell>
          <cell r="R74">
            <v>9.9349401241724653</v>
          </cell>
          <cell r="S74">
            <v>7.8976264767841959</v>
          </cell>
          <cell r="T74">
            <v>8.1218423498947026</v>
          </cell>
          <cell r="U74">
            <v>9.8280092693599705</v>
          </cell>
        </row>
        <row r="75">
          <cell r="J75" t="str">
            <v>Mongolia</v>
          </cell>
          <cell r="K75">
            <v>6.0295697690032884E-4</v>
          </cell>
          <cell r="L75">
            <v>0.8533124678883558</v>
          </cell>
          <cell r="M75">
            <v>0.72463872280453245</v>
          </cell>
          <cell r="O75">
            <v>0.84345219435453578</v>
          </cell>
          <cell r="P75">
            <v>0.65875718874611844</v>
          </cell>
          <cell r="Q75">
            <v>0.84017190725427937</v>
          </cell>
          <cell r="R75">
            <v>0.87606708249242482</v>
          </cell>
          <cell r="S75">
            <v>0.69641593201927499</v>
          </cell>
          <cell r="T75">
            <v>0.71618737939080857</v>
          </cell>
          <cell r="U75">
            <v>0.86663787599161501</v>
          </cell>
        </row>
        <row r="76">
          <cell r="K76">
            <v>0</v>
          </cell>
          <cell r="L76">
            <v>1415.2128602525677</v>
          </cell>
          <cell r="M76">
            <v>1201.8083388465677</v>
          </cell>
          <cell r="N76">
            <v>5.2039239552001482E-3</v>
          </cell>
          <cell r="O76">
            <v>1398.8596644001711</v>
          </cell>
          <cell r="P76">
            <v>1092.5442676401995</v>
          </cell>
          <cell r="Q76">
            <v>1393.4193308010483</v>
          </cell>
          <cell r="R76">
            <v>1452.9512321029865</v>
          </cell>
          <cell r="S76">
            <v>1155.001034401158</v>
          </cell>
          <cell r="T76">
            <v>1187.7918439099465</v>
          </cell>
          <cell r="U76">
            <v>1437.3129579606368</v>
          </cell>
        </row>
        <row r="77">
          <cell r="J77" t="str">
            <v>Russia</v>
          </cell>
          <cell r="K77">
            <v>0</v>
          </cell>
          <cell r="L77">
            <v>2499.6170445011226</v>
          </cell>
          <cell r="M77">
            <v>2122.691711173637</v>
          </cell>
          <cell r="N77">
            <v>9.1914208682250982E-3</v>
          </cell>
          <cell r="O77">
            <v>2470.7332431785271</v>
          </cell>
          <cell r="P77">
            <v>1929.7042515413948</v>
          </cell>
          <cell r="Q77">
            <v>2461.1242642227307</v>
          </cell>
          <cell r="R77">
            <v>2566.2723725852607</v>
          </cell>
          <cell r="S77">
            <v>2040.018398002911</v>
          </cell>
          <cell r="T77">
            <v>2097.9351034351448</v>
          </cell>
          <cell r="U77">
            <v>2538.6513003842761</v>
          </cell>
        </row>
        <row r="78">
          <cell r="J78" t="str">
            <v>Turkey</v>
          </cell>
          <cell r="K78">
            <v>0</v>
          </cell>
          <cell r="L78">
            <v>1263.1504335320087</v>
          </cell>
          <cell r="M78">
            <v>1072.6758969428113</v>
          </cell>
          <cell r="N78">
            <v>4.6447703979354384E-3</v>
          </cell>
          <cell r="O78">
            <v>1248.5543632087763</v>
          </cell>
          <cell r="P78">
            <v>975.15208070984897</v>
          </cell>
          <cell r="Q78">
            <v>1243.6985850164665</v>
          </cell>
          <cell r="R78">
            <v>1296.8338758624723</v>
          </cell>
          <cell r="S78">
            <v>1030.8979647580145</v>
          </cell>
          <cell r="T78">
            <v>1060.1654526463733</v>
          </cell>
          <cell r="U78">
            <v>1282.8759100204461</v>
          </cell>
        </row>
        <row r="79">
          <cell r="J79" t="str">
            <v>South Africa</v>
          </cell>
          <cell r="K79">
            <v>0.41619094682232305</v>
          </cell>
          <cell r="L79">
            <v>1944.062980761908</v>
          </cell>
          <cell r="M79">
            <v>1650.9114403508229</v>
          </cell>
          <cell r="O79">
            <v>1921.5987680864232</v>
          </cell>
          <cell r="P79">
            <v>1500.8165380746209</v>
          </cell>
          <cell r="Q79">
            <v>1914.1254391971124</v>
          </cell>
          <cell r="R79">
            <v>1995.9037841697655</v>
          </cell>
          <cell r="S79">
            <v>1586.6127398815993</v>
          </cell>
          <cell r="T79">
            <v>1631.657129079613</v>
          </cell>
          <cell r="U79">
            <v>1974.4216519075399</v>
          </cell>
        </row>
        <row r="80">
          <cell r="J80" t="str">
            <v>Israel</v>
          </cell>
          <cell r="K80">
            <v>0.14003906391792051</v>
          </cell>
          <cell r="L80">
            <v>654.13426722038832</v>
          </cell>
          <cell r="M80">
            <v>555.49524679308752</v>
          </cell>
          <cell r="O80">
            <v>646.57555567524992</v>
          </cell>
          <cell r="P80">
            <v>504.99162634171711</v>
          </cell>
          <cell r="Q80">
            <v>644.06094551854073</v>
          </cell>
          <cell r="R80">
            <v>671.57755289831675</v>
          </cell>
          <cell r="S80">
            <v>533.8601538301142</v>
          </cell>
          <cell r="T80">
            <v>549.01659619438624</v>
          </cell>
          <cell r="U80">
            <v>664.34928972745217</v>
          </cell>
        </row>
        <row r="81">
          <cell r="J81" t="str">
            <v>India</v>
          </cell>
          <cell r="K81">
            <v>0.1230351375150206</v>
          </cell>
          <cell r="L81">
            <v>574.70749424545863</v>
          </cell>
          <cell r="M81">
            <v>488.0454936358783</v>
          </cell>
          <cell r="O81">
            <v>568.06658214297863</v>
          </cell>
          <cell r="P81">
            <v>443.674160999131</v>
          </cell>
          <cell r="Q81">
            <v>565.85730283353746</v>
          </cell>
          <cell r="R81">
            <v>590.03276843720562</v>
          </cell>
          <cell r="S81">
            <v>469.03739287186681</v>
          </cell>
          <cell r="T81">
            <v>482.35349852378459</v>
          </cell>
          <cell r="U81">
            <v>583.68218076301685</v>
          </cell>
        </row>
        <row r="82">
          <cell r="J82" t="str">
            <v>Indonesia</v>
          </cell>
          <cell r="K82">
            <v>0.15506905942764809</v>
          </cell>
          <cell r="L82">
            <v>724.34064267034057</v>
          </cell>
          <cell r="M82">
            <v>615.11497597000255</v>
          </cell>
          <cell r="O82">
            <v>715.97067605533573</v>
          </cell>
          <cell r="P82">
            <v>559.19094518902591</v>
          </cell>
          <cell r="Q82">
            <v>713.18617992319469</v>
          </cell>
          <cell r="R82">
            <v>743.65606672222884</v>
          </cell>
          <cell r="S82">
            <v>591.15784984722029</v>
          </cell>
          <cell r="T82">
            <v>607.94099017922485</v>
          </cell>
          <cell r="U82">
            <v>735.65201456819239</v>
          </cell>
        </row>
        <row r="83">
          <cell r="J83" t="str">
            <v>Nigeria</v>
          </cell>
          <cell r="K83">
            <v>4.2158370933092194E-2</v>
          </cell>
          <cell r="L83">
            <v>196.92530288325199</v>
          </cell>
          <cell r="M83">
            <v>167.23029996543502</v>
          </cell>
          <cell r="O83">
            <v>194.64977378315058</v>
          </cell>
          <cell r="P83">
            <v>152.02632541087138</v>
          </cell>
          <cell r="Q83">
            <v>193.89275738520607</v>
          </cell>
          <cell r="R83">
            <v>202.17655555038652</v>
          </cell>
          <cell r="S83">
            <v>160.71711536688929</v>
          </cell>
          <cell r="T83">
            <v>165.27992021106854</v>
          </cell>
          <cell r="U83">
            <v>200.00050701482985</v>
          </cell>
        </row>
        <row r="84">
          <cell r="J84" t="str">
            <v>Ukraine</v>
          </cell>
          <cell r="K84">
            <v>1.7677338326604022E-2</v>
          </cell>
          <cell r="L84">
            <v>82.572336812087684</v>
          </cell>
          <cell r="M84">
            <v>70.120987256365126</v>
          </cell>
          <cell r="O84">
            <v>81.618189465209284</v>
          </cell>
          <cell r="P84">
            <v>63.745840490455997</v>
          </cell>
          <cell r="Q84">
            <v>81.300766502958425</v>
          </cell>
          <cell r="R84">
            <v>84.774228583065806</v>
          </cell>
          <cell r="S84">
            <v>67.389957447010147</v>
          </cell>
          <cell r="T84">
            <v>69.303177601480385</v>
          </cell>
          <cell r="U84">
            <v>83.861794223607376</v>
          </cell>
        </row>
        <row r="85">
          <cell r="J85" t="str">
            <v>Kazakhstan</v>
          </cell>
          <cell r="K85">
            <v>1.9168987740220838E-2</v>
          </cell>
          <cell r="L85">
            <v>89.539956909133295</v>
          </cell>
          <cell r="M85">
            <v>76.037937398444754</v>
          </cell>
          <cell r="O85">
            <v>88.505296687285849</v>
          </cell>
          <cell r="P85">
            <v>69.124842907635326</v>
          </cell>
          <cell r="Q85">
            <v>88.161088936128323</v>
          </cell>
          <cell r="R85">
            <v>91.927648742787369</v>
          </cell>
          <cell r="S85">
            <v>73.076457792948034</v>
          </cell>
          <cell r="T85">
            <v>75.151119317652174</v>
          </cell>
          <cell r="U85">
            <v>90.938221334256539</v>
          </cell>
        </row>
        <row r="86">
          <cell r="J86" t="str">
            <v>Kenya</v>
          </cell>
          <cell r="K86">
            <v>1.9383755211510693E-2</v>
          </cell>
          <cell r="L86">
            <v>90.543153863786657</v>
          </cell>
          <cell r="M86">
            <v>76.889859041802865</v>
          </cell>
          <cell r="O86">
            <v>89.496901409605314</v>
          </cell>
          <cell r="P86">
            <v>69.899310913759166</v>
          </cell>
          <cell r="Q86">
            <v>89.148837188334895</v>
          </cell>
          <cell r="R86">
            <v>92.957597164147415</v>
          </cell>
          <cell r="S86">
            <v>73.895199307299407</v>
          </cell>
          <cell r="T86">
            <v>75.993105137622678</v>
          </cell>
          <cell r="U86">
            <v>91.957084307316705</v>
          </cell>
        </row>
        <row r="87">
          <cell r="J87" t="str">
            <v>Azerbaijan</v>
          </cell>
          <cell r="K87">
            <v>6.0833766341672254E-3</v>
          </cell>
          <cell r="L87">
            <v>28.415964842131324</v>
          </cell>
          <cell r="M87">
            <v>24.131029658357953</v>
          </cell>
          <cell r="O87">
            <v>28.087610110875364</v>
          </cell>
          <cell r="P87">
            <v>21.937123643856232</v>
          </cell>
          <cell r="Q87">
            <v>27.978374014579188</v>
          </cell>
          <cell r="R87">
            <v>29.173711099121512</v>
          </cell>
          <cell r="S87">
            <v>23.191188907307737</v>
          </cell>
          <cell r="T87">
            <v>23.849593389288252</v>
          </cell>
          <cell r="U87">
            <v>28.85971123330534</v>
          </cell>
        </row>
        <row r="88">
          <cell r="J88" t="str">
            <v>Trinidad and Tobago</v>
          </cell>
          <cell r="K88">
            <v>1.2070627872686458E-2</v>
          </cell>
          <cell r="L88">
            <v>56.38291986168683</v>
          </cell>
          <cell r="M88">
            <v>47.880757136562359</v>
          </cell>
          <cell r="O88">
            <v>55.73139883815427</v>
          </cell>
          <cell r="P88">
            <v>43.52761172387099</v>
          </cell>
          <cell r="Q88">
            <v>55.514652720340287</v>
          </cell>
          <cell r="R88">
            <v>57.886438982741822</v>
          </cell>
          <cell r="S88">
            <v>46.015926361200329</v>
          </cell>
          <cell r="T88">
            <v>47.322331663653493</v>
          </cell>
          <cell r="U88">
            <v>57.26340086423162</v>
          </cell>
        </row>
        <row r="89">
          <cell r="J89" t="str">
            <v>Namibia</v>
          </cell>
          <cell r="K89">
            <v>3.421375207211605E-3</v>
          </cell>
          <cell r="L89">
            <v>15.981531877184809</v>
          </cell>
          <cell r="M89">
            <v>13.571625030396616</v>
          </cell>
          <cell r="O89">
            <v>15.796860632208775</v>
          </cell>
          <cell r="P89">
            <v>12.337741926264897</v>
          </cell>
          <cell r="Q89">
            <v>15.735424739927963</v>
          </cell>
          <cell r="R89">
            <v>16.407698858604746</v>
          </cell>
          <cell r="S89">
            <v>13.043045585502433</v>
          </cell>
          <cell r="T89">
            <v>13.413341377861098</v>
          </cell>
          <cell r="U89">
            <v>16.231100988609757</v>
          </cell>
        </row>
        <row r="90">
          <cell r="J90" t="str">
            <v>Belarus</v>
          </cell>
          <cell r="K90">
            <v>2.1730671039429613E-3</v>
          </cell>
          <cell r="L90">
            <v>10.150579544659159</v>
          </cell>
          <cell r="M90">
            <v>8.6199408467215655</v>
          </cell>
          <cell r="O90">
            <v>10.033286648324452</v>
          </cell>
          <cell r="P90">
            <v>7.8362469747229699</v>
          </cell>
          <cell r="Q90">
            <v>9.9942659889605174</v>
          </cell>
          <cell r="R90">
            <v>10.421257091558521</v>
          </cell>
          <cell r="S90">
            <v>8.2842166031194999</v>
          </cell>
          <cell r="T90">
            <v>8.5194078804184645</v>
          </cell>
          <cell r="U90">
            <v>10.309091953662037</v>
          </cell>
        </row>
        <row r="91">
          <cell r="J91" t="str">
            <v>Mozambique</v>
          </cell>
          <cell r="K91">
            <v>7.2667729401888091E-3</v>
          </cell>
          <cell r="L91">
            <v>33.943708700262633</v>
          </cell>
          <cell r="M91">
            <v>28.825227153513911</v>
          </cell>
          <cell r="O91">
            <v>33.551479282397501</v>
          </cell>
          <cell r="P91">
            <v>26.204541666122413</v>
          </cell>
          <cell r="Q91">
            <v>33.420993541271663</v>
          </cell>
          <cell r="R91">
            <v>34.848858969095104</v>
          </cell>
          <cell r="S91">
            <v>27.702559637013291</v>
          </cell>
          <cell r="T91">
            <v>28.489043223527247</v>
          </cell>
          <cell r="U91">
            <v>34.473776861681216</v>
          </cell>
        </row>
        <row r="92">
          <cell r="J92" t="str">
            <v>Botswana</v>
          </cell>
          <cell r="K92">
            <v>3.9897408955625298E-3</v>
          </cell>
          <cell r="L92">
            <v>18.636415897836041</v>
          </cell>
          <cell r="M92">
            <v>15.826170508537428</v>
          </cell>
          <cell r="O92">
            <v>18.421066696508369</v>
          </cell>
          <cell r="P92">
            <v>14.387312276759319</v>
          </cell>
          <cell r="Q92">
            <v>18.349424950998703</v>
          </cell>
          <cell r="R92">
            <v>19.133378590067416</v>
          </cell>
          <cell r="S92">
            <v>15.209782389688929</v>
          </cell>
          <cell r="T92">
            <v>15.6415924592522</v>
          </cell>
          <cell r="U92">
            <v>18.927443928910371</v>
          </cell>
        </row>
        <row r="93">
          <cell r="J93" t="str">
            <v>Ghana</v>
          </cell>
          <cell r="K93">
            <v>4.3931873666263272E-3</v>
          </cell>
          <cell r="L93">
            <v>20.520948358483238</v>
          </cell>
          <cell r="M93">
            <v>17.426528228314396</v>
          </cell>
          <cell r="O93">
            <v>20.283822836939208</v>
          </cell>
          <cell r="P93">
            <v>15.842171255849237</v>
          </cell>
          <cell r="Q93">
            <v>20.204936608601379</v>
          </cell>
          <cell r="R93">
            <v>21.068164400413114</v>
          </cell>
          <cell r="S93">
            <v>16.747810344735644</v>
          </cell>
          <cell r="T93">
            <v>17.223285467568132</v>
          </cell>
          <cell r="U93">
            <v>20.841405426477777</v>
          </cell>
        </row>
        <row r="94">
          <cell r="J94" t="str">
            <v>Bermuda</v>
          </cell>
          <cell r="K94">
            <v>3.0177734441944166E-3</v>
          </cell>
          <cell r="L94">
            <v>14.096274034738459</v>
          </cell>
          <cell r="M94">
            <v>11.970651311486543</v>
          </cell>
          <cell r="O94">
            <v>13.93338749197626</v>
          </cell>
          <cell r="P94">
            <v>10.882322952457029</v>
          </cell>
          <cell r="Q94">
            <v>13.879198871022137</v>
          </cell>
          <cell r="R94">
            <v>14.472168323272138</v>
          </cell>
          <cell r="S94">
            <v>11.504425622884355</v>
          </cell>
          <cell r="T94">
            <v>11.831039554709633</v>
          </cell>
          <cell r="U94">
            <v>14.316402781612499</v>
          </cell>
        </row>
        <row r="95">
          <cell r="J95" t="str">
            <v>Mauritius</v>
          </cell>
          <cell r="K95">
            <v>3.2475267229679773E-3</v>
          </cell>
          <cell r="L95">
            <v>15.169470958848949</v>
          </cell>
          <cell r="M95">
            <v>12.882017402655539</v>
          </cell>
          <cell r="O95">
            <v>14.994183313764211</v>
          </cell>
          <cell r="P95">
            <v>11.710830932010548</v>
          </cell>
          <cell r="Q95">
            <v>14.935869130183647</v>
          </cell>
          <cell r="R95">
            <v>15.57398334839648</v>
          </cell>
          <cell r="S95">
            <v>12.380296378639459</v>
          </cell>
          <cell r="T95">
            <v>12.731776531576976</v>
          </cell>
          <cell r="U95">
            <v>15.406358850265111</v>
          </cell>
        </row>
        <row r="96">
          <cell r="J96" t="str">
            <v>Cayman Islands</v>
          </cell>
          <cell r="K96">
            <v>3.3168642274997058E-3</v>
          </cell>
          <cell r="L96">
            <v>15.493352284879068</v>
          </cell>
          <cell r="M96">
            <v>13.157059616694077</v>
          </cell>
          <cell r="O96">
            <v>15.314322096954124</v>
          </cell>
          <cell r="P96">
            <v>11.960867301865724</v>
          </cell>
          <cell r="Q96">
            <v>15.254762855114398</v>
          </cell>
          <cell r="R96">
            <v>15.906501363832422</v>
          </cell>
          <cell r="S96">
            <v>12.64462641484422</v>
          </cell>
          <cell r="T96">
            <v>13.003610973064919</v>
          </cell>
          <cell r="U96">
            <v>15.735297937676657</v>
          </cell>
        </row>
        <row r="97">
          <cell r="J97" t="str">
            <v>Armenia</v>
          </cell>
          <cell r="K97">
            <v>1.7428329023558269E-3</v>
          </cell>
          <cell r="L97">
            <v>8.140919337609354</v>
          </cell>
          <cell r="M97">
            <v>6.9133237978561839</v>
          </cell>
          <cell r="O97">
            <v>8.0468486489620403</v>
          </cell>
          <cell r="P97">
            <v>6.2847893807571893</v>
          </cell>
          <cell r="Q97">
            <v>8.0155534860617834</v>
          </cell>
          <cell r="R97">
            <v>8.3580068512941388</v>
          </cell>
          <cell r="S97">
            <v>6.6440678430784699</v>
          </cell>
          <cell r="T97">
            <v>6.8326948282645139</v>
          </cell>
          <cell r="U97">
            <v>8.2680487029845118</v>
          </cell>
        </row>
        <row r="98">
          <cell r="J98" t="str">
            <v>Bahamas</v>
          </cell>
          <cell r="K98">
            <v>3.2538936782472122E-3</v>
          </cell>
          <cell r="L98">
            <v>15.199211543436464</v>
          </cell>
          <cell r="M98">
            <v>12.907273308366477</v>
          </cell>
          <cell r="O98">
            <v>15.023580237254384</v>
          </cell>
          <cell r="P98">
            <v>11.733790662041237</v>
          </cell>
          <cell r="Q98">
            <v>14.965151725500208</v>
          </cell>
          <cell r="R98">
            <v>15.604517001837262</v>
          </cell>
          <cell r="S98">
            <v>12.404568632607067</v>
          </cell>
          <cell r="T98">
            <v>12.756737881772635</v>
          </cell>
          <cell r="U98">
            <v>15.436563866630868</v>
          </cell>
        </row>
        <row r="99">
          <cell r="J99" t="str">
            <v>Barbados</v>
          </cell>
          <cell r="K99">
            <v>1.8078222405231294E-3</v>
          </cell>
          <cell r="L99">
            <v>8.4444900121757271</v>
          </cell>
          <cell r="M99">
            <v>7.1711180692126728</v>
          </cell>
          <cell r="O99">
            <v>8.346911476168021</v>
          </cell>
          <cell r="P99">
            <v>6.519145928550266</v>
          </cell>
          <cell r="Q99">
            <v>8.3144493328177287</v>
          </cell>
          <cell r="R99">
            <v>8.6696726070468291</v>
          </cell>
          <cell r="S99">
            <v>6.8918216990428949</v>
          </cell>
          <cell r="T99">
            <v>7.0874824870170112</v>
          </cell>
          <cell r="U99">
            <v>8.5763599658804885</v>
          </cell>
        </row>
        <row r="100">
          <cell r="J100" t="str">
            <v>Moldova</v>
          </cell>
          <cell r="K100">
            <v>1.158860414804453E-3</v>
          </cell>
          <cell r="L100">
            <v>5.4131346428674609</v>
          </cell>
          <cell r="M100">
            <v>4.5968705738982099</v>
          </cell>
          <cell r="O100">
            <v>5.3505842990453942</v>
          </cell>
          <cell r="P100">
            <v>4.1789397129799646</v>
          </cell>
          <cell r="Q100">
            <v>5.3297752327195616</v>
          </cell>
          <cell r="R100">
            <v>5.5574824606172619</v>
          </cell>
          <cell r="S100">
            <v>4.41783443852316</v>
          </cell>
          <cell r="T100">
            <v>4.5432580210137905</v>
          </cell>
          <cell r="U100">
            <v>5.4976666647803691</v>
          </cell>
        </row>
        <row r="101">
          <cell r="J101" t="str">
            <v>Papua New Guinea</v>
          </cell>
          <cell r="K101">
            <v>7.930720388038304E-4</v>
          </cell>
          <cell r="L101">
            <v>3.7045063173229078</v>
          </cell>
          <cell r="M101">
            <v>3.1458918361396933</v>
          </cell>
          <cell r="O101">
            <v>3.6616996703194222</v>
          </cell>
          <cell r="P101">
            <v>2.8598787186725629</v>
          </cell>
          <cell r="Q101">
            <v>3.6474588795858662</v>
          </cell>
          <cell r="R101">
            <v>3.8032914830402436</v>
          </cell>
          <cell r="S101">
            <v>3.0233675432330198</v>
          </cell>
          <cell r="T101">
            <v>3.109201811975999</v>
          </cell>
          <cell r="U101">
            <v>3.762356237905442</v>
          </cell>
        </row>
        <row r="102">
          <cell r="J102" t="str">
            <v>Zimbabwe</v>
          </cell>
          <cell r="K102">
            <v>1.0403732375013732E-3</v>
          </cell>
          <cell r="L102">
            <v>4.8596710539820744</v>
          </cell>
          <cell r="M102">
            <v>4.1268655484692456</v>
          </cell>
          <cell r="O102">
            <v>4.8035161427627031</v>
          </cell>
          <cell r="P102">
            <v>3.7516658460110155</v>
          </cell>
          <cell r="Q102">
            <v>4.7848346903408085</v>
          </cell>
          <cell r="R102">
            <v>4.9892600921096379</v>
          </cell>
          <cell r="S102">
            <v>3.9661348846115922</v>
          </cell>
          <cell r="T102">
            <v>4.0787345876541856</v>
          </cell>
          <cell r="U102">
            <v>4.9355601362102473</v>
          </cell>
        </row>
        <row r="103">
          <cell r="J103" t="str">
            <v>Uganda</v>
          </cell>
          <cell r="K103">
            <v>8.5728494358400448E-4</v>
          </cell>
          <cell r="L103">
            <v>4.0044502061159015</v>
          </cell>
          <cell r="M103">
            <v>3.4006062164719602</v>
          </cell>
          <cell r="O103">
            <v>3.9581776203155585</v>
          </cell>
          <cell r="P103">
            <v>3.0914353880035721</v>
          </cell>
          <cell r="Q103">
            <v>3.9427837911509069</v>
          </cell>
          <cell r="R103">
            <v>4.1112337403666546</v>
          </cell>
          <cell r="S103">
            <v>3.2681614619064181</v>
          </cell>
          <cell r="T103">
            <v>3.360945499971717</v>
          </cell>
          <cell r="U103">
            <v>4.0669840787988152</v>
          </cell>
        </row>
        <row r="104">
          <cell r="J104" t="str">
            <v>Burkina Faso</v>
          </cell>
          <cell r="K104">
            <v>1.8550307685051488E-3</v>
          </cell>
          <cell r="L104">
            <v>8.6650050241596048</v>
          </cell>
          <cell r="M104">
            <v>7.3583809097975017</v>
          </cell>
          <cell r="O104">
            <v>8.5648783731081153</v>
          </cell>
          <cell r="P104">
            <v>6.6893835083787874</v>
          </cell>
          <cell r="Q104">
            <v>8.5315685302615147</v>
          </cell>
          <cell r="R104">
            <v>8.8960679199766464</v>
          </cell>
          <cell r="S104">
            <v>7.0717911397508528</v>
          </cell>
          <cell r="T104">
            <v>7.2725613115886105</v>
          </cell>
          <cell r="U104">
            <v>8.8003185611215677</v>
          </cell>
        </row>
        <row r="105">
          <cell r="J105" t="str">
            <v>Virgin Islands, British</v>
          </cell>
          <cell r="K105">
            <v>1.0454202046975435E-3</v>
          </cell>
          <cell r="L105">
            <v>4.8832458630116973</v>
          </cell>
          <cell r="M105">
            <v>4.1468854358475022</v>
          </cell>
          <cell r="O105">
            <v>4.8268185380232937</v>
          </cell>
          <cell r="P105">
            <v>3.7698655975744875</v>
          </cell>
          <cell r="Q105">
            <v>4.8080464597815959</v>
          </cell>
          <cell r="R105">
            <v>5.0134635520895525</v>
          </cell>
          <cell r="S105">
            <v>3.9853750495223075</v>
          </cell>
          <cell r="T105">
            <v>4.0985209863462693</v>
          </cell>
          <cell r="U105">
            <v>4.9595030916845761</v>
          </cell>
        </row>
        <row r="106">
          <cell r="J106" t="str">
            <v>Uzbekistan</v>
          </cell>
          <cell r="K106">
            <v>2.0242205557000095E-4</v>
          </cell>
          <cell r="L106">
            <v>0.94553047760399167</v>
          </cell>
          <cell r="M106">
            <v>0.80295088077086507</v>
          </cell>
          <cell r="O106">
            <v>0.93460459816991892</v>
          </cell>
          <cell r="P106">
            <v>0.72994948830593509</v>
          </cell>
          <cell r="Q106">
            <v>0.93096980840028276</v>
          </cell>
          <cell r="R106">
            <v>0.97074419757637431</v>
          </cell>
          <cell r="S106">
            <v>0.77167803541265867</v>
          </cell>
          <cell r="T106">
            <v>0.7935861954122313</v>
          </cell>
          <cell r="U106">
            <v>0.96029597085797147</v>
          </cell>
        </row>
        <row r="107">
          <cell r="J107" t="str">
            <v>Antigua and Barbuda</v>
          </cell>
          <cell r="K107">
            <v>1.1440300966599165E-3</v>
          </cell>
          <cell r="L107">
            <v>5.343860977215086</v>
          </cell>
          <cell r="M107">
            <v>4.5380429081938187</v>
          </cell>
          <cell r="O107">
            <v>5.2821111107301348</v>
          </cell>
          <cell r="P107">
            <v>4.1254604460565281</v>
          </cell>
          <cell r="Q107">
            <v>5.2615683448749717</v>
          </cell>
          <cell r="R107">
            <v>5.4863615284318765</v>
          </cell>
          <cell r="S107">
            <v>4.3612979571694117</v>
          </cell>
          <cell r="T107">
            <v>4.4851164527941867</v>
          </cell>
          <cell r="U107">
            <v>5.4273112150215095</v>
          </cell>
        </row>
        <row r="108">
          <cell r="J108" t="str">
            <v>Saint Kitts and Nevis</v>
          </cell>
          <cell r="K108">
            <v>7.9563434816708688E-4</v>
          </cell>
          <cell r="L108">
            <v>3.7164750802582849</v>
          </cell>
          <cell r="M108">
            <v>3.1560557906269691</v>
          </cell>
          <cell r="O108">
            <v>3.6735301307210317</v>
          </cell>
          <cell r="P108">
            <v>2.8691186031472258</v>
          </cell>
          <cell r="Q108">
            <v>3.6592433299030809</v>
          </cell>
          <cell r="R108">
            <v>3.8155794075935869</v>
          </cell>
          <cell r="S108">
            <v>3.0331356381670895</v>
          </cell>
          <cell r="T108">
            <v>3.1192472259173303</v>
          </cell>
          <cell r="U108">
            <v>3.7745119061733989</v>
          </cell>
        </row>
        <row r="109">
          <cell r="J109" t="str">
            <v>Fiji</v>
          </cell>
          <cell r="K109">
            <v>1.5156418750950483E-4</v>
          </cell>
          <cell r="L109">
            <v>0.70796909062098001</v>
          </cell>
          <cell r="M109">
            <v>0.60121214316980409</v>
          </cell>
          <cell r="O109">
            <v>0.69978830204737819</v>
          </cell>
          <cell r="P109">
            <v>0.54655210770650775</v>
          </cell>
          <cell r="Q109">
            <v>0.69706674111543598</v>
          </cell>
          <cell r="R109">
            <v>0.72684794732928382</v>
          </cell>
          <cell r="S109">
            <v>0.57779649617185214</v>
          </cell>
          <cell r="T109">
            <v>0.59420030385384259</v>
          </cell>
          <cell r="U109">
            <v>0.71902480281555659</v>
          </cell>
        </row>
        <row r="110">
          <cell r="J110" t="str">
            <v>Kyrgyzstan</v>
          </cell>
          <cell r="K110">
            <v>4.0740640476792878E-4</v>
          </cell>
          <cell r="L110">
            <v>1.9030296446423101</v>
          </cell>
          <cell r="M110">
            <v>1.6160656536114162</v>
          </cell>
          <cell r="O110">
            <v>1.8810395840897232</v>
          </cell>
          <cell r="P110">
            <v>1.4691388043437252</v>
          </cell>
          <cell r="Q110">
            <v>1.8737239947486071</v>
          </cell>
          <cell r="R110">
            <v>1.9537762442450466</v>
          </cell>
          <cell r="S110">
            <v>1.5531241057727996</v>
          </cell>
          <cell r="T110">
            <v>1.5972177430761709</v>
          </cell>
          <cell r="U110">
            <v>1.9327475353350501</v>
          </cell>
        </row>
        <row r="111">
          <cell r="J111" t="str">
            <v>Dominica</v>
          </cell>
          <cell r="K111">
            <v>5.6293052181632927E-5</v>
          </cell>
          <cell r="L111">
            <v>0.26294958998022372</v>
          </cell>
          <cell r="M111">
            <v>0.22329857140933596</v>
          </cell>
          <cell r="O111">
            <v>0.2599111310564638</v>
          </cell>
          <cell r="P111">
            <v>0.20299707222838803</v>
          </cell>
          <cell r="Q111">
            <v>0.25890030538534209</v>
          </cell>
          <cell r="R111">
            <v>0.26996146054986908</v>
          </cell>
          <cell r="S111">
            <v>0.21460167367919281</v>
          </cell>
          <cell r="T111">
            <v>0.22069427653606391</v>
          </cell>
          <cell r="U111">
            <v>0.26705583561582535</v>
          </cell>
        </row>
        <row r="112">
          <cell r="J112" t="str">
            <v>Turkmenistan</v>
          </cell>
          <cell r="K112">
            <v>9.5271138104694676E-5</v>
          </cell>
          <cell r="L112">
            <v>0.44501951361152947</v>
          </cell>
          <cell r="M112">
            <v>0.37791358277533649</v>
          </cell>
          <cell r="O112">
            <v>0.43987718381180652</v>
          </cell>
          <cell r="P112">
            <v>0.34355504549155602</v>
          </cell>
          <cell r="Q112">
            <v>0.43816644850112402</v>
          </cell>
          <cell r="R112">
            <v>0.45688650009606924</v>
          </cell>
          <cell r="S112">
            <v>0.36319483307852729</v>
          </cell>
          <cell r="T112">
            <v>0.37350603820418243</v>
          </cell>
          <cell r="U112">
            <v>0.45196898037305722</v>
          </cell>
        </row>
        <row r="113">
          <cell r="J113" t="str">
            <v>Niger</v>
          </cell>
          <cell r="K113">
            <v>6.3413152006984485E-4</v>
          </cell>
          <cell r="L113">
            <v>2.9620817620243813</v>
          </cell>
          <cell r="M113">
            <v>2.5154198791769886</v>
          </cell>
          <cell r="O113">
            <v>2.9278540465013934</v>
          </cell>
          <cell r="P113">
            <v>2.2867269937073385</v>
          </cell>
          <cell r="Q113">
            <v>2.916467269723225</v>
          </cell>
          <cell r="R113">
            <v>3.0410692741691396</v>
          </cell>
          <cell r="S113">
            <v>2.4174508268024031</v>
          </cell>
          <cell r="T113">
            <v>2.4860829467724432</v>
          </cell>
          <cell r="U113">
            <v>3.0083379106212385</v>
          </cell>
        </row>
        <row r="114">
          <cell r="J114" t="str">
            <v>Cape Verde</v>
          </cell>
          <cell r="K114">
            <v>1.0420037960698994E-4</v>
          </cell>
          <cell r="L114">
            <v>0.48672875304461555</v>
          </cell>
          <cell r="M114">
            <v>0.41333335118295611</v>
          </cell>
          <cell r="O114">
            <v>0.48110446086279401</v>
          </cell>
          <cell r="P114">
            <v>0.37575457655158195</v>
          </cell>
          <cell r="Q114">
            <v>0.47923338770961826</v>
          </cell>
          <cell r="R114">
            <v>0.49970796711804466</v>
          </cell>
          <cell r="S114">
            <v>0.39723509376461413</v>
          </cell>
          <cell r="T114">
            <v>0.40851271162111646</v>
          </cell>
          <cell r="U114">
            <v>0.49432955522902511</v>
          </cell>
        </row>
        <row r="115">
          <cell r="J115" t="str">
            <v>Grenada</v>
          </cell>
          <cell r="K115">
            <v>3.7891046877376247E-4</v>
          </cell>
          <cell r="L115">
            <v>1.769922726552452</v>
          </cell>
          <cell r="M115">
            <v>1.5030303579245119</v>
          </cell>
          <cell r="O115">
            <v>1.7494707551184474</v>
          </cell>
          <cell r="P115">
            <v>1.3663802692662708</v>
          </cell>
          <cell r="Q115">
            <v>1.7426668527885918</v>
          </cell>
          <cell r="R115">
            <v>1.8171198683232113</v>
          </cell>
          <cell r="S115">
            <v>1.444491240429632</v>
          </cell>
          <cell r="T115">
            <v>1.4855007596346081</v>
          </cell>
          <cell r="U115">
            <v>1.7975620070388934</v>
          </cell>
        </row>
        <row r="116">
          <cell r="J116" t="str">
            <v>Anguilla</v>
          </cell>
          <cell r="K116">
            <v>2.4629180886817951E-4</v>
          </cell>
          <cell r="L116">
            <v>1.1504497917152523</v>
          </cell>
          <cell r="M116">
            <v>0.9769697491732342</v>
          </cell>
          <cell r="O116">
            <v>1.1371560100583278</v>
          </cell>
          <cell r="P116">
            <v>0.88814719004322951</v>
          </cell>
          <cell r="Q116">
            <v>1.1327334734691286</v>
          </cell>
          <cell r="R116">
            <v>1.181127934385068</v>
          </cell>
          <cell r="S116">
            <v>0.93891932215806162</v>
          </cell>
          <cell r="T116">
            <v>0.96557551009209985</v>
          </cell>
          <cell r="U116">
            <v>1.1684153243352684</v>
          </cell>
        </row>
        <row r="117">
          <cell r="J117" t="str">
            <v>Tajikistan</v>
          </cell>
          <cell r="K117">
            <v>3.4148530145898314E-4</v>
          </cell>
          <cell r="L117">
            <v>1.5951066165890033</v>
          </cell>
          <cell r="M117">
            <v>1.3545753342178335</v>
          </cell>
          <cell r="O117">
            <v>1.576674696106116</v>
          </cell>
          <cell r="P117">
            <v>1.231422239844719</v>
          </cell>
          <cell r="Q117">
            <v>1.5705428184471868</v>
          </cell>
          <cell r="R117">
            <v>1.637642074207128</v>
          </cell>
          <cell r="S117">
            <v>1.3018181532152215</v>
          </cell>
          <cell r="T117">
            <v>1.33877714269292</v>
          </cell>
          <cell r="U117">
            <v>1.6200159521889581</v>
          </cell>
        </row>
        <row r="118">
          <cell r="J118" t="str">
            <v>Swaziland</v>
          </cell>
          <cell r="K118">
            <v>1.2788228448385502E-4</v>
          </cell>
          <cell r="L118">
            <v>0.59734892615638902</v>
          </cell>
          <cell r="M118">
            <v>0.50727275084800305</v>
          </cell>
          <cell r="O118">
            <v>0.59044638572871699</v>
          </cell>
          <cell r="P118">
            <v>0.4611533454668571</v>
          </cell>
          <cell r="Q118">
            <v>0.58815006866953734</v>
          </cell>
          <cell r="R118">
            <v>0.61327796166254933</v>
          </cell>
          <cell r="S118">
            <v>0.48751579849685595</v>
          </cell>
          <cell r="T118">
            <v>0.5013565113662809</v>
          </cell>
          <cell r="U118">
            <v>0.60667718341339971</v>
          </cell>
        </row>
        <row r="119">
          <cell r="J119" t="str">
            <v>Nepal</v>
          </cell>
          <cell r="K119">
            <v>4.8140264892637176E-6</v>
          </cell>
          <cell r="L119">
            <v>2.2486723360131567E-2</v>
          </cell>
          <cell r="M119">
            <v>1.9095877663745233E-2</v>
          </cell>
          <cell r="O119">
            <v>2.2226882737201328E-2</v>
          </cell>
          <cell r="P119">
            <v>1.7359749473120377E-2</v>
          </cell>
          <cell r="Q119">
            <v>2.2140439715048133E-2</v>
          </cell>
          <cell r="R119">
            <v>2.3086359182908557E-2</v>
          </cell>
          <cell r="S119">
            <v>1.8352142967814376E-2</v>
          </cell>
          <cell r="T119">
            <v>1.8873165552393847E-2</v>
          </cell>
          <cell r="U119">
            <v>2.2837878156240839E-2</v>
          </cell>
        </row>
        <row r="120">
          <cell r="J120" t="str">
            <v>Micronesia</v>
          </cell>
          <cell r="K120">
            <v>4.736380790251465E-5</v>
          </cell>
          <cell r="L120">
            <v>0.22124033757636336</v>
          </cell>
          <cell r="M120">
            <v>0.18787879198684704</v>
          </cell>
          <cell r="O120">
            <v>0.21868384118458306</v>
          </cell>
          <cell r="P120">
            <v>0.17079753115492488</v>
          </cell>
          <cell r="Q120">
            <v>0.21783335340581661</v>
          </cell>
          <cell r="R120">
            <v>0.22713998021123794</v>
          </cell>
          <cell r="S120">
            <v>0.18056140240723714</v>
          </cell>
          <cell r="T120">
            <v>0.18568759223272521</v>
          </cell>
          <cell r="U120">
            <v>0.22469524758653034</v>
          </cell>
        </row>
        <row r="121">
          <cell r="J121" t="str">
            <v>Guinea-Bissau</v>
          </cell>
          <cell r="K121">
            <v>4.7363809753729734E-6</v>
          </cell>
          <cell r="L121">
            <v>2.2124034622354502E-2</v>
          </cell>
          <cell r="M121">
            <v>1.8787879933009222E-2</v>
          </cell>
          <cell r="O121">
            <v>2.1868384973184399E-2</v>
          </cell>
          <cell r="P121">
            <v>1.7079753783054874E-2</v>
          </cell>
          <cell r="Q121">
            <v>2.1783336191983624E-2</v>
          </cell>
          <cell r="R121">
            <v>2.2713998908900718E-2</v>
          </cell>
          <cell r="S121">
            <v>1.8056140946448206E-2</v>
          </cell>
          <cell r="T121">
            <v>1.8568759949032732E-2</v>
          </cell>
          <cell r="U121">
            <v>2.246952563687472E-2</v>
          </cell>
        </row>
        <row r="122">
          <cell r="L122">
            <v>4671.0842597733199</v>
          </cell>
          <cell r="M122">
            <v>3966.7163665038033</v>
          </cell>
          <cell r="N122">
            <v>1.7176191623820156E-2</v>
          </cell>
          <cell r="O122">
            <v>4617.1085237631969</v>
          </cell>
          <cell r="P122">
            <v>3606.0768489405359</v>
          </cell>
          <cell r="Q122">
            <v>4599.1520330072817</v>
          </cell>
          <cell r="R122">
            <v>4795.6444017073754</v>
          </cell>
          <cell r="S122">
            <v>3812.2230961427986</v>
          </cell>
          <cell r="T122">
            <v>3920.4531995170651</v>
          </cell>
          <cell r="U122">
            <v>4744.0283528090395</v>
          </cell>
        </row>
        <row r="123">
          <cell r="U123">
            <v>0</v>
          </cell>
        </row>
        <row r="124">
          <cell r="M124">
            <v>230942.7173019374</v>
          </cell>
          <cell r="O124">
            <v>268808.62911194668</v>
          </cell>
          <cell r="P124">
            <v>209946.23999999999</v>
          </cell>
          <cell r="Q124">
            <v>267763.20000000001</v>
          </cell>
          <cell r="R124">
            <v>279203.01</v>
          </cell>
          <cell r="S124">
            <v>221948.1</v>
          </cell>
          <cell r="T124">
            <v>228249.27</v>
          </cell>
          <cell r="U124">
            <v>276197.91725134006</v>
          </cell>
        </row>
        <row r="125">
          <cell r="U125">
            <v>0</v>
          </cell>
        </row>
        <row r="126">
          <cell r="U126">
            <v>0</v>
          </cell>
        </row>
        <row r="127">
          <cell r="S127" t="str">
            <v>match</v>
          </cell>
          <cell r="T127">
            <v>228249.27000000005</v>
          </cell>
          <cell r="U127">
            <v>276197.91725133994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Z180"/>
  <sheetViews>
    <sheetView workbookViewId="0">
      <selection activeCell="F26" sqref="F26:F27"/>
    </sheetView>
  </sheetViews>
  <sheetFormatPr baseColWidth="10" defaultColWidth="8.83203125" defaultRowHeight="12" x14ac:dyDescent="0"/>
  <cols>
    <col min="1" max="1" width="17.33203125" style="263" customWidth="1"/>
    <col min="2" max="3" width="14.1640625" style="263" bestFit="1" customWidth="1"/>
    <col min="4" max="4" width="14" style="263" bestFit="1" customWidth="1"/>
    <col min="5" max="5" width="12.33203125" style="263" customWidth="1"/>
    <col min="6" max="6" width="12.1640625" style="263" customWidth="1"/>
    <col min="7" max="7" width="11.83203125" style="263" customWidth="1"/>
    <col min="8" max="8" width="14.1640625" style="263" bestFit="1" customWidth="1"/>
    <col min="9" max="10" width="14.5" style="263" bestFit="1" customWidth="1"/>
    <col min="11" max="11" width="14.1640625" style="263" customWidth="1"/>
    <col min="12" max="12" width="12.83203125" style="263" customWidth="1"/>
    <col min="13" max="13" width="14.33203125" style="263" customWidth="1"/>
    <col min="14" max="14" width="14.1640625" style="263" customWidth="1"/>
    <col min="15" max="15" width="12.83203125" style="263" customWidth="1"/>
    <col min="16" max="16" width="14.33203125" style="263" customWidth="1"/>
    <col min="17" max="17" width="11.5" style="263" customWidth="1"/>
    <col min="18" max="18" width="13.5" style="263" customWidth="1"/>
    <col min="19" max="20" width="11.1640625" style="263" customWidth="1"/>
    <col min="21" max="21" width="11" style="263" customWidth="1"/>
    <col min="22" max="22" width="11.33203125" style="263" bestFit="1" customWidth="1"/>
    <col min="23" max="23" width="7.1640625" style="263" bestFit="1" customWidth="1"/>
    <col min="24" max="24" width="12.5" style="263" bestFit="1" customWidth="1"/>
    <col min="25" max="25" width="11.33203125" style="263" bestFit="1" customWidth="1"/>
    <col min="26" max="26" width="10.33203125" style="263" bestFit="1" customWidth="1"/>
    <col min="27" max="27" width="7.5" style="263" customWidth="1"/>
    <col min="28" max="16384" width="8.83203125" style="263"/>
  </cols>
  <sheetData>
    <row r="1" spans="1:26" ht="14" thickBot="1">
      <c r="A1" s="962" t="s">
        <v>1235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4"/>
      <c r="O1" s="965"/>
      <c r="P1" s="966"/>
      <c r="R1" s="967" t="s">
        <v>1236</v>
      </c>
      <c r="S1" s="968"/>
      <c r="T1" s="968"/>
      <c r="U1" s="968"/>
      <c r="V1" s="968"/>
      <c r="W1" s="968"/>
      <c r="X1" s="969"/>
    </row>
    <row r="2" spans="1:26" ht="23" thickBot="1">
      <c r="A2" s="580" t="s">
        <v>8</v>
      </c>
      <c r="B2" s="429" t="s">
        <v>919</v>
      </c>
      <c r="C2" s="429" t="s">
        <v>964</v>
      </c>
      <c r="D2" s="283" t="s">
        <v>1</v>
      </c>
      <c r="E2" s="139" t="s">
        <v>2</v>
      </c>
      <c r="F2" s="139" t="s">
        <v>3</v>
      </c>
      <c r="G2" s="139" t="s">
        <v>4</v>
      </c>
      <c r="H2" s="139" t="s">
        <v>5</v>
      </c>
      <c r="I2" s="95" t="s">
        <v>6</v>
      </c>
      <c r="J2" s="421" t="s">
        <v>7</v>
      </c>
      <c r="K2" s="105" t="s">
        <v>1005</v>
      </c>
      <c r="L2" s="139" t="s">
        <v>1006</v>
      </c>
      <c r="M2" s="140" t="s">
        <v>1007</v>
      </c>
      <c r="N2" s="471" t="s">
        <v>1008</v>
      </c>
      <c r="O2" s="472" t="s">
        <v>1009</v>
      </c>
      <c r="P2" s="473" t="s">
        <v>1010</v>
      </c>
      <c r="R2" s="285" t="s">
        <v>8</v>
      </c>
      <c r="S2" s="352" t="s">
        <v>1</v>
      </c>
      <c r="T2" s="353" t="s">
        <v>2</v>
      </c>
      <c r="U2" s="353" t="s">
        <v>3</v>
      </c>
      <c r="V2" s="353" t="s">
        <v>4</v>
      </c>
      <c r="W2" s="381" t="s">
        <v>5</v>
      </c>
      <c r="X2" s="354" t="s">
        <v>21</v>
      </c>
    </row>
    <row r="3" spans="1:26">
      <c r="A3" s="291" t="s">
        <v>9</v>
      </c>
      <c r="B3" s="396">
        <v>5033470.5310280165</v>
      </c>
      <c r="C3" s="396">
        <v>4019887.8959472119</v>
      </c>
      <c r="D3" s="609">
        <f>'[3]IODA Weekly iTunes'!B4+'[3]Orch Weekly Mgmt'!B4+'[3]IRIS iTunes'!B4</f>
        <v>998146.24339750281</v>
      </c>
      <c r="E3" s="609">
        <f>'[3]IODA Weekly iTunes'!C4+'[3]Orch Weekly Mgmt'!C4+'[3]IRIS iTunes'!C4</f>
        <v>916851.89593200281</v>
      </c>
      <c r="F3" s="609">
        <f>'[3]IODA Weekly iTunes'!D4+'[3]Orch Weekly Mgmt'!D4+'[3]IRIS iTunes'!D4</f>
        <v>973375.07730350259</v>
      </c>
      <c r="G3" s="609">
        <f>'[3]IODA Weekly iTunes'!E4+'[3]Orch Weekly Mgmt'!E4+'[3]IRIS iTunes'!E4</f>
        <v>901377.70024150261</v>
      </c>
      <c r="H3" s="610">
        <f>'[3]IODA Weekly iTunes'!F4+'[3]Orch Weekly Mgmt'!F4+'[3]IRIS iTunes'!F4</f>
        <v>0</v>
      </c>
      <c r="I3" s="491">
        <f>SUM($D3:$H3)</f>
        <v>3789750.9168745112</v>
      </c>
      <c r="J3" s="358">
        <f>IFERROR((((D3+E3+F3+G3+H3))/COUNTIF(D3:E3:F3:G3:H3, "&gt;0")*4),0)</f>
        <v>3789750.9168745112</v>
      </c>
      <c r="K3" s="492">
        <f>('[3]Orch Weekly Mgmt'!I131+'[3]IODA Weekly iTunes'!I129+'[3]IRIS iTunes'!I129)</f>
        <v>4388134.6901647411</v>
      </c>
      <c r="L3" s="611">
        <f>$J3-$K3</f>
        <v>-598383.77329022996</v>
      </c>
      <c r="M3" s="612">
        <f>L3/K3</f>
        <v>-0.13636403974367642</v>
      </c>
      <c r="N3" s="574">
        <v>3856490.045425219</v>
      </c>
      <c r="O3" s="613">
        <f>$J3-$N3</f>
        <v>-66739.128550707828</v>
      </c>
      <c r="P3" s="612">
        <f>O3/N3</f>
        <v>-1.7305665972061166E-2</v>
      </c>
      <c r="R3" s="349" t="s">
        <v>9</v>
      </c>
      <c r="S3" s="357">
        <v>1151468.0803939868</v>
      </c>
      <c r="T3" s="358">
        <v>1086339.4967047453</v>
      </c>
      <c r="U3" s="358">
        <v>1092871.8877065359</v>
      </c>
      <c r="V3" s="358">
        <v>1093323.9389817389</v>
      </c>
      <c r="W3" s="382">
        <v>0</v>
      </c>
      <c r="X3" s="359">
        <f>SUM(S3:W3)</f>
        <v>4424003.4037870066</v>
      </c>
      <c r="Z3" s="614"/>
    </row>
    <row r="4" spans="1:26">
      <c r="A4" s="615" t="s">
        <v>24</v>
      </c>
      <c r="B4" s="583">
        <v>2232472.4840447004</v>
      </c>
      <c r="C4" s="583">
        <v>1670593.1073492002</v>
      </c>
      <c r="D4" s="494">
        <f>SUM('[3]Orch + IODA iTunes Details'!B8:B9,'[3]Orch + IODA iTunes Details'!B14,'[3]Orch + IODA iTunes Details'!B18,'[3]Orch + IODA iTunes Details'!B22,'[3]Orch + IODA iTunes Details'!B27,'[3]IRIS iTunes'!B8:B9,'[3]IRIS iTunes'!B14,'[3]IRIS iTunes'!B18,'[3]IRIS iTunes'!B22,'[3]IRIS iTunes'!B27,'[3]Orch + IODA iTunes Details'!B36,'[3]IRIS iTunes'!B36)</f>
        <v>401140.65049099998</v>
      </c>
      <c r="E4" s="494">
        <f>SUM('[3]Orch + IODA iTunes Details'!C8:C9,'[3]Orch + IODA iTunes Details'!C14,'[3]Orch + IODA iTunes Details'!C18,'[3]Orch + IODA iTunes Details'!C22,'[3]Orch + IODA iTunes Details'!C27,'[3]IRIS iTunes'!C8:C9,'[3]IRIS iTunes'!C14,'[3]IRIS iTunes'!C18,'[3]IRIS iTunes'!C22,'[3]IRIS iTunes'!C27,'[3]Orch + IODA iTunes Details'!C36,'[3]IRIS iTunes'!C36)</f>
        <v>367706.44434740004</v>
      </c>
      <c r="F4" s="494">
        <f>SUM('[3]Orch + IODA iTunes Details'!D8:D9,'[3]Orch + IODA iTunes Details'!D14,'[3]Orch + IODA iTunes Details'!D18,'[3]Orch + IODA iTunes Details'!D22,'[3]Orch + IODA iTunes Details'!D27,'[3]IRIS iTunes'!D8:D9,'[3]IRIS iTunes'!D14,'[3]IRIS iTunes'!D18,'[3]IRIS iTunes'!D22,'[3]IRIS iTunes'!D27,'[3]Orch + IODA iTunes Details'!D36,'[3]IRIS iTunes'!D36)</f>
        <v>382125.94876100007</v>
      </c>
      <c r="G4" s="494">
        <f>SUM('[3]Orch + IODA iTunes Details'!E8:E9,'[3]Orch + IODA iTunes Details'!E14,'[3]Orch + IODA iTunes Details'!E18,'[3]Orch + IODA iTunes Details'!E22,'[3]Orch + IODA iTunes Details'!E27,'[3]IRIS iTunes'!E8:E9,'[3]IRIS iTunes'!E14,'[3]IRIS iTunes'!E18,'[3]IRIS iTunes'!E22,'[3]IRIS iTunes'!E27,'[3]Orch + IODA iTunes Details'!E36,'[3]IRIS iTunes'!E36)</f>
        <v>383372.66369780002</v>
      </c>
      <c r="H4" s="616">
        <f>SUM('[3]Orch + IODA iTunes Details'!F8:F9,'[3]Orch + IODA iTunes Details'!F14,'[3]Orch + IODA iTunes Details'!F18,'[3]Orch + IODA iTunes Details'!F22,'[3]Orch + IODA iTunes Details'!F27,'[3]IRIS iTunes'!F8:F9,'[3]IRIS iTunes'!F14,'[3]IRIS iTunes'!F18,'[3]IRIS iTunes'!F22,'[3]IRIS iTunes'!F27,'[3]Orch + IODA iTunes Details'!F36,'[3]IRIS iTunes'!F36)</f>
        <v>0</v>
      </c>
      <c r="I4" s="493">
        <f>SUM($D4:$H4)</f>
        <v>1534345.7072972003</v>
      </c>
      <c r="J4" s="617">
        <f>IFERROR((((D4+E4+F4+G4+H4))/COUNTIF(D4:E4:F4:G4:H4, "&gt;0")*4),0)</f>
        <v>1534345.7072972003</v>
      </c>
      <c r="K4" s="494">
        <f>('[3]Orch Weekly Mgmt'!I132+'[3]IODA Weekly iTunes'!I130+'[3]IRIS iTunes'!I130)</f>
        <v>1876499.7322933739</v>
      </c>
      <c r="L4" s="618">
        <f t="shared" ref="L4:L9" si="0">$J4-$K4</f>
        <v>-342154.02499617357</v>
      </c>
      <c r="M4" s="619">
        <f>L4/K4</f>
        <v>-0.18233630365510803</v>
      </c>
      <c r="N4" s="620">
        <v>1649152.3275373306</v>
      </c>
      <c r="O4" s="618">
        <f t="shared" ref="O4:O5" si="1">$J4-$N4</f>
        <v>-114806.62024013023</v>
      </c>
      <c r="P4" s="619">
        <f>O4/N4</f>
        <v>-6.961553418874912E-2</v>
      </c>
      <c r="R4" s="615" t="s">
        <v>24</v>
      </c>
      <c r="S4" s="360">
        <v>470286.10876882816</v>
      </c>
      <c r="T4" s="617">
        <v>461465.15265900269</v>
      </c>
      <c r="U4" s="617">
        <v>482513.10936562164</v>
      </c>
      <c r="V4" s="617">
        <v>485093.82713892084</v>
      </c>
      <c r="W4" s="621">
        <v>0</v>
      </c>
      <c r="X4" s="361">
        <f t="shared" ref="X4:X5" si="2">SUM(S4:W4)</f>
        <v>1899358.1979323733</v>
      </c>
      <c r="Z4" s="614"/>
    </row>
    <row r="5" spans="1:26" ht="13" thickBot="1">
      <c r="A5" s="274" t="s">
        <v>26</v>
      </c>
      <c r="B5" s="622">
        <v>1531296.7597140996</v>
      </c>
      <c r="C5" s="622">
        <v>1186272.5692745997</v>
      </c>
      <c r="D5" s="387">
        <f>SUM('[3]Orch + IODA iTunes Details'!B30:B31,'[3]Orch + IODA iTunes Details'!B34:B35,'[3]Orch + IODA iTunes Details'!B49,'[3]Orch + IODA iTunes Details'!B67,'[3]Orch + IODA iTunes Details'!B81,'[3]IRIS iTunes'!B30:B31,'[3]IRIS iTunes'!B34:B35,'[3]IRIS iTunes'!B49,'[3]IRIS iTunes'!B67,'[3]IRIS iTunes'!B81)</f>
        <v>335489.74924259994</v>
      </c>
      <c r="E5" s="387">
        <f>SUM('[3]Orch + IODA iTunes Details'!C30:C31,'[3]Orch + IODA iTunes Details'!C34:C35,'[3]Orch + IODA iTunes Details'!C49,'[3]Orch + IODA iTunes Details'!C67,'[3]Orch + IODA iTunes Details'!C81,'[3]IRIS iTunes'!C30:C31,'[3]IRIS iTunes'!C34:C35,'[3]IRIS iTunes'!C49,'[3]IRIS iTunes'!C67,'[3]IRIS iTunes'!C81)</f>
        <v>297032.42740109988</v>
      </c>
      <c r="F5" s="387">
        <f>SUM('[3]Orch + IODA iTunes Details'!D30:D31,'[3]Orch + IODA iTunes Details'!D34:D35,'[3]Orch + IODA iTunes Details'!D49,'[3]Orch + IODA iTunes Details'!D67,'[3]Orch + IODA iTunes Details'!D81,'[3]IRIS iTunes'!D30:D31,'[3]IRIS iTunes'!D34:D35,'[3]IRIS iTunes'!D49,'[3]IRIS iTunes'!D67,'[3]IRIS iTunes'!D81)</f>
        <v>291191.06024959998</v>
      </c>
      <c r="G5" s="387">
        <f>SUM('[3]Orch + IODA iTunes Details'!E30:E31,'[3]Orch + IODA iTunes Details'!E34:E35,'[3]Orch + IODA iTunes Details'!E49,'[3]Orch + IODA iTunes Details'!E67,'[3]Orch + IODA iTunes Details'!E81,'[3]IRIS iTunes'!E30:E31,'[3]IRIS iTunes'!E34:E35,'[3]IRIS iTunes'!E49,'[3]IRIS iTunes'!E67,'[3]IRIS iTunes'!E81)</f>
        <v>269711.28630529996</v>
      </c>
      <c r="H5" s="623">
        <f>SUM('[3]Orch + IODA iTunes Details'!F30:F31,'[3]Orch + IODA iTunes Details'!F34:F35,'[3]Orch + IODA iTunes Details'!F49,'[3]Orch + IODA iTunes Details'!F67,'[3]Orch + IODA iTunes Details'!F81,'[3]IRIS iTunes'!F30:F31,'[3]IRIS iTunes'!F34:F35,'[3]IRIS iTunes'!F49,'[3]IRIS iTunes'!F67,'[3]IRIS iTunes'!F81)</f>
        <v>0</v>
      </c>
      <c r="I5" s="495">
        <f>SUM($D5:$H5)</f>
        <v>1193424.5231985999</v>
      </c>
      <c r="J5" s="617">
        <f>IFERROR((((D5+E5+F5+G5+H5))/COUNTIF(D5:E5:F5:G5:H5, "&gt;0")*4),0)</f>
        <v>1193424.5231985999</v>
      </c>
      <c r="K5" s="387">
        <f>('[3]Orch Weekly Mgmt'!I133+'[3]IODA Weekly iTunes'!I131+'[3]IRIS iTunes'!I131)</f>
        <v>1343674.5775418866</v>
      </c>
      <c r="L5" s="624">
        <f t="shared" si="0"/>
        <v>-150250.05434328667</v>
      </c>
      <c r="M5" s="625">
        <f>L5/K5</f>
        <v>-0.11182027021613639</v>
      </c>
      <c r="N5" s="576">
        <v>1180881.6270374516</v>
      </c>
      <c r="O5" s="626">
        <f t="shared" si="1"/>
        <v>12542.896161148325</v>
      </c>
      <c r="P5" s="625">
        <f>O5/N5</f>
        <v>1.0621637151401396E-2</v>
      </c>
      <c r="R5" s="615" t="s">
        <v>26</v>
      </c>
      <c r="S5" s="360">
        <v>333352.55170573253</v>
      </c>
      <c r="T5" s="617">
        <v>332696.06468436285</v>
      </c>
      <c r="U5" s="617">
        <v>351901.52708620916</v>
      </c>
      <c r="V5" s="617">
        <v>357676.36549034418</v>
      </c>
      <c r="W5" s="621">
        <v>0</v>
      </c>
      <c r="X5" s="361">
        <f t="shared" si="2"/>
        <v>1375626.5089666487</v>
      </c>
      <c r="Z5" s="614"/>
    </row>
    <row r="6" spans="1:26" ht="12.75" customHeight="1" thickBot="1">
      <c r="A6" s="389" t="s">
        <v>800</v>
      </c>
      <c r="B6" s="430">
        <f>SUM(B3:B5)</f>
        <v>8797239.774786815</v>
      </c>
      <c r="C6" s="430">
        <f>SUM(C3:C5)</f>
        <v>6876753.5725710122</v>
      </c>
      <c r="D6" s="390">
        <f>SUM(D$3:D$5)</f>
        <v>1734776.6431311029</v>
      </c>
      <c r="E6" s="391">
        <f>SUM(E$3:E$5)</f>
        <v>1581590.7676805027</v>
      </c>
      <c r="F6" s="391">
        <f>SUM(F$3:F$5)</f>
        <v>1646692.0863141026</v>
      </c>
      <c r="G6" s="391">
        <f t="shared" ref="G6" si="3">SUM(G$3:G$5)</f>
        <v>1554461.6502446025</v>
      </c>
      <c r="H6" s="487">
        <f>SUM(H$3:H$5)</f>
        <v>0</v>
      </c>
      <c r="I6" s="391">
        <f>SUM(I$3:I$5)</f>
        <v>6517521.1473703114</v>
      </c>
      <c r="J6" s="391">
        <f t="shared" ref="J6:O6" si="4">SUM(J$3:J$5)</f>
        <v>6517521.1473703114</v>
      </c>
      <c r="K6" s="391">
        <f t="shared" si="4"/>
        <v>7608309.0000000019</v>
      </c>
      <c r="L6" s="391">
        <f t="shared" si="4"/>
        <v>-1090787.8526296902</v>
      </c>
      <c r="M6" s="627">
        <f>L6/K6</f>
        <v>-0.14336797475361343</v>
      </c>
      <c r="N6" s="391">
        <f>SUM(N3:N5)</f>
        <v>6686524.0000000009</v>
      </c>
      <c r="O6" s="391">
        <f t="shared" si="4"/>
        <v>-169002.85262968973</v>
      </c>
      <c r="P6" s="627">
        <f>O6/N6</f>
        <v>-2.5275143352463808E-2</v>
      </c>
      <c r="Q6" s="54"/>
      <c r="R6" s="369" t="s">
        <v>800</v>
      </c>
      <c r="S6" s="373">
        <f>SUM(S$3:S$5)</f>
        <v>1955106.7408685475</v>
      </c>
      <c r="T6" s="628">
        <f t="shared" ref="T6:W6" si="5">SUM(T$3:T$5)</f>
        <v>1880500.7140481109</v>
      </c>
      <c r="U6" s="628">
        <f t="shared" si="5"/>
        <v>1927286.5241583665</v>
      </c>
      <c r="V6" s="628">
        <f t="shared" si="5"/>
        <v>1936094.1316110038</v>
      </c>
      <c r="W6" s="628">
        <f t="shared" si="5"/>
        <v>0</v>
      </c>
      <c r="X6" s="375">
        <f>SUM(X$3:X$5)</f>
        <v>7698988.1106860284</v>
      </c>
      <c r="Z6" s="614"/>
    </row>
    <row r="7" spans="1:26" ht="13" thickBot="1">
      <c r="A7" s="293" t="s">
        <v>747</v>
      </c>
      <c r="B7" s="397">
        <v>14726.016814999999</v>
      </c>
      <c r="C7" s="397">
        <v>10619.665392999999</v>
      </c>
      <c r="D7" s="609">
        <v>2887.1447539999999</v>
      </c>
      <c r="E7" s="629">
        <v>2988.044449</v>
      </c>
      <c r="F7" s="629">
        <v>2872.6161830000001</v>
      </c>
      <c r="G7" s="629">
        <v>2684.9306700000002</v>
      </c>
      <c r="H7" s="629">
        <v>0</v>
      </c>
      <c r="I7" s="478">
        <f>SUM($D7:$H7)</f>
        <v>11432.736056</v>
      </c>
      <c r="J7" s="617">
        <f>IFERROR((((D7+E7+F7+G7+H7))/COUNTIF(D7:E7:F7:G7:H7, "&gt;0")*4),0)</f>
        <v>11432.736056</v>
      </c>
      <c r="K7" s="335">
        <f>'[3]Orch Weekly Mgmt'!Y6</f>
        <v>8221.6727616263706</v>
      </c>
      <c r="L7" s="626">
        <f t="shared" si="0"/>
        <v>3211.0632943736291</v>
      </c>
      <c r="M7" s="630">
        <f>L7/K7</f>
        <v>0.39056082472180909</v>
      </c>
      <c r="N7" s="335">
        <v>8221.6727616263706</v>
      </c>
      <c r="O7" s="626">
        <f>$J7-$N7</f>
        <v>3211.0632943736291</v>
      </c>
      <c r="P7" s="630">
        <f>O7/N7</f>
        <v>0.39056082472180909</v>
      </c>
      <c r="R7" s="631" t="s">
        <v>98</v>
      </c>
      <c r="S7" s="362">
        <v>28157.415865063696</v>
      </c>
      <c r="T7" s="363">
        <v>25872.746771544229</v>
      </c>
      <c r="U7" s="363">
        <v>38820.330324560418</v>
      </c>
      <c r="V7" s="363">
        <v>30126.761736333341</v>
      </c>
      <c r="W7" s="632">
        <v>0</v>
      </c>
      <c r="X7" s="334">
        <f>SUM(S7:W7)</f>
        <v>122977.25469750169</v>
      </c>
      <c r="Y7" s="351"/>
      <c r="Z7" s="614"/>
    </row>
    <row r="8" spans="1:26" ht="13" thickBot="1">
      <c r="A8" s="274" t="s">
        <v>745</v>
      </c>
      <c r="B8" s="398">
        <v>27651.023899</v>
      </c>
      <c r="C8" s="398">
        <v>18957.883741000001</v>
      </c>
      <c r="D8" s="494">
        <v>4841.3823900000007</v>
      </c>
      <c r="E8" s="633">
        <v>4487.1025954999996</v>
      </c>
      <c r="F8" s="633">
        <v>4431.0286930000002</v>
      </c>
      <c r="G8" s="633">
        <v>4649.6362424999998</v>
      </c>
      <c r="H8" s="634">
        <v>0</v>
      </c>
      <c r="I8" s="496">
        <f>SUM($D8:$H8)</f>
        <v>18409.149921</v>
      </c>
      <c r="J8" s="617">
        <f>IFERROR((((D8+E8+F8+G8+H8))/COUNTIF(D8:E8:F8:G8:H8, "&gt;0")*4),0)</f>
        <v>18409.149921</v>
      </c>
      <c r="K8" s="335">
        <f>'[3]Orch Weekly Mgmt'!Y7</f>
        <v>15437.824964991263</v>
      </c>
      <c r="L8" s="618">
        <f t="shared" si="0"/>
        <v>2971.324956008737</v>
      </c>
      <c r="M8" s="619">
        <f t="shared" ref="M8:M9" si="6">L8/K8</f>
        <v>0.19247043950471546</v>
      </c>
      <c r="N8" s="335">
        <v>15437.824964991263</v>
      </c>
      <c r="O8" s="626">
        <f t="shared" ref="O8:O10" si="7">$J8-$N8</f>
        <v>2971.324956008737</v>
      </c>
      <c r="P8" s="619">
        <f t="shared" ref="P8:P9" si="8">O8/N8</f>
        <v>0.19247043950471546</v>
      </c>
      <c r="X8" s="355"/>
    </row>
    <row r="9" spans="1:26" ht="13" thickBot="1">
      <c r="A9" s="635" t="s">
        <v>746</v>
      </c>
      <c r="B9" s="636">
        <v>353460.86362399999</v>
      </c>
      <c r="C9" s="636">
        <v>215019.97855</v>
      </c>
      <c r="D9" s="494">
        <v>44985.185624000005</v>
      </c>
      <c r="E9" s="617">
        <v>38251.555382500002</v>
      </c>
      <c r="F9" s="617">
        <v>34403.834817999996</v>
      </c>
      <c r="G9" s="617">
        <v>33822.947780499999</v>
      </c>
      <c r="H9" s="621">
        <v>0</v>
      </c>
      <c r="I9" s="480">
        <f>SUM($D9:$H9)</f>
        <v>151463.52360499999</v>
      </c>
      <c r="J9" s="617">
        <f>IFERROR((((D9+E9+F9+G9+H9))/COUNTIF(D9:E9:F9:G9:H9, "&gt;0")*4),0)</f>
        <v>151463.52360499999</v>
      </c>
      <c r="K9" s="335">
        <f>'[3]Orch Weekly Mgmt'!Y8</f>
        <v>197340.50227338236</v>
      </c>
      <c r="L9" s="618">
        <f t="shared" si="0"/>
        <v>-45876.978668382362</v>
      </c>
      <c r="M9" s="619">
        <f t="shared" si="6"/>
        <v>-0.23247624354795376</v>
      </c>
      <c r="N9" s="335">
        <v>197340.50227338236</v>
      </c>
      <c r="O9" s="626">
        <f t="shared" si="7"/>
        <v>-45876.978668382362</v>
      </c>
      <c r="P9" s="619">
        <f t="shared" si="8"/>
        <v>-0.23247624354795376</v>
      </c>
      <c r="R9" s="372" t="s">
        <v>15</v>
      </c>
      <c r="S9" s="145">
        <f>SUM(S6:S7)</f>
        <v>1983264.1567336111</v>
      </c>
      <c r="T9" s="145">
        <f t="shared" ref="T9:W9" si="9">SUM(T6:T7)</f>
        <v>1906373.4608196551</v>
      </c>
      <c r="U9" s="145">
        <f t="shared" si="9"/>
        <v>1966106.8544829269</v>
      </c>
      <c r="V9" s="145">
        <f t="shared" si="9"/>
        <v>1966220.8933473371</v>
      </c>
      <c r="W9" s="145">
        <f t="shared" si="9"/>
        <v>0</v>
      </c>
      <c r="X9" s="364">
        <f>SUM(X6:X7)</f>
        <v>7821965.36538353</v>
      </c>
    </row>
    <row r="10" spans="1:26" ht="13" thickBot="1">
      <c r="A10" s="370" t="s">
        <v>755</v>
      </c>
      <c r="B10" s="379">
        <f>SUM(B7:B9)</f>
        <v>395837.90433799999</v>
      </c>
      <c r="C10" s="379">
        <f>SUM(C7:C9)</f>
        <v>244597.527684</v>
      </c>
      <c r="D10" s="365">
        <f>SUM(D7:D9)</f>
        <v>52713.712768000005</v>
      </c>
      <c r="E10" s="366">
        <f>SUM(E7:E9)</f>
        <v>45726.702427000004</v>
      </c>
      <c r="F10" s="366">
        <f t="shared" ref="F10:H10" si="10">SUM(F7:F9)</f>
        <v>41707.479693999994</v>
      </c>
      <c r="G10" s="366">
        <f t="shared" si="10"/>
        <v>41157.514692999997</v>
      </c>
      <c r="H10" s="376">
        <f t="shared" si="10"/>
        <v>0</v>
      </c>
      <c r="I10" s="497">
        <f>SUM($I7:$I9)</f>
        <v>181305.40958199999</v>
      </c>
      <c r="J10" s="377">
        <f>SUM(J7:J9)</f>
        <v>181305.40958199999</v>
      </c>
      <c r="K10" s="365">
        <f>SUM(K7:K9)</f>
        <v>221000</v>
      </c>
      <c r="L10" s="637">
        <f>$J10-$K10</f>
        <v>-39694.590418000007</v>
      </c>
      <c r="M10" s="638">
        <f>L10/K10</f>
        <v>-0.17961353130316746</v>
      </c>
      <c r="N10" s="639">
        <f>SUM(N7:N9)</f>
        <v>221000</v>
      </c>
      <c r="O10" s="626">
        <f t="shared" si="7"/>
        <v>-39694.590418000007</v>
      </c>
      <c r="P10" s="638">
        <f>O10/N10</f>
        <v>-0.17961353130316746</v>
      </c>
      <c r="Q10" s="104"/>
    </row>
    <row r="11" spans="1:26" ht="13" thickBot="1">
      <c r="A11" s="371" t="s">
        <v>15</v>
      </c>
      <c r="B11" s="289">
        <f>SUM(B6,B10)</f>
        <v>9193077.6791248154</v>
      </c>
      <c r="C11" s="289">
        <f>SUM(C6,C10)</f>
        <v>7121351.1002550125</v>
      </c>
      <c r="D11" s="289">
        <f t="shared" ref="D11:L11" si="11">SUM(D6,D10)</f>
        <v>1787490.355899103</v>
      </c>
      <c r="E11" s="289">
        <f t="shared" si="11"/>
        <v>1627317.4701075028</v>
      </c>
      <c r="F11" s="289">
        <f t="shared" si="11"/>
        <v>1688399.5660081026</v>
      </c>
      <c r="G11" s="289">
        <f t="shared" si="11"/>
        <v>1595619.1649376024</v>
      </c>
      <c r="H11" s="490">
        <f t="shared" si="11"/>
        <v>0</v>
      </c>
      <c r="I11" s="289">
        <f t="shared" si="11"/>
        <v>6698826.5569523117</v>
      </c>
      <c r="J11" s="289">
        <f>SUM(J6,J10)</f>
        <v>6698826.5569523117</v>
      </c>
      <c r="K11" s="289">
        <f>SUM(K6,K10)</f>
        <v>7829309.0000000019</v>
      </c>
      <c r="L11" s="289">
        <f t="shared" si="11"/>
        <v>-1130482.4430476902</v>
      </c>
      <c r="M11" s="640">
        <f>L11/K11</f>
        <v>-0.14439108777641679</v>
      </c>
      <c r="N11" s="289">
        <f>N6+N10</f>
        <v>6907524.0000000009</v>
      </c>
      <c r="O11" s="289">
        <f>SUM(O6,O10)</f>
        <v>-208697.44304768974</v>
      </c>
      <c r="P11" s="640">
        <f>O11/N11</f>
        <v>-3.0213060866337883E-2</v>
      </c>
      <c r="S11" s="641"/>
      <c r="T11" s="642"/>
      <c r="U11" s="642"/>
      <c r="V11" s="642"/>
      <c r="W11" s="642"/>
    </row>
    <row r="12" spans="1:26" ht="13" thickBot="1">
      <c r="A12" s="369"/>
      <c r="B12" s="643"/>
      <c r="C12" s="643"/>
      <c r="D12" s="643"/>
      <c r="E12" s="643"/>
      <c r="F12" s="643"/>
      <c r="G12" s="643"/>
      <c r="H12" s="643"/>
      <c r="I12" s="643"/>
      <c r="J12" s="643"/>
      <c r="K12" s="643"/>
      <c r="L12" s="643"/>
      <c r="M12" s="644"/>
      <c r="N12" s="643"/>
      <c r="O12" s="643"/>
      <c r="P12" s="644"/>
      <c r="S12" s="641"/>
      <c r="T12" s="642"/>
      <c r="U12" s="642"/>
      <c r="V12" s="642"/>
      <c r="W12" s="642"/>
    </row>
    <row r="13" spans="1:26" ht="23" customHeight="1" thickBot="1">
      <c r="A13" s="970" t="s">
        <v>1112</v>
      </c>
      <c r="B13" s="971"/>
      <c r="C13" s="972"/>
      <c r="D13" s="645">
        <v>0.12624603850715099</v>
      </c>
      <c r="E13" s="646">
        <v>0.10931438299820403</v>
      </c>
      <c r="F13" s="646">
        <v>0.13034356516172185</v>
      </c>
      <c r="G13" s="647">
        <v>9.6977895259895044E-2</v>
      </c>
      <c r="H13" s="298"/>
      <c r="I13" s="298"/>
      <c r="J13" s="298"/>
      <c r="K13" s="298"/>
      <c r="L13" s="298"/>
      <c r="M13" s="644"/>
      <c r="N13" s="298"/>
      <c r="O13" s="298"/>
      <c r="P13" s="644"/>
      <c r="S13" s="642"/>
    </row>
    <row r="14" spans="1:26" ht="13" thickBot="1">
      <c r="A14" s="316"/>
      <c r="B14" s="298"/>
      <c r="C14" s="298"/>
      <c r="D14" s="298"/>
      <c r="F14" s="298"/>
      <c r="G14" s="298"/>
      <c r="H14" s="343"/>
      <c r="I14" s="343"/>
      <c r="J14" s="648"/>
      <c r="K14" s="298"/>
      <c r="L14" s="298"/>
      <c r="M14" s="644"/>
      <c r="N14" s="298"/>
      <c r="O14" s="298"/>
      <c r="P14" s="644"/>
      <c r="S14" s="104"/>
      <c r="T14" s="408"/>
    </row>
    <row r="15" spans="1:26" ht="29.25" customHeight="1" thickBot="1">
      <c r="A15" s="649" t="s">
        <v>781</v>
      </c>
      <c r="B15" s="308" t="s">
        <v>116</v>
      </c>
      <c r="C15" s="308" t="s">
        <v>117</v>
      </c>
      <c r="D15" s="308" t="s">
        <v>123</v>
      </c>
      <c r="E15" s="403" t="s">
        <v>807</v>
      </c>
      <c r="F15" s="403" t="s">
        <v>919</v>
      </c>
      <c r="G15" s="403" t="s">
        <v>964</v>
      </c>
      <c r="H15" s="298"/>
      <c r="I15" s="298"/>
      <c r="J15" s="298"/>
      <c r="K15" s="298"/>
      <c r="L15" s="644"/>
      <c r="N15" s="298"/>
      <c r="O15" s="644"/>
    </row>
    <row r="16" spans="1:26">
      <c r="A16" s="293" t="s">
        <v>747</v>
      </c>
      <c r="B16" s="650">
        <v>48.853702639043298</v>
      </c>
      <c r="C16" s="651">
        <v>53.535803479254199</v>
      </c>
      <c r="D16" s="652">
        <v>54.947275667190503</v>
      </c>
      <c r="E16" s="422">
        <v>70.244760999999997</v>
      </c>
      <c r="F16" s="407">
        <v>69.279242999999994</v>
      </c>
      <c r="G16" s="407">
        <v>53.987648999999998</v>
      </c>
      <c r="H16" s="298"/>
      <c r="I16" s="298"/>
      <c r="J16" s="298"/>
      <c r="K16" s="298"/>
      <c r="L16" s="644"/>
      <c r="N16" s="298"/>
      <c r="O16" s="644"/>
      <c r="R16" s="104"/>
    </row>
    <row r="17" spans="1:18">
      <c r="A17" s="274" t="s">
        <v>745</v>
      </c>
      <c r="B17" s="653">
        <v>41.676274600028997</v>
      </c>
      <c r="C17" s="654">
        <v>46.667350143194199</v>
      </c>
      <c r="D17" s="655">
        <v>40.288757706880602</v>
      </c>
      <c r="E17" s="423">
        <v>44.002946000000001</v>
      </c>
      <c r="F17" s="656">
        <v>37.58775</v>
      </c>
      <c r="G17" s="656">
        <v>32.655971000000001</v>
      </c>
      <c r="H17" s="298"/>
      <c r="I17" s="298"/>
      <c r="J17" s="298"/>
      <c r="K17" s="298"/>
      <c r="L17" s="644"/>
      <c r="N17" s="298"/>
      <c r="O17" s="644"/>
      <c r="R17" s="148"/>
    </row>
    <row r="18" spans="1:18" ht="13" thickBot="1">
      <c r="A18" s="631" t="s">
        <v>746</v>
      </c>
      <c r="B18" s="657">
        <v>1226.5829122054599</v>
      </c>
      <c r="C18" s="658">
        <v>2515.8592210495499</v>
      </c>
      <c r="D18" s="659">
        <v>3201.85513329267</v>
      </c>
      <c r="E18" s="660">
        <v>2978.5026659999999</v>
      </c>
      <c r="F18" s="661">
        <v>1900.1434400000001</v>
      </c>
      <c r="G18" s="661">
        <v>1233.3471730000001</v>
      </c>
      <c r="H18" s="298"/>
      <c r="I18" s="298"/>
      <c r="J18" s="298"/>
      <c r="K18" s="298"/>
      <c r="L18" s="644"/>
      <c r="N18" s="298"/>
      <c r="O18" s="644"/>
    </row>
    <row r="19" spans="1:18">
      <c r="A19" s="316"/>
      <c r="B19" s="298"/>
      <c r="C19" s="298"/>
      <c r="D19" s="298"/>
      <c r="E19" s="298"/>
      <c r="F19" s="298"/>
      <c r="G19" s="298"/>
      <c r="H19" s="298"/>
      <c r="I19" s="298"/>
      <c r="J19" s="298"/>
      <c r="K19" s="298"/>
      <c r="L19" s="298"/>
      <c r="M19" s="644"/>
      <c r="N19" s="298"/>
      <c r="O19" s="298"/>
      <c r="P19" s="644"/>
    </row>
    <row r="20" spans="1:18" ht="13" thickBot="1">
      <c r="A20" s="150"/>
      <c r="B20" s="298"/>
      <c r="C20" s="298"/>
      <c r="D20" s="294"/>
      <c r="E20" s="294"/>
      <c r="F20" s="294"/>
      <c r="G20" s="294"/>
      <c r="H20" s="294"/>
      <c r="I20" s="294"/>
      <c r="J20" s="662"/>
      <c r="K20" s="662"/>
      <c r="L20" s="663"/>
      <c r="M20" s="644"/>
      <c r="N20" s="662"/>
      <c r="O20" s="663"/>
      <c r="P20" s="644"/>
    </row>
    <row r="21" spans="1:18" ht="14" thickBot="1">
      <c r="A21" s="942" t="s">
        <v>1237</v>
      </c>
      <c r="B21" s="943"/>
      <c r="C21" s="943"/>
      <c r="D21" s="943"/>
      <c r="E21" s="943"/>
      <c r="F21" s="943"/>
      <c r="G21" s="943"/>
      <c r="H21" s="943"/>
      <c r="I21" s="943"/>
      <c r="J21" s="973"/>
      <c r="K21" s="973"/>
      <c r="L21" s="973"/>
      <c r="M21" s="974"/>
      <c r="N21" s="942"/>
      <c r="O21" s="943"/>
      <c r="P21" s="944"/>
    </row>
    <row r="22" spans="1:18" ht="23" thickBot="1">
      <c r="A22" s="580" t="s">
        <v>314</v>
      </c>
      <c r="B22" s="429" t="s">
        <v>919</v>
      </c>
      <c r="C22" s="429" t="s">
        <v>964</v>
      </c>
      <c r="D22" s="138" t="s">
        <v>1</v>
      </c>
      <c r="E22" s="139" t="s">
        <v>2</v>
      </c>
      <c r="F22" s="139" t="s">
        <v>3</v>
      </c>
      <c r="G22" s="139" t="s">
        <v>4</v>
      </c>
      <c r="H22" s="95" t="s">
        <v>5</v>
      </c>
      <c r="I22" s="421" t="s">
        <v>6</v>
      </c>
      <c r="J22" s="138" t="s">
        <v>7</v>
      </c>
      <c r="K22" s="105" t="s">
        <v>1005</v>
      </c>
      <c r="L22" s="139" t="s">
        <v>1006</v>
      </c>
      <c r="M22" s="140" t="s">
        <v>1007</v>
      </c>
      <c r="N22" s="522" t="s">
        <v>1008</v>
      </c>
      <c r="O22" s="474" t="s">
        <v>1009</v>
      </c>
      <c r="P22" s="473" t="s">
        <v>1010</v>
      </c>
    </row>
    <row r="23" spans="1:18">
      <c r="A23" s="72" t="s">
        <v>115</v>
      </c>
      <c r="B23" s="664">
        <v>725583.56705075398</v>
      </c>
      <c r="C23" s="664">
        <v>722596.85</v>
      </c>
      <c r="D23" s="665">
        <f>[3]Amazon!B15</f>
        <v>189547.26999999996</v>
      </c>
      <c r="E23" s="666">
        <f>[3]Amazon!F15</f>
        <v>172066.97</v>
      </c>
      <c r="F23" s="666">
        <f>[3]Amazon!J15</f>
        <v>236593.11000000002</v>
      </c>
      <c r="G23" s="526">
        <f>[3]Amazon!N15</f>
        <v>163387.42000000001</v>
      </c>
      <c r="H23" s="527">
        <f>[3]Amazon!R15</f>
        <v>0</v>
      </c>
      <c r="I23" s="529">
        <f>SUM($D23:$H23)</f>
        <v>761594.77</v>
      </c>
      <c r="J23" s="667">
        <f>IFERROR((((D23+E23+F23+G23+H23))/COUNTIF(D23:H23, "&gt;0")*4),0)</f>
        <v>761594.77</v>
      </c>
      <c r="K23" s="666">
        <v>835718.62150489842</v>
      </c>
      <c r="L23" s="626">
        <f>J23-K23</f>
        <v>-74123.851504898397</v>
      </c>
      <c r="M23" s="630">
        <f t="shared" ref="M23:M28" si="12">L23/K23</f>
        <v>-8.8694746769459099E-2</v>
      </c>
      <c r="N23" s="668">
        <v>858420.42157262971</v>
      </c>
      <c r="O23" s="669">
        <f t="shared" ref="O23:O28" si="13">$J23-$N23</f>
        <v>-96825.651572629693</v>
      </c>
      <c r="P23" s="670">
        <f t="shared" ref="P23:P29" si="14">O23/N23</f>
        <v>-0.11279513993300008</v>
      </c>
    </row>
    <row r="24" spans="1:18">
      <c r="A24" s="671" t="s">
        <v>868</v>
      </c>
      <c r="B24" s="672">
        <v>454336.58360475174</v>
      </c>
      <c r="C24" s="672">
        <v>400184.10622100002</v>
      </c>
      <c r="D24" s="620">
        <f>[3]Amazon!B16</f>
        <v>90875.436336999992</v>
      </c>
      <c r="E24" s="673">
        <f>[3]Amazon!F16</f>
        <v>84269.670046999992</v>
      </c>
      <c r="F24" s="673">
        <f>[3]Amazon!J16</f>
        <v>92695.592770999967</v>
      </c>
      <c r="G24" s="674">
        <f>[3]Amazon!N16</f>
        <v>87192.925687999988</v>
      </c>
      <c r="H24" s="477">
        <f>[3]Amazon!R16</f>
        <v>0</v>
      </c>
      <c r="I24" s="530">
        <f t="shared" ref="I24:I28" si="15">SUM($D24:$H24)</f>
        <v>355033.62484299991</v>
      </c>
      <c r="J24" s="360">
        <f t="shared" ref="J24:J28" si="16">IFERROR((((D24+E24+F24+G24+H24))/COUNTIF(D24:H24, "&gt;0")*4),0)</f>
        <v>355033.62484299991</v>
      </c>
      <c r="K24" s="673">
        <v>464281.37849510158</v>
      </c>
      <c r="L24" s="618">
        <f t="shared" ref="L24:L28" si="17">J24-K24</f>
        <v>-109247.75365210167</v>
      </c>
      <c r="M24" s="619">
        <f t="shared" si="12"/>
        <v>-0.23530505144576738</v>
      </c>
      <c r="N24" s="675">
        <v>476893.30643178767</v>
      </c>
      <c r="O24" s="676">
        <f t="shared" si="13"/>
        <v>-121859.68158878776</v>
      </c>
      <c r="P24" s="677">
        <f t="shared" si="14"/>
        <v>-0.25552818616928508</v>
      </c>
    </row>
    <row r="25" spans="1:18">
      <c r="A25" s="141" t="s">
        <v>924</v>
      </c>
      <c r="B25" s="672">
        <v>394030.27859999985</v>
      </c>
      <c r="C25" s="672">
        <v>309271.3147999997</v>
      </c>
      <c r="D25" s="620">
        <f>[3]Deezer!B21</f>
        <v>75299.886600000071</v>
      </c>
      <c r="E25" s="620">
        <f>[3]Deezer!F21</f>
        <v>78805.673599999383</v>
      </c>
      <c r="F25" s="620">
        <f>[3]Deezer!J21</f>
        <v>80833.140000000043</v>
      </c>
      <c r="G25" s="674">
        <f>[3]Deezer!N21</f>
        <v>79849.041599999997</v>
      </c>
      <c r="H25" s="477">
        <f>[3]Deezer!R21</f>
        <v>0</v>
      </c>
      <c r="I25" s="530">
        <f t="shared" si="15"/>
        <v>314787.74179999949</v>
      </c>
      <c r="J25" s="360">
        <f t="shared" si="16"/>
        <v>314787.74179999949</v>
      </c>
      <c r="K25" s="617">
        <v>260929</v>
      </c>
      <c r="L25" s="618">
        <f t="shared" si="17"/>
        <v>53858.741799999494</v>
      </c>
      <c r="M25" s="619">
        <f t="shared" si="12"/>
        <v>0.20641148281716287</v>
      </c>
      <c r="N25" s="678">
        <v>300000</v>
      </c>
      <c r="O25" s="676">
        <f t="shared" si="13"/>
        <v>14787.741799999494</v>
      </c>
      <c r="P25" s="677">
        <f t="shared" si="14"/>
        <v>4.9292472666664977E-2</v>
      </c>
    </row>
    <row r="26" spans="1:18">
      <c r="A26" s="141" t="s">
        <v>846</v>
      </c>
      <c r="B26" s="672">
        <v>912800.5560578868</v>
      </c>
      <c r="C26" s="672">
        <v>1094011.5183399997</v>
      </c>
      <c r="D26" s="679">
        <f>[3]Spotify!B32</f>
        <v>281461.322484</v>
      </c>
      <c r="E26" s="679">
        <f>[3]Spotify!F32</f>
        <v>277324.39584700001</v>
      </c>
      <c r="F26" s="679">
        <f>[3]Spotify!J32</f>
        <v>382491.61946199997</v>
      </c>
      <c r="G26" s="674">
        <f>[3]Spotify!N71</f>
        <v>282172.30868999998</v>
      </c>
      <c r="H26" s="477">
        <f>[3]Spotify!R75</f>
        <v>0</v>
      </c>
      <c r="I26" s="530">
        <f t="shared" si="15"/>
        <v>1223449.6464829999</v>
      </c>
      <c r="J26" s="360">
        <f t="shared" si="16"/>
        <v>1223449.6464829999</v>
      </c>
      <c r="K26" s="673">
        <v>939608.05718284578</v>
      </c>
      <c r="L26" s="618">
        <f t="shared" si="17"/>
        <v>283841.58930015413</v>
      </c>
      <c r="M26" s="619">
        <f t="shared" si="12"/>
        <v>0.30208509508866327</v>
      </c>
      <c r="N26" s="675">
        <v>1226896.9329160273</v>
      </c>
      <c r="O26" s="676">
        <f t="shared" si="13"/>
        <v>-3447.2864330273587</v>
      </c>
      <c r="P26" s="677">
        <f t="shared" si="14"/>
        <v>-2.8097604130723685E-3</v>
      </c>
      <c r="Q26" s="104"/>
      <c r="R26" s="148"/>
    </row>
    <row r="27" spans="1:18">
      <c r="A27" s="141" t="s">
        <v>869</v>
      </c>
      <c r="B27" s="672">
        <v>2281208.8663316998</v>
      </c>
      <c r="C27" s="672">
        <v>2063414.3017269999</v>
      </c>
      <c r="D27" s="620">
        <f>[3]Spotify!B31</f>
        <v>519928.32724700007</v>
      </c>
      <c r="E27" s="620">
        <f>[3]Spotify!F31</f>
        <v>525009.97195299994</v>
      </c>
      <c r="F27" s="620">
        <f>[3]Spotify!J31</f>
        <v>557286.63975600014</v>
      </c>
      <c r="G27" s="674">
        <f>[3]Spotify!N70</f>
        <v>528546.11689999991</v>
      </c>
      <c r="H27" s="477">
        <f>[3]Spotify!R76</f>
        <v>0</v>
      </c>
      <c r="I27" s="530">
        <f t="shared" si="15"/>
        <v>2130771.0558560002</v>
      </c>
      <c r="J27" s="360">
        <f t="shared" si="16"/>
        <v>2130771.0558560002</v>
      </c>
      <c r="K27" s="673">
        <v>2360391.9428171543</v>
      </c>
      <c r="L27" s="618">
        <f t="shared" si="17"/>
        <v>-229620.88696115417</v>
      </c>
      <c r="M27" s="619">
        <f t="shared" si="12"/>
        <v>-9.7280829846885117E-2</v>
      </c>
      <c r="N27" s="675">
        <v>2379670.56373055</v>
      </c>
      <c r="O27" s="676">
        <f t="shared" si="13"/>
        <v>-248899.50787454983</v>
      </c>
      <c r="P27" s="677">
        <f t="shared" si="14"/>
        <v>-0.10459410292673298</v>
      </c>
      <c r="Q27" s="104"/>
      <c r="R27" s="148"/>
    </row>
    <row r="28" spans="1:18" ht="12" customHeight="1" thickBot="1">
      <c r="A28" s="141" t="s">
        <v>318</v>
      </c>
      <c r="B28" s="513">
        <v>585857.40185512579</v>
      </c>
      <c r="C28" s="513">
        <v>543165.85190000001</v>
      </c>
      <c r="D28" s="514">
        <f>[3]Cricket!B3</f>
        <v>138977.31809999997</v>
      </c>
      <c r="E28" s="515">
        <f>[3]Cricket!F3</f>
        <v>141320.45670000001</v>
      </c>
      <c r="F28" s="515">
        <f>[3]Cricket!J3</f>
        <v>158890.77439999999</v>
      </c>
      <c r="G28" s="515">
        <f>[3]Cricket!N3</f>
        <v>142574.50230000002</v>
      </c>
      <c r="H28" s="516">
        <f>[3]Cricket!R3</f>
        <v>0</v>
      </c>
      <c r="I28" s="531">
        <f t="shared" si="15"/>
        <v>581763.05150000006</v>
      </c>
      <c r="J28" s="680">
        <f t="shared" si="16"/>
        <v>581763.05150000006</v>
      </c>
      <c r="K28" s="681">
        <v>500000</v>
      </c>
      <c r="L28" s="624">
        <f t="shared" si="17"/>
        <v>81763.05150000006</v>
      </c>
      <c r="M28" s="625">
        <f t="shared" si="12"/>
        <v>0.16352610300000012</v>
      </c>
      <c r="N28" s="682">
        <v>574164.84853950236</v>
      </c>
      <c r="O28" s="683">
        <f t="shared" si="13"/>
        <v>7598.2029604976997</v>
      </c>
      <c r="P28" s="684">
        <f t="shared" si="14"/>
        <v>1.3233486828434685E-2</v>
      </c>
    </row>
    <row r="29" spans="1:18" s="142" customFormat="1" ht="12" customHeight="1" thickBot="1">
      <c r="A29" s="518" t="s">
        <v>22</v>
      </c>
      <c r="B29" s="519">
        <f t="shared" ref="B29:L29" si="18">SUM(B23:B28)</f>
        <v>5353817.2535002176</v>
      </c>
      <c r="C29" s="519">
        <f t="shared" si="18"/>
        <v>5132643.9429879989</v>
      </c>
      <c r="D29" s="520">
        <f t="shared" si="18"/>
        <v>1296089.5607680001</v>
      </c>
      <c r="E29" s="520">
        <f t="shared" si="18"/>
        <v>1278797.1381469993</v>
      </c>
      <c r="F29" s="520">
        <f t="shared" si="18"/>
        <v>1508790.8763890001</v>
      </c>
      <c r="G29" s="520">
        <f t="shared" si="18"/>
        <v>1283722.3151779999</v>
      </c>
      <c r="H29" s="521">
        <f t="shared" si="18"/>
        <v>0</v>
      </c>
      <c r="I29" s="391">
        <f t="shared" si="18"/>
        <v>5367399.8904819991</v>
      </c>
      <c r="J29" s="573">
        <f t="shared" si="18"/>
        <v>5367399.8904819991</v>
      </c>
      <c r="K29" s="520">
        <f t="shared" si="18"/>
        <v>5360929</v>
      </c>
      <c r="L29" s="520">
        <f t="shared" si="18"/>
        <v>6470.890481999435</v>
      </c>
      <c r="M29" s="638">
        <f>L29/K29</f>
        <v>1.2070464805632448E-3</v>
      </c>
      <c r="N29" s="561">
        <f>SUM(N23:N28)</f>
        <v>5816046.0731904972</v>
      </c>
      <c r="O29" s="637">
        <f>SUM(O23:O28)</f>
        <v>-448646.18270849745</v>
      </c>
      <c r="P29" s="685">
        <f t="shared" si="14"/>
        <v>-7.7139379066573394E-2</v>
      </c>
    </row>
    <row r="30" spans="1:18">
      <c r="A30" s="395" t="s">
        <v>1011</v>
      </c>
      <c r="B30" s="69"/>
      <c r="C30" s="69"/>
      <c r="D30" s="69"/>
      <c r="E30" s="69"/>
      <c r="F30" s="69" t="s">
        <v>1238</v>
      </c>
      <c r="G30" s="395"/>
      <c r="H30" s="183"/>
      <c r="I30" s="183"/>
    </row>
    <row r="31" spans="1:18">
      <c r="A31" s="69" t="s">
        <v>925</v>
      </c>
      <c r="B31" s="69"/>
      <c r="C31" s="69"/>
      <c r="D31" s="69"/>
      <c r="E31" s="69"/>
      <c r="G31" s="3"/>
      <c r="I31" s="3"/>
    </row>
    <row r="32" spans="1:18">
      <c r="A32" s="69"/>
      <c r="B32" s="69"/>
      <c r="C32" s="69"/>
      <c r="D32" s="69"/>
      <c r="E32" s="69"/>
      <c r="F32" s="69"/>
      <c r="G32" s="3"/>
      <c r="I32" s="3"/>
    </row>
    <row r="33" spans="1:9" ht="13" thickBot="1">
      <c r="B33" s="69"/>
      <c r="C33" s="69"/>
      <c r="D33" s="69"/>
      <c r="E33" s="69"/>
      <c r="G33" s="3"/>
      <c r="H33" s="3"/>
    </row>
    <row r="34" spans="1:9" ht="13" thickBot="1">
      <c r="A34" s="975" t="s">
        <v>315</v>
      </c>
      <c r="B34" s="976"/>
      <c r="C34" s="976"/>
      <c r="D34" s="976"/>
      <c r="E34" s="976"/>
      <c r="F34" s="976"/>
      <c r="G34" s="976"/>
      <c r="H34" s="977"/>
      <c r="I34" s="142"/>
    </row>
    <row r="35" spans="1:9" ht="13" thickBot="1">
      <c r="A35" s="71"/>
      <c r="B35" s="686" t="s">
        <v>116</v>
      </c>
      <c r="C35" s="509" t="s">
        <v>762</v>
      </c>
      <c r="D35" s="509" t="s">
        <v>788</v>
      </c>
      <c r="E35" s="509" t="s">
        <v>807</v>
      </c>
      <c r="F35" s="273" t="s">
        <v>879</v>
      </c>
      <c r="G35" s="273" t="s">
        <v>964</v>
      </c>
      <c r="H35" s="509" t="s">
        <v>1054</v>
      </c>
    </row>
    <row r="36" spans="1:9">
      <c r="A36" s="287" t="s">
        <v>9</v>
      </c>
      <c r="B36" s="687">
        <v>61646</v>
      </c>
      <c r="C36" s="323">
        <v>68494</v>
      </c>
      <c r="D36" s="330">
        <v>93117</v>
      </c>
      <c r="E36" s="330">
        <v>49439</v>
      </c>
      <c r="F36" s="417">
        <v>92884</v>
      </c>
      <c r="G36" s="463">
        <v>71664</v>
      </c>
      <c r="H36" s="688">
        <v>99911</v>
      </c>
      <c r="I36" s="149"/>
    </row>
    <row r="37" spans="1:9">
      <c r="A37" s="324" t="s">
        <v>24</v>
      </c>
      <c r="B37" s="689">
        <v>113813</v>
      </c>
      <c r="C37" s="690">
        <v>129063</v>
      </c>
      <c r="D37" s="331">
        <v>129131</v>
      </c>
      <c r="E37" s="331">
        <v>110347</v>
      </c>
      <c r="F37" s="691">
        <v>113751</v>
      </c>
      <c r="G37" s="464">
        <v>103238</v>
      </c>
      <c r="H37" s="691">
        <v>119759</v>
      </c>
    </row>
    <row r="38" spans="1:9">
      <c r="A38" s="324" t="s">
        <v>26</v>
      </c>
      <c r="B38" s="692">
        <v>64885</v>
      </c>
      <c r="C38" s="693">
        <v>42937</v>
      </c>
      <c r="D38" s="332">
        <v>21213</v>
      </c>
      <c r="E38" s="332">
        <v>14867</v>
      </c>
      <c r="F38" s="694">
        <v>21722</v>
      </c>
      <c r="G38" s="465">
        <v>20045</v>
      </c>
      <c r="H38" s="694">
        <v>19121</v>
      </c>
      <c r="I38" s="272"/>
    </row>
    <row r="39" spans="1:9" ht="13" thickBot="1">
      <c r="A39" s="695" t="s">
        <v>723</v>
      </c>
      <c r="B39" s="696">
        <v>3397</v>
      </c>
      <c r="C39" s="321">
        <v>2883</v>
      </c>
      <c r="D39" s="333">
        <v>1426</v>
      </c>
      <c r="E39" s="333">
        <v>570</v>
      </c>
      <c r="F39" s="697">
        <v>2235</v>
      </c>
      <c r="G39" s="466">
        <v>928</v>
      </c>
      <c r="H39" s="698">
        <v>1360</v>
      </c>
      <c r="I39" s="275"/>
    </row>
    <row r="40" spans="1:9">
      <c r="A40" s="286" t="s">
        <v>747</v>
      </c>
      <c r="B40" s="699">
        <v>131</v>
      </c>
      <c r="C40" s="320">
        <v>220</v>
      </c>
      <c r="D40" s="326">
        <v>305</v>
      </c>
      <c r="E40" s="326">
        <v>118</v>
      </c>
      <c r="F40" s="425">
        <v>129</v>
      </c>
      <c r="G40" s="504">
        <v>192</v>
      </c>
      <c r="H40" s="428">
        <v>226</v>
      </c>
      <c r="I40" s="149"/>
    </row>
    <row r="41" spans="1:9">
      <c r="A41" s="324" t="s">
        <v>745</v>
      </c>
      <c r="B41" s="700">
        <v>35</v>
      </c>
      <c r="C41" s="700">
        <v>7</v>
      </c>
      <c r="D41" s="327"/>
      <c r="E41" s="327"/>
      <c r="F41" s="701"/>
      <c r="G41" s="505"/>
      <c r="H41" s="507">
        <v>8</v>
      </c>
      <c r="I41" s="275"/>
    </row>
    <row r="42" spans="1:9" ht="13" thickBot="1">
      <c r="A42" s="328" t="s">
        <v>746</v>
      </c>
      <c r="B42" s="702">
        <v>51</v>
      </c>
      <c r="C42" s="322">
        <v>113</v>
      </c>
      <c r="D42" s="329">
        <v>97</v>
      </c>
      <c r="E42" s="329">
        <v>16</v>
      </c>
      <c r="F42" s="427">
        <v>50</v>
      </c>
      <c r="G42" s="506">
        <v>27</v>
      </c>
      <c r="H42" s="508">
        <v>17</v>
      </c>
    </row>
    <row r="43" spans="1:9">
      <c r="A43" s="142"/>
      <c r="B43" s="143"/>
      <c r="C43" s="143"/>
      <c r="D43" s="143"/>
      <c r="E43" s="143"/>
      <c r="F43" s="143"/>
      <c r="G43" s="143"/>
      <c r="H43" s="143"/>
    </row>
    <row r="44" spans="1:9">
      <c r="A44" s="150"/>
      <c r="F44" s="149"/>
      <c r="G44" s="149"/>
      <c r="H44" s="149"/>
    </row>
    <row r="45" spans="1:9">
      <c r="A45" s="150"/>
      <c r="F45" s="149"/>
      <c r="G45" s="149"/>
      <c r="H45" s="149"/>
    </row>
    <row r="46" spans="1:9">
      <c r="A46" s="150"/>
      <c r="F46" s="149"/>
      <c r="G46" s="149"/>
      <c r="H46" s="149"/>
    </row>
    <row r="47" spans="1:9">
      <c r="A47" s="150"/>
      <c r="F47" s="149"/>
      <c r="G47" s="149"/>
      <c r="H47" s="149"/>
    </row>
    <row r="48" spans="1:9" ht="13" thickBot="1"/>
    <row r="49" spans="1:18" ht="15.75" customHeight="1" thickBot="1">
      <c r="A49" s="942" t="s">
        <v>1239</v>
      </c>
      <c r="B49" s="943"/>
      <c r="C49" s="943"/>
      <c r="D49" s="943"/>
      <c r="E49" s="943"/>
      <c r="F49" s="943"/>
      <c r="G49" s="943"/>
      <c r="H49" s="943"/>
      <c r="I49" s="943"/>
      <c r="J49" s="943"/>
      <c r="K49" s="943"/>
      <c r="L49" s="943"/>
      <c r="M49" s="943"/>
      <c r="N49" s="943"/>
      <c r="O49" s="943"/>
      <c r="P49" s="943"/>
      <c r="Q49" s="943"/>
      <c r="R49" s="944"/>
    </row>
    <row r="50" spans="1:18" ht="15.75" customHeight="1" thickBot="1">
      <c r="A50" s="954" t="s">
        <v>71</v>
      </c>
      <c r="B50" s="947" t="s">
        <v>316</v>
      </c>
      <c r="C50" s="948"/>
      <c r="D50" s="948"/>
      <c r="E50" s="948"/>
      <c r="F50" s="948"/>
      <c r="G50" s="948"/>
      <c r="H50" s="948"/>
      <c r="I50" s="949"/>
      <c r="J50" s="147"/>
      <c r="K50" s="956" t="s">
        <v>317</v>
      </c>
      <c r="L50" s="957"/>
      <c r="M50" s="957"/>
      <c r="N50" s="957"/>
      <c r="O50" s="957"/>
      <c r="P50" s="957"/>
      <c r="Q50" s="957"/>
      <c r="R50" s="958"/>
    </row>
    <row r="51" spans="1:18" ht="13" thickBot="1">
      <c r="A51" s="955"/>
      <c r="B51" s="509" t="s">
        <v>319</v>
      </c>
      <c r="C51" s="950" t="s">
        <v>67</v>
      </c>
      <c r="D51" s="951"/>
      <c r="E51" s="952" t="s">
        <v>68</v>
      </c>
      <c r="F51" s="953"/>
      <c r="G51" s="952" t="s">
        <v>69</v>
      </c>
      <c r="H51" s="953"/>
      <c r="I51" s="509" t="s">
        <v>777</v>
      </c>
      <c r="J51" s="147"/>
      <c r="K51" s="557" t="s">
        <v>319</v>
      </c>
      <c r="L51" s="950" t="s">
        <v>67</v>
      </c>
      <c r="M51" s="959"/>
      <c r="N51" s="960" t="s">
        <v>68</v>
      </c>
      <c r="O51" s="961"/>
      <c r="P51" s="960" t="s">
        <v>77</v>
      </c>
      <c r="Q51" s="953"/>
      <c r="R51" s="556" t="s">
        <v>778</v>
      </c>
    </row>
    <row r="52" spans="1:18">
      <c r="A52" s="174">
        <v>1</v>
      </c>
      <c r="B52" s="553" t="s">
        <v>320</v>
      </c>
      <c r="C52" s="941" t="s">
        <v>808</v>
      </c>
      <c r="D52" s="941"/>
      <c r="E52" s="941" t="s">
        <v>890</v>
      </c>
      <c r="F52" s="941"/>
      <c r="G52" s="941" t="s">
        <v>891</v>
      </c>
      <c r="H52" s="941"/>
      <c r="I52" s="510">
        <v>3196</v>
      </c>
      <c r="J52" s="202"/>
      <c r="K52" s="501" t="s">
        <v>321</v>
      </c>
      <c r="L52" s="941" t="s">
        <v>989</v>
      </c>
      <c r="M52" s="941"/>
      <c r="N52" s="941" t="s">
        <v>990</v>
      </c>
      <c r="O52" s="941"/>
      <c r="P52" s="941" t="s">
        <v>991</v>
      </c>
      <c r="Q52" s="941"/>
      <c r="R52" s="510">
        <v>2021</v>
      </c>
    </row>
    <row r="53" spans="1:18">
      <c r="A53" s="558">
        <v>2</v>
      </c>
      <c r="B53" s="554" t="s">
        <v>320</v>
      </c>
      <c r="C53" s="939" t="s">
        <v>906</v>
      </c>
      <c r="D53" s="939"/>
      <c r="E53" s="939" t="s">
        <v>907</v>
      </c>
      <c r="F53" s="939" t="s">
        <v>907</v>
      </c>
      <c r="G53" s="939" t="s">
        <v>908</v>
      </c>
      <c r="H53" s="939" t="s">
        <v>908</v>
      </c>
      <c r="I53" s="511">
        <v>3190</v>
      </c>
      <c r="J53" s="202"/>
      <c r="K53" s="500" t="s">
        <v>321</v>
      </c>
      <c r="L53" s="939" t="s">
        <v>324</v>
      </c>
      <c r="M53" s="939"/>
      <c r="N53" s="939" t="s">
        <v>809</v>
      </c>
      <c r="O53" s="939"/>
      <c r="P53" s="939" t="s">
        <v>959</v>
      </c>
      <c r="Q53" s="939"/>
      <c r="R53" s="511">
        <v>1340</v>
      </c>
    </row>
    <row r="54" spans="1:18">
      <c r="A54" s="559">
        <v>3</v>
      </c>
      <c r="B54" s="554" t="s">
        <v>320</v>
      </c>
      <c r="C54" s="939" t="s">
        <v>1012</v>
      </c>
      <c r="D54" s="939" t="s">
        <v>1012</v>
      </c>
      <c r="E54" s="939" t="s">
        <v>1013</v>
      </c>
      <c r="F54" s="939" t="s">
        <v>1013</v>
      </c>
      <c r="G54" s="939" t="s">
        <v>1014</v>
      </c>
      <c r="H54" s="939" t="s">
        <v>1014</v>
      </c>
      <c r="I54" s="511">
        <v>3181</v>
      </c>
      <c r="J54" s="202"/>
      <c r="K54" s="500" t="s">
        <v>321</v>
      </c>
      <c r="L54" s="939" t="s">
        <v>895</v>
      </c>
      <c r="M54" s="939" t="s">
        <v>895</v>
      </c>
      <c r="N54" s="939" t="s">
        <v>896</v>
      </c>
      <c r="O54" s="939" t="s">
        <v>896</v>
      </c>
      <c r="P54" s="939" t="s">
        <v>921</v>
      </c>
      <c r="Q54" s="939" t="s">
        <v>921</v>
      </c>
      <c r="R54" s="511">
        <v>694</v>
      </c>
    </row>
    <row r="55" spans="1:18">
      <c r="A55" s="558">
        <v>4</v>
      </c>
      <c r="B55" s="554" t="s">
        <v>321</v>
      </c>
      <c r="C55" s="939" t="s">
        <v>989</v>
      </c>
      <c r="D55" s="939" t="s">
        <v>989</v>
      </c>
      <c r="E55" s="939" t="s">
        <v>990</v>
      </c>
      <c r="F55" s="939" t="s">
        <v>990</v>
      </c>
      <c r="G55" s="939" t="s">
        <v>991</v>
      </c>
      <c r="H55" s="939" t="s">
        <v>991</v>
      </c>
      <c r="I55" s="511">
        <v>2400</v>
      </c>
      <c r="J55" s="202"/>
      <c r="K55" s="500" t="s">
        <v>321</v>
      </c>
      <c r="L55" s="939" t="s">
        <v>895</v>
      </c>
      <c r="M55" s="939" t="s">
        <v>895</v>
      </c>
      <c r="N55" s="939" t="s">
        <v>1240</v>
      </c>
      <c r="O55" s="939" t="s">
        <v>1240</v>
      </c>
      <c r="P55" s="939" t="s">
        <v>1240</v>
      </c>
      <c r="Q55" s="939" t="s">
        <v>1240</v>
      </c>
      <c r="R55" s="511">
        <v>635</v>
      </c>
    </row>
    <row r="56" spans="1:18">
      <c r="A56" s="559">
        <v>5</v>
      </c>
      <c r="B56" s="554" t="s">
        <v>320</v>
      </c>
      <c r="C56" s="939" t="s">
        <v>889</v>
      </c>
      <c r="D56" s="939" t="s">
        <v>889</v>
      </c>
      <c r="E56" s="939" t="s">
        <v>972</v>
      </c>
      <c r="F56" s="939" t="s">
        <v>972</v>
      </c>
      <c r="G56" s="939" t="s">
        <v>973</v>
      </c>
      <c r="H56" s="939" t="s">
        <v>973</v>
      </c>
      <c r="I56" s="511">
        <v>2094</v>
      </c>
      <c r="J56" s="202"/>
      <c r="K56" s="500" t="s">
        <v>320</v>
      </c>
      <c r="L56" s="939" t="s">
        <v>1241</v>
      </c>
      <c r="M56" s="939" t="s">
        <v>1241</v>
      </c>
      <c r="N56" s="939" t="s">
        <v>709</v>
      </c>
      <c r="O56" s="939" t="s">
        <v>709</v>
      </c>
      <c r="P56" s="939" t="s">
        <v>1242</v>
      </c>
      <c r="Q56" s="939" t="s">
        <v>1242</v>
      </c>
      <c r="R56" s="511">
        <v>513</v>
      </c>
    </row>
    <row r="57" spans="1:18">
      <c r="A57" s="558">
        <v>6</v>
      </c>
      <c r="B57" s="554" t="s">
        <v>320</v>
      </c>
      <c r="C57" s="939" t="s">
        <v>1243</v>
      </c>
      <c r="D57" s="939" t="s">
        <v>1243</v>
      </c>
      <c r="E57" s="939" t="s">
        <v>1244</v>
      </c>
      <c r="F57" s="939" t="s">
        <v>1244</v>
      </c>
      <c r="G57" s="939" t="s">
        <v>1245</v>
      </c>
      <c r="H57" s="939" t="s">
        <v>1245</v>
      </c>
      <c r="I57" s="511">
        <v>1879</v>
      </c>
      <c r="J57" s="202"/>
      <c r="K57" s="500" t="s">
        <v>321</v>
      </c>
      <c r="L57" s="939" t="s">
        <v>992</v>
      </c>
      <c r="M57" s="939" t="s">
        <v>992</v>
      </c>
      <c r="N57" s="939" t="s">
        <v>993</v>
      </c>
      <c r="O57" s="939" t="s">
        <v>993</v>
      </c>
      <c r="P57" s="939" t="s">
        <v>994</v>
      </c>
      <c r="Q57" s="939" t="s">
        <v>994</v>
      </c>
      <c r="R57" s="511">
        <v>332</v>
      </c>
    </row>
    <row r="58" spans="1:18">
      <c r="A58" s="559">
        <v>7</v>
      </c>
      <c r="B58" s="554" t="s">
        <v>321</v>
      </c>
      <c r="C58" s="939" t="s">
        <v>687</v>
      </c>
      <c r="D58" s="939" t="s">
        <v>687</v>
      </c>
      <c r="E58" s="939" t="s">
        <v>900</v>
      </c>
      <c r="F58" s="939" t="s">
        <v>900</v>
      </c>
      <c r="G58" s="939" t="s">
        <v>901</v>
      </c>
      <c r="H58" s="939" t="s">
        <v>901</v>
      </c>
      <c r="I58" s="511">
        <v>1321</v>
      </c>
      <c r="J58" s="202"/>
      <c r="K58" s="500" t="s">
        <v>321</v>
      </c>
      <c r="L58" s="939" t="s">
        <v>327</v>
      </c>
      <c r="M58" s="939" t="s">
        <v>327</v>
      </c>
      <c r="N58" s="939" t="s">
        <v>957</v>
      </c>
      <c r="O58" s="939" t="s">
        <v>957</v>
      </c>
      <c r="P58" s="939" t="s">
        <v>960</v>
      </c>
      <c r="Q58" s="939" t="s">
        <v>960</v>
      </c>
      <c r="R58" s="511">
        <v>292</v>
      </c>
    </row>
    <row r="59" spans="1:18">
      <c r="A59" s="558">
        <v>8</v>
      </c>
      <c r="B59" s="554" t="s">
        <v>320</v>
      </c>
      <c r="C59" s="939" t="s">
        <v>902</v>
      </c>
      <c r="D59" s="939" t="s">
        <v>902</v>
      </c>
      <c r="E59" s="939" t="s">
        <v>903</v>
      </c>
      <c r="F59" s="939" t="s">
        <v>903</v>
      </c>
      <c r="G59" s="939" t="s">
        <v>810</v>
      </c>
      <c r="H59" s="939" t="s">
        <v>810</v>
      </c>
      <c r="I59" s="511">
        <v>1313</v>
      </c>
      <c r="J59" s="202"/>
      <c r="K59" s="500" t="s">
        <v>321</v>
      </c>
      <c r="L59" s="939" t="s">
        <v>811</v>
      </c>
      <c r="M59" s="939" t="s">
        <v>811</v>
      </c>
      <c r="N59" s="939" t="s">
        <v>1246</v>
      </c>
      <c r="O59" s="939" t="s">
        <v>1246</v>
      </c>
      <c r="P59" s="939" t="s">
        <v>1247</v>
      </c>
      <c r="Q59" s="939" t="s">
        <v>1247</v>
      </c>
      <c r="R59" s="511">
        <v>277</v>
      </c>
    </row>
    <row r="60" spans="1:18">
      <c r="A60" s="559">
        <v>9</v>
      </c>
      <c r="B60" s="554" t="s">
        <v>321</v>
      </c>
      <c r="C60" s="939" t="s">
        <v>895</v>
      </c>
      <c r="D60" s="939" t="s">
        <v>895</v>
      </c>
      <c r="E60" s="939" t="s">
        <v>896</v>
      </c>
      <c r="F60" s="939" t="s">
        <v>896</v>
      </c>
      <c r="G60" s="939" t="s">
        <v>897</v>
      </c>
      <c r="H60" s="939" t="s">
        <v>897</v>
      </c>
      <c r="I60" s="511">
        <v>1259</v>
      </c>
      <c r="J60" s="202"/>
      <c r="K60" s="500" t="s">
        <v>320</v>
      </c>
      <c r="L60" s="939" t="s">
        <v>70</v>
      </c>
      <c r="M60" s="939" t="s">
        <v>70</v>
      </c>
      <c r="N60" s="939" t="s">
        <v>835</v>
      </c>
      <c r="O60" s="939" t="s">
        <v>835</v>
      </c>
      <c r="P60" s="939" t="s">
        <v>836</v>
      </c>
      <c r="Q60" s="939" t="s">
        <v>836</v>
      </c>
      <c r="R60" s="511">
        <v>276</v>
      </c>
    </row>
    <row r="61" spans="1:18">
      <c r="A61" s="558">
        <v>10</v>
      </c>
      <c r="B61" s="554" t="s">
        <v>321</v>
      </c>
      <c r="C61" s="939" t="s">
        <v>327</v>
      </c>
      <c r="D61" s="939" t="s">
        <v>327</v>
      </c>
      <c r="E61" s="939" t="s">
        <v>957</v>
      </c>
      <c r="F61" s="939" t="s">
        <v>957</v>
      </c>
      <c r="G61" s="939" t="s">
        <v>958</v>
      </c>
      <c r="H61" s="939" t="s">
        <v>958</v>
      </c>
      <c r="I61" s="511">
        <v>1246</v>
      </c>
      <c r="J61" s="202"/>
      <c r="K61" s="500" t="s">
        <v>320</v>
      </c>
      <c r="L61" s="939" t="s">
        <v>880</v>
      </c>
      <c r="M61" s="939" t="s">
        <v>880</v>
      </c>
      <c r="N61" s="939" t="s">
        <v>881</v>
      </c>
      <c r="O61" s="939" t="s">
        <v>881</v>
      </c>
      <c r="P61" s="939" t="s">
        <v>920</v>
      </c>
      <c r="Q61" s="939" t="s">
        <v>920</v>
      </c>
      <c r="R61" s="511">
        <v>255</v>
      </c>
    </row>
    <row r="62" spans="1:18">
      <c r="A62" s="559">
        <v>11</v>
      </c>
      <c r="B62" s="554" t="s">
        <v>321</v>
      </c>
      <c r="C62" s="939" t="s">
        <v>892</v>
      </c>
      <c r="D62" s="939" t="s">
        <v>892</v>
      </c>
      <c r="E62" s="939" t="s">
        <v>893</v>
      </c>
      <c r="F62" s="939" t="s">
        <v>893</v>
      </c>
      <c r="G62" s="939" t="s">
        <v>894</v>
      </c>
      <c r="H62" s="939" t="s">
        <v>894</v>
      </c>
      <c r="I62" s="511">
        <v>1141</v>
      </c>
      <c r="J62" s="202"/>
      <c r="K62" s="500" t="s">
        <v>321</v>
      </c>
      <c r="L62" s="939" t="s">
        <v>433</v>
      </c>
      <c r="M62" s="939" t="s">
        <v>433</v>
      </c>
      <c r="N62" s="939" t="s">
        <v>1248</v>
      </c>
      <c r="O62" s="939" t="s">
        <v>1248</v>
      </c>
      <c r="P62" s="939" t="s">
        <v>1249</v>
      </c>
      <c r="Q62" s="939" t="s">
        <v>1249</v>
      </c>
      <c r="R62" s="511">
        <v>254</v>
      </c>
    </row>
    <row r="63" spans="1:18">
      <c r="A63" s="558">
        <v>12</v>
      </c>
      <c r="B63" s="554" t="s">
        <v>321</v>
      </c>
      <c r="C63" s="939" t="s">
        <v>811</v>
      </c>
      <c r="D63" s="939" t="s">
        <v>811</v>
      </c>
      <c r="E63" s="939" t="s">
        <v>1250</v>
      </c>
      <c r="F63" s="939" t="s">
        <v>1250</v>
      </c>
      <c r="G63" s="939" t="s">
        <v>1251</v>
      </c>
      <c r="H63" s="939" t="s">
        <v>1251</v>
      </c>
      <c r="I63" s="511">
        <v>1129</v>
      </c>
      <c r="J63" s="202"/>
      <c r="K63" s="500" t="s">
        <v>320</v>
      </c>
      <c r="L63" s="939" t="s">
        <v>963</v>
      </c>
      <c r="M63" s="939" t="s">
        <v>963</v>
      </c>
      <c r="N63" s="939" t="s">
        <v>809</v>
      </c>
      <c r="O63" s="939" t="s">
        <v>809</v>
      </c>
      <c r="P63" s="939" t="s">
        <v>1093</v>
      </c>
      <c r="Q63" s="939" t="s">
        <v>1093</v>
      </c>
      <c r="R63" s="511">
        <v>240</v>
      </c>
    </row>
    <row r="64" spans="1:18">
      <c r="A64" s="559">
        <v>13</v>
      </c>
      <c r="B64" s="554" t="s">
        <v>321</v>
      </c>
      <c r="C64" s="939" t="s">
        <v>898</v>
      </c>
      <c r="D64" s="939" t="s">
        <v>898</v>
      </c>
      <c r="E64" s="939" t="s">
        <v>898</v>
      </c>
      <c r="F64" s="939" t="s">
        <v>898</v>
      </c>
      <c r="G64" s="939" t="s">
        <v>899</v>
      </c>
      <c r="H64" s="939" t="s">
        <v>899</v>
      </c>
      <c r="I64" s="511">
        <v>1101</v>
      </c>
      <c r="J64" s="202"/>
      <c r="K64" s="500" t="s">
        <v>320</v>
      </c>
      <c r="L64" s="939" t="s">
        <v>1252</v>
      </c>
      <c r="M64" s="939" t="s">
        <v>1252</v>
      </c>
      <c r="N64" s="939" t="s">
        <v>1253</v>
      </c>
      <c r="O64" s="939" t="s">
        <v>1253</v>
      </c>
      <c r="P64" s="939" t="s">
        <v>1254</v>
      </c>
      <c r="Q64" s="939" t="s">
        <v>1254</v>
      </c>
      <c r="R64" s="511">
        <v>229</v>
      </c>
    </row>
    <row r="65" spans="1:18">
      <c r="A65" s="558">
        <v>14</v>
      </c>
      <c r="B65" s="554" t="s">
        <v>320</v>
      </c>
      <c r="C65" s="939" t="s">
        <v>70</v>
      </c>
      <c r="D65" s="939" t="s">
        <v>70</v>
      </c>
      <c r="E65" s="939" t="s">
        <v>904</v>
      </c>
      <c r="F65" s="939" t="s">
        <v>904</v>
      </c>
      <c r="G65" s="939" t="s">
        <v>905</v>
      </c>
      <c r="H65" s="939" t="s">
        <v>905</v>
      </c>
      <c r="I65" s="511">
        <v>1025</v>
      </c>
      <c r="J65" s="202"/>
      <c r="K65" s="500" t="s">
        <v>320</v>
      </c>
      <c r="L65" s="939" t="s">
        <v>495</v>
      </c>
      <c r="M65" s="939" t="s">
        <v>495</v>
      </c>
      <c r="N65" s="939" t="s">
        <v>809</v>
      </c>
      <c r="O65" s="939" t="s">
        <v>809</v>
      </c>
      <c r="P65" s="939" t="s">
        <v>1255</v>
      </c>
      <c r="Q65" s="939" t="s">
        <v>1255</v>
      </c>
      <c r="R65" s="511">
        <v>223</v>
      </c>
    </row>
    <row r="66" spans="1:18">
      <c r="A66" s="559">
        <v>15</v>
      </c>
      <c r="B66" s="554" t="s">
        <v>320</v>
      </c>
      <c r="C66" s="939" t="s">
        <v>343</v>
      </c>
      <c r="D66" s="939" t="s">
        <v>343</v>
      </c>
      <c r="E66" s="939" t="s">
        <v>1088</v>
      </c>
      <c r="F66" s="939" t="s">
        <v>1088</v>
      </c>
      <c r="G66" s="939" t="s">
        <v>1087</v>
      </c>
      <c r="H66" s="939" t="s">
        <v>1087</v>
      </c>
      <c r="I66" s="511">
        <v>1006</v>
      </c>
      <c r="J66" s="202"/>
      <c r="K66" s="500" t="s">
        <v>321</v>
      </c>
      <c r="L66" s="939" t="s">
        <v>811</v>
      </c>
      <c r="M66" s="939" t="s">
        <v>811</v>
      </c>
      <c r="N66" s="939" t="s">
        <v>1015</v>
      </c>
      <c r="O66" s="939" t="s">
        <v>1015</v>
      </c>
      <c r="P66" s="939" t="s">
        <v>1016</v>
      </c>
      <c r="Q66" s="939" t="s">
        <v>1016</v>
      </c>
      <c r="R66" s="511">
        <v>209</v>
      </c>
    </row>
    <row r="67" spans="1:18">
      <c r="A67" s="558">
        <v>16</v>
      </c>
      <c r="B67" s="554" t="s">
        <v>321</v>
      </c>
      <c r="C67" s="939" t="s">
        <v>811</v>
      </c>
      <c r="D67" s="939" t="s">
        <v>811</v>
      </c>
      <c r="E67" s="939" t="s">
        <v>1256</v>
      </c>
      <c r="F67" s="939" t="s">
        <v>1256</v>
      </c>
      <c r="G67" s="939" t="s">
        <v>1257</v>
      </c>
      <c r="H67" s="939" t="s">
        <v>1257</v>
      </c>
      <c r="I67" s="511">
        <v>899</v>
      </c>
      <c r="J67" s="202"/>
      <c r="K67" s="500" t="s">
        <v>320</v>
      </c>
      <c r="L67" s="939" t="s">
        <v>495</v>
      </c>
      <c r="M67" s="939" t="s">
        <v>495</v>
      </c>
      <c r="N67" s="939" t="s">
        <v>809</v>
      </c>
      <c r="O67" s="939" t="s">
        <v>809</v>
      </c>
      <c r="P67" s="939" t="s">
        <v>1255</v>
      </c>
      <c r="Q67" s="939" t="s">
        <v>1255</v>
      </c>
      <c r="R67" s="511">
        <v>208</v>
      </c>
    </row>
    <row r="68" spans="1:18">
      <c r="A68" s="559">
        <v>17</v>
      </c>
      <c r="B68" s="554" t="s">
        <v>320</v>
      </c>
      <c r="C68" s="939" t="s">
        <v>608</v>
      </c>
      <c r="D68" s="939" t="s">
        <v>608</v>
      </c>
      <c r="E68" s="939" t="s">
        <v>1258</v>
      </c>
      <c r="F68" s="939" t="s">
        <v>1258</v>
      </c>
      <c r="G68" s="939" t="s">
        <v>1259</v>
      </c>
      <c r="H68" s="939" t="s">
        <v>1259</v>
      </c>
      <c r="I68" s="511">
        <v>861</v>
      </c>
      <c r="J68" s="202"/>
      <c r="K68" s="500" t="s">
        <v>320</v>
      </c>
      <c r="L68" s="939" t="s">
        <v>1241</v>
      </c>
      <c r="M68" s="939" t="s">
        <v>1241</v>
      </c>
      <c r="N68" s="939" t="s">
        <v>709</v>
      </c>
      <c r="O68" s="939" t="s">
        <v>709</v>
      </c>
      <c r="P68" s="939" t="s">
        <v>1242</v>
      </c>
      <c r="Q68" s="939" t="s">
        <v>1242</v>
      </c>
      <c r="R68" s="511">
        <v>196</v>
      </c>
    </row>
    <row r="69" spans="1:18">
      <c r="A69" s="558">
        <v>18</v>
      </c>
      <c r="B69" s="554" t="s">
        <v>320</v>
      </c>
      <c r="C69" s="939" t="s">
        <v>906</v>
      </c>
      <c r="D69" s="939" t="s">
        <v>906</v>
      </c>
      <c r="E69" s="939" t="s">
        <v>907</v>
      </c>
      <c r="F69" s="939" t="s">
        <v>907</v>
      </c>
      <c r="G69" s="939" t="s">
        <v>1260</v>
      </c>
      <c r="H69" s="939" t="s">
        <v>1260</v>
      </c>
      <c r="I69" s="511">
        <v>845</v>
      </c>
      <c r="J69" s="202"/>
      <c r="K69" s="500" t="s">
        <v>320</v>
      </c>
      <c r="L69" s="939" t="s">
        <v>1089</v>
      </c>
      <c r="M69" s="939" t="s">
        <v>1089</v>
      </c>
      <c r="N69" s="939" t="s">
        <v>1091</v>
      </c>
      <c r="O69" s="939" t="s">
        <v>1091</v>
      </c>
      <c r="P69" s="939" t="s">
        <v>1094</v>
      </c>
      <c r="Q69" s="939" t="s">
        <v>1094</v>
      </c>
      <c r="R69" s="511">
        <v>196</v>
      </c>
    </row>
    <row r="70" spans="1:18">
      <c r="A70" s="559">
        <v>19</v>
      </c>
      <c r="B70" s="554" t="s">
        <v>320</v>
      </c>
      <c r="C70" s="939" t="s">
        <v>1261</v>
      </c>
      <c r="D70" s="939" t="s">
        <v>1261</v>
      </c>
      <c r="E70" s="939" t="s">
        <v>1262</v>
      </c>
      <c r="F70" s="939" t="s">
        <v>1262</v>
      </c>
      <c r="G70" s="939" t="s">
        <v>1263</v>
      </c>
      <c r="H70" s="939" t="s">
        <v>1263</v>
      </c>
      <c r="I70" s="511">
        <v>809</v>
      </c>
      <c r="J70" s="202"/>
      <c r="K70" s="500" t="s">
        <v>321</v>
      </c>
      <c r="L70" s="939" t="s">
        <v>811</v>
      </c>
      <c r="M70" s="939" t="s">
        <v>811</v>
      </c>
      <c r="N70" s="939" t="s">
        <v>1264</v>
      </c>
      <c r="O70" s="939" t="s">
        <v>1264</v>
      </c>
      <c r="P70" s="939" t="s">
        <v>1265</v>
      </c>
      <c r="Q70" s="939" t="s">
        <v>1265</v>
      </c>
      <c r="R70" s="511">
        <v>194</v>
      </c>
    </row>
    <row r="71" spans="1:18" ht="13" thickBot="1">
      <c r="A71" s="560">
        <v>20</v>
      </c>
      <c r="B71" s="555" t="s">
        <v>320</v>
      </c>
      <c r="C71" s="940" t="s">
        <v>599</v>
      </c>
      <c r="D71" s="940" t="s">
        <v>599</v>
      </c>
      <c r="E71" s="940" t="s">
        <v>1266</v>
      </c>
      <c r="F71" s="940" t="s">
        <v>1266</v>
      </c>
      <c r="G71" s="940" t="s">
        <v>1267</v>
      </c>
      <c r="H71" s="940" t="s">
        <v>1267</v>
      </c>
      <c r="I71" s="512">
        <v>803</v>
      </c>
      <c r="J71" s="203"/>
      <c r="K71" s="503" t="s">
        <v>320</v>
      </c>
      <c r="L71" s="940" t="s">
        <v>1090</v>
      </c>
      <c r="M71" s="940" t="s">
        <v>1090</v>
      </c>
      <c r="N71" s="940" t="s">
        <v>1092</v>
      </c>
      <c r="O71" s="940" t="s">
        <v>1092</v>
      </c>
      <c r="P71" s="940" t="s">
        <v>1095</v>
      </c>
      <c r="Q71" s="940" t="s">
        <v>1095</v>
      </c>
      <c r="R71" s="512">
        <v>189</v>
      </c>
    </row>
    <row r="72" spans="1:18">
      <c r="A72" s="279"/>
      <c r="B72" s="64"/>
      <c r="C72" s="280"/>
      <c r="D72" s="280"/>
      <c r="E72" s="64"/>
      <c r="F72" s="64"/>
      <c r="G72" s="64"/>
      <c r="H72" s="64"/>
      <c r="I72" s="64"/>
      <c r="J72" s="202"/>
      <c r="K72" s="64"/>
      <c r="L72" s="64"/>
      <c r="M72" s="64"/>
      <c r="N72" s="64"/>
      <c r="O72" s="64"/>
      <c r="P72" s="64"/>
      <c r="Q72" s="64"/>
      <c r="R72" s="64"/>
    </row>
    <row r="73" spans="1:18" ht="13" thickBot="1">
      <c r="A73" s="279"/>
      <c r="B73" s="64"/>
      <c r="C73" s="280"/>
      <c r="D73" s="280"/>
      <c r="E73" s="64"/>
      <c r="F73" s="64"/>
      <c r="G73" s="64"/>
      <c r="H73" s="64"/>
      <c r="I73" s="64"/>
      <c r="J73" s="202"/>
      <c r="K73" s="64"/>
      <c r="L73" s="64"/>
      <c r="M73" s="64"/>
      <c r="N73" s="64"/>
      <c r="O73" s="64"/>
      <c r="P73" s="64"/>
      <c r="Q73" s="64"/>
      <c r="R73" s="64"/>
    </row>
    <row r="74" spans="1:18" ht="14" thickBot="1">
      <c r="A74" s="942" t="s">
        <v>1239</v>
      </c>
      <c r="B74" s="943"/>
      <c r="C74" s="943"/>
      <c r="D74" s="943"/>
      <c r="E74" s="943"/>
      <c r="F74" s="943"/>
      <c r="G74" s="943"/>
      <c r="H74" s="943"/>
      <c r="I74" s="943"/>
      <c r="J74" s="943"/>
      <c r="K74" s="943"/>
      <c r="L74" s="943"/>
      <c r="M74" s="943"/>
      <c r="N74" s="943"/>
      <c r="O74" s="943"/>
      <c r="P74" s="943"/>
      <c r="Q74" s="943"/>
      <c r="R74" s="944"/>
    </row>
    <row r="75" spans="1:18" ht="15.75" customHeight="1" thickBot="1">
      <c r="A75" s="954" t="s">
        <v>71</v>
      </c>
      <c r="B75" s="947" t="s">
        <v>743</v>
      </c>
      <c r="C75" s="948"/>
      <c r="D75" s="948"/>
      <c r="E75" s="948"/>
      <c r="F75" s="948"/>
      <c r="G75" s="948"/>
      <c r="H75" s="948"/>
      <c r="I75" s="949"/>
      <c r="J75" s="147"/>
      <c r="K75" s="956" t="s">
        <v>742</v>
      </c>
      <c r="L75" s="957"/>
      <c r="M75" s="957"/>
      <c r="N75" s="957"/>
      <c r="O75" s="957"/>
      <c r="P75" s="957"/>
      <c r="Q75" s="957"/>
      <c r="R75" s="958"/>
    </row>
    <row r="76" spans="1:18" ht="13" thickBot="1">
      <c r="A76" s="955"/>
      <c r="B76" s="509" t="s">
        <v>319</v>
      </c>
      <c r="C76" s="950" t="s">
        <v>67</v>
      </c>
      <c r="D76" s="951"/>
      <c r="E76" s="952" t="s">
        <v>68</v>
      </c>
      <c r="F76" s="953"/>
      <c r="G76" s="952" t="s">
        <v>78</v>
      </c>
      <c r="H76" s="953"/>
      <c r="I76" s="509" t="s">
        <v>776</v>
      </c>
      <c r="J76" s="147"/>
      <c r="K76" s="557" t="s">
        <v>319</v>
      </c>
      <c r="L76" s="950" t="s">
        <v>67</v>
      </c>
      <c r="M76" s="959"/>
      <c r="N76" s="960" t="s">
        <v>68</v>
      </c>
      <c r="O76" s="961"/>
      <c r="P76" s="960" t="s">
        <v>748</v>
      </c>
      <c r="Q76" s="953"/>
      <c r="R76" s="556" t="s">
        <v>776</v>
      </c>
    </row>
    <row r="77" spans="1:18">
      <c r="A77" s="174">
        <v>1</v>
      </c>
      <c r="B77" s="553" t="s">
        <v>320</v>
      </c>
      <c r="C77" s="941" t="s">
        <v>847</v>
      </c>
      <c r="D77" s="941"/>
      <c r="E77" s="941" t="s">
        <v>848</v>
      </c>
      <c r="F77" s="941"/>
      <c r="G77" s="941" t="s">
        <v>849</v>
      </c>
      <c r="H77" s="941"/>
      <c r="I77" s="510">
        <v>119</v>
      </c>
      <c r="J77" s="202"/>
      <c r="K77" s="501" t="s">
        <v>320</v>
      </c>
      <c r="L77" s="941" t="s">
        <v>941</v>
      </c>
      <c r="M77" s="941"/>
      <c r="N77" s="941" t="s">
        <v>942</v>
      </c>
      <c r="O77" s="941"/>
      <c r="P77" s="941" t="s">
        <v>943</v>
      </c>
      <c r="Q77" s="941"/>
      <c r="R77" s="498">
        <v>225</v>
      </c>
    </row>
    <row r="78" spans="1:18">
      <c r="A78" s="558">
        <v>2</v>
      </c>
      <c r="B78" s="554" t="s">
        <v>320</v>
      </c>
      <c r="C78" s="939" t="s">
        <v>1096</v>
      </c>
      <c r="D78" s="939" t="s">
        <v>1096</v>
      </c>
      <c r="E78" s="939" t="s">
        <v>1097</v>
      </c>
      <c r="F78" s="939" t="s">
        <v>1097</v>
      </c>
      <c r="G78" s="939" t="s">
        <v>1268</v>
      </c>
      <c r="H78" s="939" t="s">
        <v>1268</v>
      </c>
      <c r="I78" s="511">
        <v>68</v>
      </c>
      <c r="J78" s="202"/>
      <c r="K78" s="500" t="s">
        <v>320</v>
      </c>
      <c r="L78" s="939" t="s">
        <v>818</v>
      </c>
      <c r="M78" s="939" t="s">
        <v>818</v>
      </c>
      <c r="N78" s="939" t="s">
        <v>819</v>
      </c>
      <c r="O78" s="939" t="s">
        <v>819</v>
      </c>
      <c r="P78" s="939" t="s">
        <v>820</v>
      </c>
      <c r="Q78" s="939" t="s">
        <v>820</v>
      </c>
      <c r="R78" s="499">
        <v>140</v>
      </c>
    </row>
    <row r="79" spans="1:18">
      <c r="A79" s="559">
        <v>3</v>
      </c>
      <c r="B79" s="554" t="s">
        <v>321</v>
      </c>
      <c r="C79" s="939" t="s">
        <v>855</v>
      </c>
      <c r="D79" s="939" t="s">
        <v>855</v>
      </c>
      <c r="E79" s="939" t="s">
        <v>856</v>
      </c>
      <c r="F79" s="939" t="s">
        <v>856</v>
      </c>
      <c r="G79" s="939" t="s">
        <v>857</v>
      </c>
      <c r="H79" s="939" t="s">
        <v>857</v>
      </c>
      <c r="I79" s="511">
        <v>47</v>
      </c>
      <c r="J79" s="202"/>
      <c r="K79" s="500" t="s">
        <v>320</v>
      </c>
      <c r="L79" s="939" t="s">
        <v>812</v>
      </c>
      <c r="M79" s="939" t="s">
        <v>812</v>
      </c>
      <c r="N79" s="939" t="s">
        <v>813</v>
      </c>
      <c r="O79" s="939" t="s">
        <v>813</v>
      </c>
      <c r="P79" s="939" t="s">
        <v>814</v>
      </c>
      <c r="Q79" s="939" t="s">
        <v>814</v>
      </c>
      <c r="R79" s="499">
        <v>138</v>
      </c>
    </row>
    <row r="80" spans="1:18">
      <c r="A80" s="558">
        <v>4</v>
      </c>
      <c r="B80" s="554" t="s">
        <v>321</v>
      </c>
      <c r="C80" s="939" t="s">
        <v>852</v>
      </c>
      <c r="D80" s="939" t="s">
        <v>852</v>
      </c>
      <c r="E80" s="939" t="s">
        <v>853</v>
      </c>
      <c r="F80" s="939" t="s">
        <v>853</v>
      </c>
      <c r="G80" s="939" t="s">
        <v>854</v>
      </c>
      <c r="H80" s="939" t="s">
        <v>854</v>
      </c>
      <c r="I80" s="511">
        <v>36</v>
      </c>
      <c r="J80" s="202"/>
      <c r="K80" s="500" t="s">
        <v>320</v>
      </c>
      <c r="L80" s="939" t="s">
        <v>832</v>
      </c>
      <c r="M80" s="939" t="s">
        <v>832</v>
      </c>
      <c r="N80" s="939" t="s">
        <v>832</v>
      </c>
      <c r="O80" s="939" t="s">
        <v>832</v>
      </c>
      <c r="P80" s="939" t="s">
        <v>833</v>
      </c>
      <c r="Q80" s="939" t="s">
        <v>833</v>
      </c>
      <c r="R80" s="499">
        <v>106</v>
      </c>
    </row>
    <row r="81" spans="1:18">
      <c r="A81" s="559">
        <v>5</v>
      </c>
      <c r="B81" s="554" t="s">
        <v>320</v>
      </c>
      <c r="C81" s="939" t="s">
        <v>681</v>
      </c>
      <c r="D81" s="939" t="s">
        <v>681</v>
      </c>
      <c r="E81" s="939" t="s">
        <v>850</v>
      </c>
      <c r="F81" s="939" t="s">
        <v>850</v>
      </c>
      <c r="G81" s="939" t="s">
        <v>851</v>
      </c>
      <c r="H81" s="939" t="s">
        <v>851</v>
      </c>
      <c r="I81" s="511">
        <v>33</v>
      </c>
      <c r="J81" s="202"/>
      <c r="K81" s="500" t="s">
        <v>320</v>
      </c>
      <c r="L81" s="939" t="s">
        <v>823</v>
      </c>
      <c r="M81" s="939" t="s">
        <v>823</v>
      </c>
      <c r="N81" s="939" t="s">
        <v>824</v>
      </c>
      <c r="O81" s="939" t="s">
        <v>824</v>
      </c>
      <c r="P81" s="939" t="s">
        <v>825</v>
      </c>
      <c r="Q81" s="939" t="s">
        <v>825</v>
      </c>
      <c r="R81" s="499">
        <v>90</v>
      </c>
    </row>
    <row r="82" spans="1:18">
      <c r="A82" s="558">
        <v>6</v>
      </c>
      <c r="B82" s="554" t="s">
        <v>320</v>
      </c>
      <c r="C82" s="939" t="s">
        <v>861</v>
      </c>
      <c r="D82" s="939" t="s">
        <v>861</v>
      </c>
      <c r="E82" s="939" t="s">
        <v>862</v>
      </c>
      <c r="F82" s="939" t="s">
        <v>862</v>
      </c>
      <c r="G82" s="939" t="s">
        <v>863</v>
      </c>
      <c r="H82" s="939" t="s">
        <v>863</v>
      </c>
      <c r="I82" s="511">
        <v>32</v>
      </c>
      <c r="J82" s="202"/>
      <c r="K82" s="500" t="s">
        <v>320</v>
      </c>
      <c r="L82" s="939" t="s">
        <v>821</v>
      </c>
      <c r="M82" s="939" t="s">
        <v>821</v>
      </c>
      <c r="N82" s="939" t="s">
        <v>821</v>
      </c>
      <c r="O82" s="939" t="s">
        <v>821</v>
      </c>
      <c r="P82" s="939" t="s">
        <v>822</v>
      </c>
      <c r="Q82" s="939" t="s">
        <v>822</v>
      </c>
      <c r="R82" s="499">
        <v>76</v>
      </c>
    </row>
    <row r="83" spans="1:18">
      <c r="A83" s="559">
        <v>7</v>
      </c>
      <c r="B83" s="554" t="s">
        <v>320</v>
      </c>
      <c r="C83" s="939" t="s">
        <v>861</v>
      </c>
      <c r="D83" s="939" t="s">
        <v>861</v>
      </c>
      <c r="E83" s="939" t="s">
        <v>862</v>
      </c>
      <c r="F83" s="939" t="s">
        <v>862</v>
      </c>
      <c r="G83" s="939" t="s">
        <v>864</v>
      </c>
      <c r="H83" s="939" t="s">
        <v>864</v>
      </c>
      <c r="I83" s="511">
        <v>32</v>
      </c>
      <c r="J83" s="202"/>
      <c r="K83" s="500" t="s">
        <v>320</v>
      </c>
      <c r="L83" s="939" t="s">
        <v>815</v>
      </c>
      <c r="M83" s="939" t="s">
        <v>815</v>
      </c>
      <c r="N83" s="939" t="s">
        <v>816</v>
      </c>
      <c r="O83" s="939" t="s">
        <v>816</v>
      </c>
      <c r="P83" s="939" t="s">
        <v>817</v>
      </c>
      <c r="Q83" s="939" t="s">
        <v>817</v>
      </c>
      <c r="R83" s="499">
        <v>70</v>
      </c>
    </row>
    <row r="84" spans="1:18">
      <c r="A84" s="558">
        <v>8</v>
      </c>
      <c r="B84" s="554" t="s">
        <v>320</v>
      </c>
      <c r="C84" s="939" t="s">
        <v>861</v>
      </c>
      <c r="D84" s="939" t="s">
        <v>861</v>
      </c>
      <c r="E84" s="939" t="s">
        <v>862</v>
      </c>
      <c r="F84" s="939" t="s">
        <v>862</v>
      </c>
      <c r="G84" s="939" t="s">
        <v>1269</v>
      </c>
      <c r="H84" s="939" t="s">
        <v>1269</v>
      </c>
      <c r="I84" s="511">
        <v>29</v>
      </c>
      <c r="J84" s="202"/>
      <c r="K84" s="500" t="s">
        <v>320</v>
      </c>
      <c r="L84" s="939" t="s">
        <v>829</v>
      </c>
      <c r="M84" s="939" t="s">
        <v>829</v>
      </c>
      <c r="N84" s="939" t="s">
        <v>830</v>
      </c>
      <c r="O84" s="939" t="s">
        <v>830</v>
      </c>
      <c r="P84" s="939" t="s">
        <v>831</v>
      </c>
      <c r="Q84" s="939" t="s">
        <v>831</v>
      </c>
      <c r="R84" s="499">
        <v>59</v>
      </c>
    </row>
    <row r="85" spans="1:18">
      <c r="A85" s="559">
        <v>9</v>
      </c>
      <c r="B85" s="554" t="s">
        <v>320</v>
      </c>
      <c r="C85" s="939" t="s">
        <v>858</v>
      </c>
      <c r="D85" s="939" t="s">
        <v>858</v>
      </c>
      <c r="E85" s="939" t="s">
        <v>995</v>
      </c>
      <c r="F85" s="939" t="s">
        <v>995</v>
      </c>
      <c r="G85" s="939" t="s">
        <v>996</v>
      </c>
      <c r="H85" s="939" t="s">
        <v>996</v>
      </c>
      <c r="I85" s="511">
        <v>29</v>
      </c>
      <c r="J85" s="202"/>
      <c r="K85" s="500" t="s">
        <v>320</v>
      </c>
      <c r="L85" s="939" t="s">
        <v>944</v>
      </c>
      <c r="M85" s="939" t="s">
        <v>944</v>
      </c>
      <c r="N85" s="939" t="s">
        <v>945</v>
      </c>
      <c r="O85" s="939" t="s">
        <v>945</v>
      </c>
      <c r="P85" s="939" t="s">
        <v>946</v>
      </c>
      <c r="Q85" s="939" t="s">
        <v>946</v>
      </c>
      <c r="R85" s="499">
        <v>49</v>
      </c>
    </row>
    <row r="86" spans="1:18">
      <c r="A86" s="558">
        <v>10</v>
      </c>
      <c r="B86" s="554" t="s">
        <v>320</v>
      </c>
      <c r="C86" s="939" t="s">
        <v>858</v>
      </c>
      <c r="D86" s="939" t="s">
        <v>858</v>
      </c>
      <c r="E86" s="939" t="s">
        <v>859</v>
      </c>
      <c r="F86" s="939" t="s">
        <v>859</v>
      </c>
      <c r="G86" s="939" t="s">
        <v>860</v>
      </c>
      <c r="H86" s="939" t="s">
        <v>860</v>
      </c>
      <c r="I86" s="511">
        <v>28</v>
      </c>
      <c r="J86" s="202"/>
      <c r="K86" s="500" t="s">
        <v>320</v>
      </c>
      <c r="L86" s="939" t="s">
        <v>826</v>
      </c>
      <c r="M86" s="939" t="s">
        <v>826</v>
      </c>
      <c r="N86" s="939" t="s">
        <v>827</v>
      </c>
      <c r="O86" s="939" t="s">
        <v>827</v>
      </c>
      <c r="P86" s="939" t="s">
        <v>828</v>
      </c>
      <c r="Q86" s="939" t="s">
        <v>828</v>
      </c>
      <c r="R86" s="499">
        <v>44</v>
      </c>
    </row>
    <row r="87" spans="1:18">
      <c r="A87" s="559">
        <v>11</v>
      </c>
      <c r="B87" s="554" t="s">
        <v>320</v>
      </c>
      <c r="C87" s="939" t="s">
        <v>1261</v>
      </c>
      <c r="D87" s="939" t="s">
        <v>1261</v>
      </c>
      <c r="E87" s="939" t="s">
        <v>1262</v>
      </c>
      <c r="F87" s="939" t="s">
        <v>1262</v>
      </c>
      <c r="G87" s="939" t="s">
        <v>1270</v>
      </c>
      <c r="H87" s="939" t="s">
        <v>1270</v>
      </c>
      <c r="I87" s="511">
        <v>23</v>
      </c>
      <c r="J87" s="202"/>
      <c r="K87" s="500" t="s">
        <v>320</v>
      </c>
      <c r="L87" s="939" t="s">
        <v>999</v>
      </c>
      <c r="M87" s="939" t="s">
        <v>999</v>
      </c>
      <c r="N87" s="939" t="s">
        <v>999</v>
      </c>
      <c r="O87" s="939" t="s">
        <v>999</v>
      </c>
      <c r="P87" s="939" t="s">
        <v>1000</v>
      </c>
      <c r="Q87" s="939" t="s">
        <v>1000</v>
      </c>
      <c r="R87" s="499">
        <v>43</v>
      </c>
    </row>
    <row r="88" spans="1:18">
      <c r="A88" s="558">
        <v>12</v>
      </c>
      <c r="B88" s="554" t="s">
        <v>320</v>
      </c>
      <c r="C88" s="939" t="s">
        <v>553</v>
      </c>
      <c r="D88" s="939" t="s">
        <v>553</v>
      </c>
      <c r="E88" s="939" t="s">
        <v>1020</v>
      </c>
      <c r="F88" s="939" t="s">
        <v>1020</v>
      </c>
      <c r="G88" s="939" t="s">
        <v>1021</v>
      </c>
      <c r="H88" s="939" t="s">
        <v>1021</v>
      </c>
      <c r="I88" s="511">
        <v>19</v>
      </c>
      <c r="J88" s="202"/>
      <c r="K88" s="500" t="s">
        <v>320</v>
      </c>
      <c r="L88" s="939" t="s">
        <v>1271</v>
      </c>
      <c r="M88" s="939" t="s">
        <v>1271</v>
      </c>
      <c r="N88" s="939" t="s">
        <v>1272</v>
      </c>
      <c r="O88" s="939" t="s">
        <v>1272</v>
      </c>
      <c r="P88" s="939" t="s">
        <v>1273</v>
      </c>
      <c r="Q88" s="939" t="s">
        <v>1273</v>
      </c>
      <c r="R88" s="499">
        <v>38</v>
      </c>
    </row>
    <row r="89" spans="1:18">
      <c r="A89" s="559">
        <v>13</v>
      </c>
      <c r="B89" s="554" t="s">
        <v>321</v>
      </c>
      <c r="C89" s="939" t="s">
        <v>852</v>
      </c>
      <c r="D89" s="939" t="s">
        <v>852</v>
      </c>
      <c r="E89" s="939" t="s">
        <v>1018</v>
      </c>
      <c r="F89" s="939" t="s">
        <v>1018</v>
      </c>
      <c r="G89" s="939" t="s">
        <v>1019</v>
      </c>
      <c r="H89" s="939" t="s">
        <v>1019</v>
      </c>
      <c r="I89" s="511">
        <v>17</v>
      </c>
      <c r="J89" s="202"/>
      <c r="K89" s="500" t="s">
        <v>320</v>
      </c>
      <c r="L89" s="939" t="s">
        <v>882</v>
      </c>
      <c r="M89" s="939" t="s">
        <v>882</v>
      </c>
      <c r="N89" s="939" t="s">
        <v>883</v>
      </c>
      <c r="O89" s="939" t="s">
        <v>883</v>
      </c>
      <c r="P89" s="939" t="s">
        <v>884</v>
      </c>
      <c r="Q89" s="939" t="s">
        <v>884</v>
      </c>
      <c r="R89" s="499">
        <v>38</v>
      </c>
    </row>
    <row r="90" spans="1:18">
      <c r="A90" s="558">
        <v>14</v>
      </c>
      <c r="B90" s="554" t="s">
        <v>320</v>
      </c>
      <c r="C90" s="939" t="s">
        <v>718</v>
      </c>
      <c r="D90" s="939" t="s">
        <v>718</v>
      </c>
      <c r="E90" s="939" t="s">
        <v>1274</v>
      </c>
      <c r="F90" s="939" t="s">
        <v>1274</v>
      </c>
      <c r="G90" s="939" t="s">
        <v>1275</v>
      </c>
      <c r="H90" s="939" t="s">
        <v>1275</v>
      </c>
      <c r="I90" s="511">
        <v>14</v>
      </c>
      <c r="J90" s="202"/>
      <c r="K90" s="500" t="s">
        <v>320</v>
      </c>
      <c r="L90" s="939" t="s">
        <v>823</v>
      </c>
      <c r="M90" s="939" t="s">
        <v>823</v>
      </c>
      <c r="N90" s="939" t="s">
        <v>834</v>
      </c>
      <c r="O90" s="939" t="s">
        <v>834</v>
      </c>
      <c r="P90" s="939" t="s">
        <v>834</v>
      </c>
      <c r="Q90" s="939" t="s">
        <v>834</v>
      </c>
      <c r="R90" s="499">
        <v>35</v>
      </c>
    </row>
    <row r="91" spans="1:18">
      <c r="A91" s="559">
        <v>15</v>
      </c>
      <c r="B91" s="554" t="s">
        <v>320</v>
      </c>
      <c r="C91" s="939" t="s">
        <v>858</v>
      </c>
      <c r="D91" s="939" t="s">
        <v>858</v>
      </c>
      <c r="E91" s="939" t="s">
        <v>1276</v>
      </c>
      <c r="F91" s="939" t="s">
        <v>1276</v>
      </c>
      <c r="G91" s="939" t="s">
        <v>1277</v>
      </c>
      <c r="H91" s="939" t="s">
        <v>1277</v>
      </c>
      <c r="I91" s="511">
        <v>13</v>
      </c>
      <c r="J91" s="202"/>
      <c r="K91" s="500" t="s">
        <v>320</v>
      </c>
      <c r="L91" s="939" t="s">
        <v>974</v>
      </c>
      <c r="M91" s="939" t="s">
        <v>974</v>
      </c>
      <c r="N91" s="939" t="s">
        <v>1026</v>
      </c>
      <c r="O91" s="939" t="s">
        <v>1026</v>
      </c>
      <c r="P91" s="939" t="s">
        <v>1026</v>
      </c>
      <c r="Q91" s="939" t="s">
        <v>1026</v>
      </c>
      <c r="R91" s="499">
        <v>34</v>
      </c>
    </row>
    <row r="92" spans="1:18">
      <c r="A92" s="558">
        <v>16</v>
      </c>
      <c r="B92" s="554" t="s">
        <v>320</v>
      </c>
      <c r="C92" s="939" t="s">
        <v>345</v>
      </c>
      <c r="D92" s="939" t="s">
        <v>345</v>
      </c>
      <c r="E92" s="939" t="s">
        <v>1098</v>
      </c>
      <c r="F92" s="939" t="s">
        <v>1098</v>
      </c>
      <c r="G92" s="939" t="s">
        <v>1099</v>
      </c>
      <c r="H92" s="939" t="s">
        <v>1099</v>
      </c>
      <c r="I92" s="511">
        <v>12</v>
      </c>
      <c r="J92" s="202"/>
      <c r="K92" s="500" t="s">
        <v>320</v>
      </c>
      <c r="L92" s="939" t="s">
        <v>1024</v>
      </c>
      <c r="M92" s="939" t="s">
        <v>1024</v>
      </c>
      <c r="N92" s="939" t="s">
        <v>1024</v>
      </c>
      <c r="O92" s="939" t="s">
        <v>1024</v>
      </c>
      <c r="P92" s="939" t="s">
        <v>1025</v>
      </c>
      <c r="Q92" s="939" t="s">
        <v>1025</v>
      </c>
      <c r="R92" s="499">
        <v>34</v>
      </c>
    </row>
    <row r="93" spans="1:18">
      <c r="A93" s="559">
        <v>17</v>
      </c>
      <c r="B93" s="554" t="s">
        <v>320</v>
      </c>
      <c r="C93" s="939" t="s">
        <v>808</v>
      </c>
      <c r="D93" s="939" t="s">
        <v>808</v>
      </c>
      <c r="E93" s="939" t="s">
        <v>890</v>
      </c>
      <c r="F93" s="939" t="s">
        <v>890</v>
      </c>
      <c r="G93" s="939" t="s">
        <v>891</v>
      </c>
      <c r="H93" s="939" t="s">
        <v>891</v>
      </c>
      <c r="I93" s="511">
        <v>11</v>
      </c>
      <c r="J93" s="202"/>
      <c r="K93" s="500" t="s">
        <v>320</v>
      </c>
      <c r="L93" s="939" t="s">
        <v>815</v>
      </c>
      <c r="M93" s="939" t="s">
        <v>815</v>
      </c>
      <c r="N93" s="939" t="s">
        <v>997</v>
      </c>
      <c r="O93" s="939" t="s">
        <v>997</v>
      </c>
      <c r="P93" s="939" t="s">
        <v>998</v>
      </c>
      <c r="Q93" s="939" t="s">
        <v>998</v>
      </c>
      <c r="R93" s="499">
        <v>32</v>
      </c>
    </row>
    <row r="94" spans="1:18">
      <c r="A94" s="558">
        <v>18</v>
      </c>
      <c r="B94" s="554" t="s">
        <v>320</v>
      </c>
      <c r="C94" s="939" t="s">
        <v>880</v>
      </c>
      <c r="D94" s="939" t="s">
        <v>880</v>
      </c>
      <c r="E94" s="939" t="s">
        <v>881</v>
      </c>
      <c r="F94" s="939" t="s">
        <v>881</v>
      </c>
      <c r="G94" s="939" t="s">
        <v>1278</v>
      </c>
      <c r="H94" s="939" t="s">
        <v>1278</v>
      </c>
      <c r="I94" s="511">
        <v>11</v>
      </c>
      <c r="J94" s="202"/>
      <c r="K94" s="500" t="s">
        <v>320</v>
      </c>
      <c r="L94" s="939" t="s">
        <v>1279</v>
      </c>
      <c r="M94" s="939" t="s">
        <v>1279</v>
      </c>
      <c r="N94" s="939" t="s">
        <v>1279</v>
      </c>
      <c r="O94" s="939" t="s">
        <v>1279</v>
      </c>
      <c r="P94" s="939" t="s">
        <v>1280</v>
      </c>
      <c r="Q94" s="939" t="s">
        <v>1280</v>
      </c>
      <c r="R94" s="499">
        <v>31</v>
      </c>
    </row>
    <row r="95" spans="1:18">
      <c r="A95" s="559">
        <v>19</v>
      </c>
      <c r="B95" s="554" t="s">
        <v>320</v>
      </c>
      <c r="C95" s="939" t="s">
        <v>808</v>
      </c>
      <c r="D95" s="939" t="s">
        <v>808</v>
      </c>
      <c r="E95" s="939" t="s">
        <v>961</v>
      </c>
      <c r="F95" s="939" t="s">
        <v>961</v>
      </c>
      <c r="G95" s="939" t="s">
        <v>962</v>
      </c>
      <c r="H95" s="939" t="s">
        <v>962</v>
      </c>
      <c r="I95" s="511">
        <v>11</v>
      </c>
      <c r="J95" s="202"/>
      <c r="K95" s="500" t="s">
        <v>320</v>
      </c>
      <c r="L95" s="939" t="s">
        <v>1281</v>
      </c>
      <c r="M95" s="939" t="s">
        <v>1281</v>
      </c>
      <c r="N95" s="939" t="s">
        <v>1282</v>
      </c>
      <c r="O95" s="939" t="s">
        <v>1282</v>
      </c>
      <c r="P95" s="939" t="s">
        <v>1283</v>
      </c>
      <c r="Q95" s="939" t="s">
        <v>1283</v>
      </c>
      <c r="R95" s="499">
        <v>28</v>
      </c>
    </row>
    <row r="96" spans="1:18" ht="13" thickBot="1">
      <c r="A96" s="560">
        <v>20</v>
      </c>
      <c r="B96" s="555" t="s">
        <v>320</v>
      </c>
      <c r="C96" s="940" t="s">
        <v>344</v>
      </c>
      <c r="D96" s="940" t="s">
        <v>344</v>
      </c>
      <c r="E96" s="940" t="s">
        <v>1017</v>
      </c>
      <c r="F96" s="940" t="s">
        <v>1017</v>
      </c>
      <c r="G96" s="940" t="s">
        <v>1100</v>
      </c>
      <c r="H96" s="940" t="s">
        <v>1100</v>
      </c>
      <c r="I96" s="512">
        <v>10</v>
      </c>
      <c r="J96" s="203"/>
      <c r="K96" s="503" t="s">
        <v>320</v>
      </c>
      <c r="L96" s="940" t="s">
        <v>1284</v>
      </c>
      <c r="M96" s="940" t="s">
        <v>1284</v>
      </c>
      <c r="N96" s="940" t="s">
        <v>1285</v>
      </c>
      <c r="O96" s="940" t="s">
        <v>1285</v>
      </c>
      <c r="P96" s="940" t="s">
        <v>1286</v>
      </c>
      <c r="Q96" s="940" t="s">
        <v>1286</v>
      </c>
      <c r="R96" s="502">
        <v>26</v>
      </c>
    </row>
    <row r="97" spans="1:21" ht="12.75" customHeight="1">
      <c r="A97" s="279"/>
      <c r="B97" s="64"/>
      <c r="C97" s="280"/>
      <c r="D97" s="280"/>
      <c r="E97" s="64"/>
      <c r="F97" s="64"/>
      <c r="G97" s="64"/>
      <c r="H97" s="64"/>
      <c r="I97" s="64"/>
      <c r="J97" s="2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</row>
    <row r="98" spans="1:21" ht="13" thickBot="1">
      <c r="A98" s="279"/>
      <c r="B98" s="64"/>
      <c r="C98" s="280"/>
      <c r="D98" s="280"/>
      <c r="E98" s="64"/>
      <c r="F98" s="64"/>
      <c r="G98" s="64"/>
      <c r="H98" s="64"/>
      <c r="I98" s="64"/>
      <c r="J98" s="2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</row>
    <row r="99" spans="1:21" ht="14" thickBot="1">
      <c r="A99" s="942" t="s">
        <v>1239</v>
      </c>
      <c r="B99" s="943"/>
      <c r="C99" s="943"/>
      <c r="D99" s="943"/>
      <c r="E99" s="943"/>
      <c r="F99" s="943"/>
      <c r="G99" s="943"/>
      <c r="H99" s="943"/>
      <c r="I99" s="944"/>
      <c r="J99" s="281"/>
    </row>
    <row r="100" spans="1:21" ht="12.75" customHeight="1" thickBot="1">
      <c r="A100" s="945" t="s">
        <v>71</v>
      </c>
      <c r="B100" s="947" t="s">
        <v>744</v>
      </c>
      <c r="C100" s="948"/>
      <c r="D100" s="948"/>
      <c r="E100" s="948"/>
      <c r="F100" s="948"/>
      <c r="G100" s="948"/>
      <c r="H100" s="948"/>
      <c r="I100" s="949"/>
    </row>
    <row r="101" spans="1:21" ht="12.75" customHeight="1" thickBot="1">
      <c r="A101" s="946"/>
      <c r="B101" s="509" t="s">
        <v>319</v>
      </c>
      <c r="C101" s="950" t="s">
        <v>67</v>
      </c>
      <c r="D101" s="951"/>
      <c r="E101" s="952" t="s">
        <v>68</v>
      </c>
      <c r="F101" s="953"/>
      <c r="G101" s="952" t="s">
        <v>749</v>
      </c>
      <c r="H101" s="953"/>
      <c r="I101" s="509" t="s">
        <v>776</v>
      </c>
    </row>
    <row r="102" spans="1:21" ht="12.75" customHeight="1">
      <c r="A102" s="174">
        <v>1</v>
      </c>
      <c r="B102" s="553" t="s">
        <v>320</v>
      </c>
      <c r="C102" s="941" t="s">
        <v>909</v>
      </c>
      <c r="D102" s="941"/>
      <c r="E102" s="941" t="s">
        <v>910</v>
      </c>
      <c r="F102" s="941"/>
      <c r="G102" s="941" t="s">
        <v>911</v>
      </c>
      <c r="H102" s="941"/>
      <c r="I102" s="510">
        <v>39</v>
      </c>
    </row>
    <row r="103" spans="1:21" ht="12.75" customHeight="1">
      <c r="A103" s="558">
        <v>2</v>
      </c>
      <c r="B103" s="554" t="s">
        <v>320</v>
      </c>
      <c r="C103" s="939" t="s">
        <v>909</v>
      </c>
      <c r="D103" s="939" t="s">
        <v>909</v>
      </c>
      <c r="E103" s="939" t="s">
        <v>912</v>
      </c>
      <c r="F103" s="939" t="s">
        <v>912</v>
      </c>
      <c r="G103" s="939" t="s">
        <v>913</v>
      </c>
      <c r="H103" s="939" t="s">
        <v>913</v>
      </c>
      <c r="I103" s="511">
        <v>21</v>
      </c>
    </row>
    <row r="104" spans="1:21" ht="12.75" customHeight="1">
      <c r="A104" s="559">
        <v>3</v>
      </c>
      <c r="B104" s="554" t="s">
        <v>320</v>
      </c>
      <c r="C104" s="939" t="s">
        <v>909</v>
      </c>
      <c r="D104" s="939" t="s">
        <v>909</v>
      </c>
      <c r="E104" s="939" t="s">
        <v>912</v>
      </c>
      <c r="F104" s="939" t="s">
        <v>912</v>
      </c>
      <c r="G104" s="939" t="s">
        <v>914</v>
      </c>
      <c r="H104" s="939" t="s">
        <v>914</v>
      </c>
      <c r="I104" s="511">
        <v>17</v>
      </c>
    </row>
    <row r="105" spans="1:21" ht="12.75" customHeight="1">
      <c r="A105" s="558">
        <v>4</v>
      </c>
      <c r="B105" s="554" t="s">
        <v>320</v>
      </c>
      <c r="C105" s="939" t="s">
        <v>909</v>
      </c>
      <c r="D105" s="939" t="s">
        <v>909</v>
      </c>
      <c r="E105" s="939" t="s">
        <v>910</v>
      </c>
      <c r="F105" s="939" t="s">
        <v>910</v>
      </c>
      <c r="G105" s="939" t="s">
        <v>916</v>
      </c>
      <c r="H105" s="939" t="s">
        <v>916</v>
      </c>
      <c r="I105" s="511">
        <v>14</v>
      </c>
    </row>
    <row r="106" spans="1:21" ht="12.75" customHeight="1">
      <c r="A106" s="559">
        <v>5</v>
      </c>
      <c r="B106" s="554" t="s">
        <v>320</v>
      </c>
      <c r="C106" s="939" t="s">
        <v>909</v>
      </c>
      <c r="D106" s="939" t="s">
        <v>909</v>
      </c>
      <c r="E106" s="939" t="s">
        <v>912</v>
      </c>
      <c r="F106" s="939" t="s">
        <v>912</v>
      </c>
      <c r="G106" s="939" t="s">
        <v>922</v>
      </c>
      <c r="H106" s="939" t="s">
        <v>922</v>
      </c>
      <c r="I106" s="511">
        <v>14</v>
      </c>
    </row>
    <row r="107" spans="1:21" ht="12.75" customHeight="1">
      <c r="A107" s="558">
        <v>6</v>
      </c>
      <c r="B107" s="554" t="s">
        <v>320</v>
      </c>
      <c r="C107" s="939" t="s">
        <v>909</v>
      </c>
      <c r="D107" s="939" t="s">
        <v>909</v>
      </c>
      <c r="E107" s="939" t="s">
        <v>910</v>
      </c>
      <c r="F107" s="939" t="s">
        <v>910</v>
      </c>
      <c r="G107" s="939" t="s">
        <v>1023</v>
      </c>
      <c r="H107" s="939" t="s">
        <v>1023</v>
      </c>
      <c r="I107" s="511">
        <v>13</v>
      </c>
    </row>
    <row r="108" spans="1:21" ht="12.75" customHeight="1">
      <c r="A108" s="559">
        <v>7</v>
      </c>
      <c r="B108" s="554" t="s">
        <v>320</v>
      </c>
      <c r="C108" s="939" t="s">
        <v>909</v>
      </c>
      <c r="D108" s="939" t="s">
        <v>909</v>
      </c>
      <c r="E108" s="939" t="s">
        <v>910</v>
      </c>
      <c r="F108" s="939" t="s">
        <v>910</v>
      </c>
      <c r="G108" s="939" t="s">
        <v>965</v>
      </c>
      <c r="H108" s="939" t="s">
        <v>965</v>
      </c>
      <c r="I108" s="511">
        <v>11</v>
      </c>
    </row>
    <row r="109" spans="1:21" ht="12.75" customHeight="1">
      <c r="A109" s="558">
        <v>8</v>
      </c>
      <c r="B109" s="554" t="s">
        <v>320</v>
      </c>
      <c r="C109" s="939" t="s">
        <v>909</v>
      </c>
      <c r="D109" s="939" t="s">
        <v>909</v>
      </c>
      <c r="E109" s="939" t="s">
        <v>912</v>
      </c>
      <c r="F109" s="939" t="s">
        <v>912</v>
      </c>
      <c r="G109" s="939" t="s">
        <v>1287</v>
      </c>
      <c r="H109" s="939" t="s">
        <v>1287</v>
      </c>
      <c r="I109" s="511">
        <v>11</v>
      </c>
    </row>
    <row r="110" spans="1:21" ht="12.75" customHeight="1">
      <c r="A110" s="559">
        <v>9</v>
      </c>
      <c r="B110" s="554" t="s">
        <v>320</v>
      </c>
      <c r="C110" s="939" t="s">
        <v>909</v>
      </c>
      <c r="D110" s="939" t="s">
        <v>909</v>
      </c>
      <c r="E110" s="939" t="s">
        <v>912</v>
      </c>
      <c r="F110" s="939" t="s">
        <v>912</v>
      </c>
      <c r="G110" s="939" t="s">
        <v>917</v>
      </c>
      <c r="H110" s="939" t="s">
        <v>917</v>
      </c>
      <c r="I110" s="511">
        <v>11</v>
      </c>
    </row>
    <row r="111" spans="1:21" ht="12.75" customHeight="1">
      <c r="A111" s="558">
        <v>10</v>
      </c>
      <c r="B111" s="554" t="s">
        <v>320</v>
      </c>
      <c r="C111" s="939" t="s">
        <v>909</v>
      </c>
      <c r="D111" s="939" t="s">
        <v>909</v>
      </c>
      <c r="E111" s="939" t="s">
        <v>912</v>
      </c>
      <c r="F111" s="939" t="s">
        <v>912</v>
      </c>
      <c r="G111" s="939" t="s">
        <v>915</v>
      </c>
      <c r="H111" s="939" t="s">
        <v>915</v>
      </c>
      <c r="I111" s="511">
        <v>10</v>
      </c>
    </row>
    <row r="112" spans="1:21" ht="12.75" customHeight="1">
      <c r="A112" s="559">
        <v>11</v>
      </c>
      <c r="B112" s="554" t="s">
        <v>320</v>
      </c>
      <c r="C112" s="939" t="s">
        <v>909</v>
      </c>
      <c r="D112" s="939" t="s">
        <v>909</v>
      </c>
      <c r="E112" s="939" t="s">
        <v>910</v>
      </c>
      <c r="F112" s="939" t="s">
        <v>910</v>
      </c>
      <c r="G112" s="939" t="s">
        <v>1101</v>
      </c>
      <c r="H112" s="939" t="s">
        <v>1101</v>
      </c>
      <c r="I112" s="511">
        <v>10</v>
      </c>
    </row>
    <row r="113" spans="1:21" ht="12.75" customHeight="1">
      <c r="A113" s="558">
        <v>12</v>
      </c>
      <c r="B113" s="554" t="s">
        <v>320</v>
      </c>
      <c r="C113" s="939" t="s">
        <v>966</v>
      </c>
      <c r="D113" s="939" t="s">
        <v>966</v>
      </c>
      <c r="E113" s="939" t="s">
        <v>967</v>
      </c>
      <c r="F113" s="939" t="s">
        <v>967</v>
      </c>
      <c r="G113" s="939" t="s">
        <v>975</v>
      </c>
      <c r="H113" s="939" t="s">
        <v>975</v>
      </c>
      <c r="I113" s="511">
        <v>10</v>
      </c>
    </row>
    <row r="114" spans="1:21" ht="12.75" customHeight="1">
      <c r="A114" s="559">
        <v>13</v>
      </c>
      <c r="B114" s="554" t="s">
        <v>320</v>
      </c>
      <c r="C114" s="939" t="s">
        <v>909</v>
      </c>
      <c r="D114" s="939" t="s">
        <v>909</v>
      </c>
      <c r="E114" s="939" t="s">
        <v>910</v>
      </c>
      <c r="F114" s="939" t="s">
        <v>910</v>
      </c>
      <c r="G114" s="939" t="s">
        <v>1004</v>
      </c>
      <c r="H114" s="939" t="s">
        <v>1004</v>
      </c>
      <c r="I114" s="511">
        <v>8</v>
      </c>
    </row>
    <row r="115" spans="1:21" ht="12.75" customHeight="1">
      <c r="A115" s="558">
        <v>14</v>
      </c>
      <c r="B115" s="554" t="s">
        <v>320</v>
      </c>
      <c r="C115" s="939" t="s">
        <v>909</v>
      </c>
      <c r="D115" s="939" t="s">
        <v>909</v>
      </c>
      <c r="E115" s="939" t="s">
        <v>912</v>
      </c>
      <c r="F115" s="939" t="s">
        <v>912</v>
      </c>
      <c r="G115" s="939" t="s">
        <v>918</v>
      </c>
      <c r="H115" s="939" t="s">
        <v>918</v>
      </c>
      <c r="I115" s="511">
        <v>8</v>
      </c>
    </row>
    <row r="116" spans="1:21" ht="12.75" customHeight="1">
      <c r="A116" s="559">
        <v>15</v>
      </c>
      <c r="B116" s="554" t="s">
        <v>320</v>
      </c>
      <c r="C116" s="939" t="s">
        <v>966</v>
      </c>
      <c r="D116" s="939" t="s">
        <v>966</v>
      </c>
      <c r="E116" s="939" t="s">
        <v>1002</v>
      </c>
      <c r="F116" s="939" t="s">
        <v>1002</v>
      </c>
      <c r="G116" s="939" t="s">
        <v>1102</v>
      </c>
      <c r="H116" s="939" t="s">
        <v>1102</v>
      </c>
      <c r="I116" s="511">
        <v>8</v>
      </c>
    </row>
    <row r="117" spans="1:21" ht="12.75" customHeight="1">
      <c r="A117" s="558">
        <v>16</v>
      </c>
      <c r="B117" s="554" t="s">
        <v>320</v>
      </c>
      <c r="C117" s="939" t="s">
        <v>909</v>
      </c>
      <c r="D117" s="939" t="s">
        <v>909</v>
      </c>
      <c r="E117" s="939" t="s">
        <v>910</v>
      </c>
      <c r="F117" s="939" t="s">
        <v>910</v>
      </c>
      <c r="G117" s="939" t="s">
        <v>1288</v>
      </c>
      <c r="H117" s="939" t="s">
        <v>1288</v>
      </c>
      <c r="I117" s="511">
        <v>7</v>
      </c>
    </row>
    <row r="118" spans="1:21" ht="12.75" customHeight="1">
      <c r="A118" s="559">
        <v>17</v>
      </c>
      <c r="B118" s="554" t="s">
        <v>320</v>
      </c>
      <c r="C118" s="939" t="s">
        <v>966</v>
      </c>
      <c r="D118" s="939" t="s">
        <v>966</v>
      </c>
      <c r="E118" s="939" t="s">
        <v>1002</v>
      </c>
      <c r="F118" s="939" t="s">
        <v>1002</v>
      </c>
      <c r="G118" s="939" t="s">
        <v>1003</v>
      </c>
      <c r="H118" s="939" t="s">
        <v>1003</v>
      </c>
      <c r="I118" s="511">
        <v>7</v>
      </c>
    </row>
    <row r="119" spans="1:21" ht="12.75" customHeight="1">
      <c r="A119" s="558">
        <v>18</v>
      </c>
      <c r="B119" s="554" t="s">
        <v>320</v>
      </c>
      <c r="C119" s="939" t="s">
        <v>909</v>
      </c>
      <c r="D119" s="939" t="s">
        <v>909</v>
      </c>
      <c r="E119" s="939" t="s">
        <v>912</v>
      </c>
      <c r="F119" s="939" t="s">
        <v>912</v>
      </c>
      <c r="G119" s="939" t="s">
        <v>1001</v>
      </c>
      <c r="H119" s="939" t="s">
        <v>1001</v>
      </c>
      <c r="I119" s="511">
        <v>7</v>
      </c>
    </row>
    <row r="120" spans="1:21" ht="12.75" customHeight="1">
      <c r="A120" s="559">
        <v>19</v>
      </c>
      <c r="B120" s="554" t="s">
        <v>320</v>
      </c>
      <c r="C120" s="939" t="s">
        <v>966</v>
      </c>
      <c r="D120" s="939" t="s">
        <v>966</v>
      </c>
      <c r="E120" s="939" t="s">
        <v>1289</v>
      </c>
      <c r="F120" s="939" t="s">
        <v>1289</v>
      </c>
      <c r="G120" s="939" t="s">
        <v>1290</v>
      </c>
      <c r="H120" s="939" t="s">
        <v>1290</v>
      </c>
      <c r="I120" s="511">
        <v>7</v>
      </c>
    </row>
    <row r="121" spans="1:21" ht="12.75" customHeight="1" thickBot="1">
      <c r="A121" s="560">
        <v>20</v>
      </c>
      <c r="B121" s="555" t="s">
        <v>320</v>
      </c>
      <c r="C121" s="940" t="s">
        <v>966</v>
      </c>
      <c r="D121" s="940" t="s">
        <v>966</v>
      </c>
      <c r="E121" s="940" t="s">
        <v>967</v>
      </c>
      <c r="F121" s="940" t="s">
        <v>967</v>
      </c>
      <c r="G121" s="940" t="s">
        <v>1022</v>
      </c>
      <c r="H121" s="940" t="s">
        <v>1022</v>
      </c>
      <c r="I121" s="512">
        <v>7</v>
      </c>
      <c r="J121" s="281"/>
    </row>
    <row r="122" spans="1:21" ht="12.75" customHeight="1">
      <c r="A122" s="279"/>
      <c r="B122" s="64"/>
      <c r="C122" s="280"/>
      <c r="D122" s="280"/>
      <c r="E122" s="64"/>
      <c r="F122" s="64"/>
      <c r="G122" s="64"/>
      <c r="H122" s="64"/>
      <c r="I122" s="64"/>
      <c r="J122" s="2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</row>
    <row r="123" spans="1:21" ht="12.75" customHeight="1">
      <c r="A123" s="279"/>
      <c r="B123" s="64"/>
      <c r="C123" s="280"/>
      <c r="D123" s="280"/>
      <c r="E123" s="64"/>
      <c r="F123" s="64"/>
      <c r="G123" s="64"/>
      <c r="H123" s="64"/>
      <c r="I123" s="64"/>
      <c r="J123" s="2"/>
      <c r="K123" s="64"/>
      <c r="L123" s="64"/>
      <c r="M123" s="64"/>
      <c r="N123" s="64"/>
      <c r="O123" s="64"/>
      <c r="P123" s="64"/>
      <c r="Q123" s="64"/>
      <c r="R123" s="64"/>
      <c r="S123" s="64"/>
    </row>
    <row r="124" spans="1:21">
      <c r="J124" s="281"/>
    </row>
    <row r="125" spans="1:21" ht="13" thickBot="1"/>
    <row r="126" spans="1:21" ht="13.5" customHeight="1" thickBot="1">
      <c r="A126" s="926" t="s">
        <v>661</v>
      </c>
      <c r="B126" s="928" t="s">
        <v>21</v>
      </c>
      <c r="C126" s="929"/>
      <c r="D126" s="928" t="s">
        <v>666</v>
      </c>
      <c r="E126" s="929"/>
      <c r="H126" s="930" t="s">
        <v>694</v>
      </c>
      <c r="I126" s="931"/>
      <c r="J126" s="931"/>
      <c r="K126" s="931"/>
      <c r="L126" s="932"/>
      <c r="O126" s="926" t="s">
        <v>695</v>
      </c>
      <c r="P126" s="934" t="s">
        <v>968</v>
      </c>
      <c r="Q126" s="935"/>
      <c r="R126" s="936"/>
    </row>
    <row r="127" spans="1:21" ht="25" thickBot="1">
      <c r="A127" s="927"/>
      <c r="B127" s="277" t="s">
        <v>665</v>
      </c>
      <c r="C127" s="278" t="s">
        <v>841</v>
      </c>
      <c r="D127" s="165" t="s">
        <v>665</v>
      </c>
      <c r="E127" s="278" t="s">
        <v>841</v>
      </c>
      <c r="H127" s="937" t="s">
        <v>1291</v>
      </c>
      <c r="I127" s="938"/>
      <c r="J127" s="181">
        <v>2013</v>
      </c>
      <c r="K127" s="179">
        <v>2014</v>
      </c>
      <c r="L127" s="180" t="s">
        <v>693</v>
      </c>
      <c r="O127" s="933"/>
      <c r="P127" s="184">
        <v>2013</v>
      </c>
      <c r="Q127" s="185">
        <v>2014</v>
      </c>
      <c r="R127" s="186" t="s">
        <v>693</v>
      </c>
    </row>
    <row r="128" spans="1:21">
      <c r="A128" s="167" t="s">
        <v>340</v>
      </c>
      <c r="B128" s="170">
        <f>'[3]iTunes Hidden Labels Summary'!J2</f>
        <v>4680</v>
      </c>
      <c r="C128" s="703">
        <f>'[3]iTunes Hidden Labels Summary'!J3</f>
        <v>364300.99979199981</v>
      </c>
      <c r="D128" s="435">
        <v>787</v>
      </c>
      <c r="E128" s="359">
        <v>27892.945824999995</v>
      </c>
      <c r="H128" s="922" t="s">
        <v>691</v>
      </c>
      <c r="I128" s="923"/>
      <c r="J128" s="194">
        <v>328171000</v>
      </c>
      <c r="K128" s="187">
        <v>290534000</v>
      </c>
      <c r="L128" s="704">
        <f>(K128-J128)/J128</f>
        <v>-0.11468716004765808</v>
      </c>
      <c r="O128" s="189" t="s">
        <v>697</v>
      </c>
      <c r="P128" s="204">
        <v>4059628</v>
      </c>
      <c r="Q128" s="204">
        <v>3418593</v>
      </c>
      <c r="R128" s="242">
        <f>(Q128-P128)/P128</f>
        <v>-0.15790486221890282</v>
      </c>
    </row>
    <row r="129" spans="1:25" ht="13" thickBot="1">
      <c r="A129" s="168" t="s">
        <v>321</v>
      </c>
      <c r="B129" s="171">
        <f>'[3]iTunes Hidden Labels Summary'!C2</f>
        <v>1441</v>
      </c>
      <c r="C129" s="705">
        <f>'[3]iTunes Hidden Labels Summary'!C3</f>
        <v>255298.50200100002</v>
      </c>
      <c r="D129" s="436">
        <v>262</v>
      </c>
      <c r="E129" s="706">
        <v>62228.94599900001</v>
      </c>
      <c r="H129" s="924" t="s">
        <v>692</v>
      </c>
      <c r="I129" s="925"/>
      <c r="J129" s="188">
        <v>29769000</v>
      </c>
      <c r="K129" s="707">
        <v>25841000</v>
      </c>
      <c r="L129" s="708">
        <f>(K129-J129)/J129</f>
        <v>-0.13194934327656288</v>
      </c>
      <c r="O129" s="709" t="s">
        <v>696</v>
      </c>
      <c r="P129" s="710">
        <v>342457</v>
      </c>
      <c r="Q129" s="710">
        <v>285564</v>
      </c>
      <c r="R129" s="711">
        <f>(Q129-P129)/P129</f>
        <v>-0.16613180632896976</v>
      </c>
    </row>
    <row r="130" spans="1:25" ht="14" thickTop="1" thickBot="1">
      <c r="A130" s="169" t="s">
        <v>21</v>
      </c>
      <c r="B130" s="172">
        <f>SUM(B128:B129)</f>
        <v>6121</v>
      </c>
      <c r="C130" s="712">
        <f>SUM(C128:C129)</f>
        <v>619599.5017929998</v>
      </c>
      <c r="D130" s="163">
        <f>SUM(D128:D129)</f>
        <v>1049</v>
      </c>
      <c r="E130" s="713">
        <f>SUM(E128:E129)</f>
        <v>90121.891824000006</v>
      </c>
      <c r="O130" s="183" t="s">
        <v>698</v>
      </c>
    </row>
    <row r="131" spans="1:25">
      <c r="V131" s="149"/>
      <c r="W131" s="104"/>
      <c r="Y131" s="104"/>
    </row>
    <row r="132" spans="1:25">
      <c r="B132" s="149"/>
      <c r="C132" s="149"/>
      <c r="D132" s="149"/>
    </row>
    <row r="133" spans="1:25" s="552" customFormat="1" ht="24">
      <c r="A133" s="549" t="s">
        <v>1079</v>
      </c>
      <c r="B133" s="550">
        <v>41122</v>
      </c>
      <c r="C133" s="550">
        <v>41153</v>
      </c>
      <c r="D133" s="550">
        <v>41183</v>
      </c>
      <c r="E133" s="550">
        <v>41214</v>
      </c>
      <c r="F133" s="550">
        <v>41244</v>
      </c>
      <c r="G133" s="550">
        <v>41275</v>
      </c>
      <c r="H133" s="550">
        <v>41487</v>
      </c>
      <c r="I133" s="550">
        <v>41518</v>
      </c>
      <c r="J133" s="550">
        <v>41548</v>
      </c>
      <c r="K133" s="550">
        <v>41579</v>
      </c>
      <c r="L133" s="550">
        <v>41609</v>
      </c>
      <c r="M133" s="550">
        <v>41640</v>
      </c>
      <c r="N133" s="551" t="s">
        <v>1080</v>
      </c>
      <c r="O133" s="551" t="s">
        <v>1081</v>
      </c>
      <c r="P133" s="551" t="s">
        <v>1082</v>
      </c>
      <c r="Q133" s="551" t="s">
        <v>1083</v>
      </c>
      <c r="R133" s="551" t="s">
        <v>1084</v>
      </c>
      <c r="S133" s="551" t="s">
        <v>1085</v>
      </c>
    </row>
    <row r="134" spans="1:25" s="548" customFormat="1" ht="11">
      <c r="A134" s="546" t="s">
        <v>8</v>
      </c>
      <c r="B134" s="617">
        <v>7275892.8265312053</v>
      </c>
      <c r="C134" s="617">
        <v>7475402.2487751916</v>
      </c>
      <c r="D134" s="617">
        <v>9811267.213820301</v>
      </c>
      <c r="E134" s="617">
        <v>7670547.1074670376</v>
      </c>
      <c r="F134" s="617">
        <v>9890367.614717707</v>
      </c>
      <c r="G134" s="617">
        <v>10713194.876421001</v>
      </c>
      <c r="H134" s="617">
        <v>6891138.4810640002</v>
      </c>
      <c r="I134" s="617">
        <v>6574006.5705159996</v>
      </c>
      <c r="J134" s="617">
        <v>8426066.1477409992</v>
      </c>
      <c r="K134" s="617">
        <v>6897525.7840050003</v>
      </c>
      <c r="L134" s="617">
        <v>8548585.3482569996</v>
      </c>
      <c r="M134" s="617">
        <v>9142961.5528420005</v>
      </c>
      <c r="N134" s="714">
        <f>(H134-B134)/B134</f>
        <v>-5.2880705452974283E-2</v>
      </c>
      <c r="O134" s="714">
        <f t="shared" ref="O134:S142" si="19">(I134-C134)/C134</f>
        <v>-0.12058156180249449</v>
      </c>
      <c r="P134" s="714">
        <f t="shared" si="19"/>
        <v>-0.14118472526444764</v>
      </c>
      <c r="Q134" s="714">
        <f t="shared" si="19"/>
        <v>-0.10077786012284903</v>
      </c>
      <c r="R134" s="714">
        <f t="shared" si="19"/>
        <v>-0.13566556054640694</v>
      </c>
      <c r="S134" s="714">
        <f>(M134-G134)/G134</f>
        <v>-0.14657003272058225</v>
      </c>
    </row>
    <row r="135" spans="1:25" s="548" customFormat="1" ht="11">
      <c r="A135" s="546" t="s">
        <v>1034</v>
      </c>
      <c r="B135" s="617">
        <v>1869127.6121840198</v>
      </c>
      <c r="C135" s="617">
        <v>1981625.4905913949</v>
      </c>
      <c r="D135" s="617">
        <v>2095235.228644155</v>
      </c>
      <c r="E135" s="617">
        <v>2144609.2794329002</v>
      </c>
      <c r="F135" s="617">
        <v>2511730.05727538</v>
      </c>
      <c r="G135" s="617">
        <v>2373571.2208199999</v>
      </c>
      <c r="H135" s="617">
        <v>2601123.1342560002</v>
      </c>
      <c r="I135" s="617">
        <v>3132086.3907260001</v>
      </c>
      <c r="J135" s="617">
        <v>3233466.153707</v>
      </c>
      <c r="K135" s="617">
        <v>3250268.6583759999</v>
      </c>
      <c r="L135" s="617">
        <v>3773584.246909</v>
      </c>
      <c r="M135" s="617">
        <v>3193149.491744</v>
      </c>
      <c r="N135" s="714">
        <f t="shared" ref="N135:N142" si="20">(H135-B135)/B135</f>
        <v>0.39162415519433985</v>
      </c>
      <c r="O135" s="714">
        <f t="shared" si="19"/>
        <v>0.58056424162734321</v>
      </c>
      <c r="P135" s="714">
        <f t="shared" si="19"/>
        <v>0.54324732111315455</v>
      </c>
      <c r="Q135" s="714">
        <f t="shared" si="19"/>
        <v>0.51555282798900759</v>
      </c>
      <c r="R135" s="714">
        <f t="shared" si="19"/>
        <v>0.5023844763805656</v>
      </c>
      <c r="S135" s="714">
        <f t="shared" si="19"/>
        <v>0.34529331318773726</v>
      </c>
    </row>
    <row r="136" spans="1:25" s="548" customFormat="1" ht="11">
      <c r="A136" s="546" t="s">
        <v>1086</v>
      </c>
      <c r="B136" s="617">
        <v>1079414.0859330001</v>
      </c>
      <c r="C136" s="617">
        <v>1040915.282595</v>
      </c>
      <c r="D136" s="617">
        <v>1100028.5210230001</v>
      </c>
      <c r="E136" s="617">
        <v>1122574.085737</v>
      </c>
      <c r="F136" s="617">
        <v>1411771.02733</v>
      </c>
      <c r="G136" s="617">
        <v>1340053.006081</v>
      </c>
      <c r="H136" s="617">
        <v>1097146.847727</v>
      </c>
      <c r="I136" s="617">
        <v>1039426.530564</v>
      </c>
      <c r="J136" s="617">
        <v>1140295.3914689999</v>
      </c>
      <c r="K136" s="617">
        <v>1115379.9774150001</v>
      </c>
      <c r="L136" s="617">
        <v>1316623.263729</v>
      </c>
      <c r="M136" s="617">
        <v>1155425.2411770001</v>
      </c>
      <c r="N136" s="714">
        <f t="shared" si="20"/>
        <v>1.6428136361285744E-2</v>
      </c>
      <c r="O136" s="714">
        <f t="shared" si="19"/>
        <v>-1.4302336183291743E-3</v>
      </c>
      <c r="P136" s="714">
        <f t="shared" si="19"/>
        <v>3.6605296750444757E-2</v>
      </c>
      <c r="Q136" s="714">
        <f t="shared" si="19"/>
        <v>-6.4085822160029407E-3</v>
      </c>
      <c r="R136" s="714">
        <f t="shared" si="19"/>
        <v>-6.7396030772034862E-2</v>
      </c>
      <c r="S136" s="714">
        <f t="shared" si="19"/>
        <v>-0.13777646411461428</v>
      </c>
    </row>
    <row r="137" spans="1:25" s="548" customFormat="1" ht="11">
      <c r="A137" s="546" t="s">
        <v>1056</v>
      </c>
      <c r="B137" s="617">
        <v>735478.54520599986</v>
      </c>
      <c r="C137" s="617">
        <v>833524.22373700002</v>
      </c>
      <c r="D137" s="617">
        <v>970171.01541199978</v>
      </c>
      <c r="E137" s="617">
        <v>893783.83157700021</v>
      </c>
      <c r="F137" s="617">
        <v>995855.63833900006</v>
      </c>
      <c r="G137" s="617">
        <v>612486.68383300002</v>
      </c>
      <c r="H137" s="617">
        <v>824645.41237999999</v>
      </c>
      <c r="I137" s="617">
        <v>1140086.763418</v>
      </c>
      <c r="J137" s="617">
        <v>1277872.9551540001</v>
      </c>
      <c r="K137" s="617">
        <v>1472315.5741330001</v>
      </c>
      <c r="L137" s="617">
        <v>2016650.748284</v>
      </c>
      <c r="M137" s="617">
        <v>1204452.1694440001</v>
      </c>
      <c r="N137" s="714">
        <f t="shared" si="20"/>
        <v>0.12123653063057797</v>
      </c>
      <c r="O137" s="714">
        <f t="shared" si="19"/>
        <v>0.36779079833644873</v>
      </c>
      <c r="P137" s="714">
        <f t="shared" si="19"/>
        <v>0.31716257737439146</v>
      </c>
      <c r="Q137" s="714">
        <f t="shared" si="19"/>
        <v>0.64728374145595502</v>
      </c>
      <c r="R137" s="714">
        <f t="shared" si="19"/>
        <v>1.0250432599323298</v>
      </c>
      <c r="S137" s="714">
        <f t="shared" si="19"/>
        <v>0.96649527448731409</v>
      </c>
    </row>
    <row r="138" spans="1:25" s="548" customFormat="1" ht="11">
      <c r="A138" s="546" t="s">
        <v>313</v>
      </c>
      <c r="B138" s="617">
        <v>158460.07672400001</v>
      </c>
      <c r="C138" s="617">
        <v>199623.10089</v>
      </c>
      <c r="D138" s="617">
        <v>216245.39797399999</v>
      </c>
      <c r="E138" s="617">
        <v>212264.47356299998</v>
      </c>
      <c r="F138" s="617">
        <v>268290.79989799997</v>
      </c>
      <c r="G138" s="617">
        <v>295816.12430700002</v>
      </c>
      <c r="H138" s="617">
        <v>499299.12220300001</v>
      </c>
      <c r="I138" s="617">
        <v>515217.14907500002</v>
      </c>
      <c r="J138" s="617">
        <v>524537.57747500006</v>
      </c>
      <c r="K138" s="617">
        <v>544739.53329699999</v>
      </c>
      <c r="L138" s="617">
        <v>589455.97304800001</v>
      </c>
      <c r="M138" s="617">
        <v>585826.58188299998</v>
      </c>
      <c r="N138" s="714">
        <f t="shared" si="20"/>
        <v>2.1509458566820019</v>
      </c>
      <c r="O138" s="714">
        <f t="shared" si="19"/>
        <v>1.5809495332852508</v>
      </c>
      <c r="P138" s="714">
        <f t="shared" si="19"/>
        <v>1.4256589152388215</v>
      </c>
      <c r="Q138" s="714">
        <f t="shared" si="19"/>
        <v>1.5663245674284803</v>
      </c>
      <c r="R138" s="714">
        <f t="shared" si="19"/>
        <v>1.1970785926021394</v>
      </c>
      <c r="S138" s="714">
        <f>(M138-G138)/G138</f>
        <v>0.98037406938313176</v>
      </c>
    </row>
    <row r="139" spans="1:25" s="548" customFormat="1" ht="11">
      <c r="A139" s="546" t="s">
        <v>1038</v>
      </c>
      <c r="B139" s="617">
        <v>159536.91</v>
      </c>
      <c r="C139" s="617">
        <v>151059.89000000001</v>
      </c>
      <c r="D139" s="617">
        <v>162643.64000000001</v>
      </c>
      <c r="E139" s="617">
        <v>202671.29311</v>
      </c>
      <c r="F139" s="617">
        <v>266181.331167</v>
      </c>
      <c r="G139" s="617">
        <v>255316.794395</v>
      </c>
      <c r="H139" s="617">
        <v>417425.82367200003</v>
      </c>
      <c r="I139" s="617">
        <v>437235.08830599999</v>
      </c>
      <c r="J139" s="617">
        <v>491477.98757400003</v>
      </c>
      <c r="K139" s="617">
        <v>511159.72783400002</v>
      </c>
      <c r="L139" s="617">
        <v>608176.10104099999</v>
      </c>
      <c r="M139" s="617">
        <v>614058.129571</v>
      </c>
      <c r="N139" s="714">
        <f t="shared" si="20"/>
        <v>1.6164843212269815</v>
      </c>
      <c r="O139" s="714">
        <f t="shared" si="19"/>
        <v>1.8944486078071416</v>
      </c>
      <c r="P139" s="714">
        <f t="shared" si="19"/>
        <v>2.0218088304836264</v>
      </c>
      <c r="Q139" s="714">
        <f t="shared" si="19"/>
        <v>1.5221121353213438</v>
      </c>
      <c r="R139" s="714">
        <f t="shared" si="19"/>
        <v>1.2848187676221188</v>
      </c>
      <c r="S139" s="714">
        <f>(M139-G139)/G139</f>
        <v>1.4050831870503284</v>
      </c>
    </row>
    <row r="140" spans="1:25" s="548" customFormat="1" ht="11">
      <c r="A140" s="546" t="s">
        <v>1058</v>
      </c>
      <c r="B140" s="617">
        <v>181808.71584095</v>
      </c>
      <c r="C140" s="617">
        <v>196464.94199565001</v>
      </c>
      <c r="D140" s="617">
        <v>203672.77637510002</v>
      </c>
      <c r="E140" s="617">
        <v>201339.98128599999</v>
      </c>
      <c r="F140" s="617">
        <v>262432.68446700001</v>
      </c>
      <c r="G140" s="617">
        <v>250555.75505000001</v>
      </c>
      <c r="H140" s="617">
        <v>329491.16599100002</v>
      </c>
      <c r="I140" s="617">
        <v>351147.53929599997</v>
      </c>
      <c r="J140" s="617">
        <v>373551.11549400003</v>
      </c>
      <c r="K140" s="617">
        <v>415433.94730699999</v>
      </c>
      <c r="L140" s="617">
        <v>484645.87532799999</v>
      </c>
      <c r="M140" s="617"/>
      <c r="N140" s="714">
        <f t="shared" si="20"/>
        <v>0.81229576627803513</v>
      </c>
      <c r="O140" s="714">
        <f t="shared" si="19"/>
        <v>0.78732925950613031</v>
      </c>
      <c r="P140" s="714">
        <f t="shared" si="19"/>
        <v>0.83407484368965701</v>
      </c>
      <c r="Q140" s="714">
        <f t="shared" si="19"/>
        <v>1.0633455146540576</v>
      </c>
      <c r="R140" s="714">
        <f t="shared" si="19"/>
        <v>0.84674358040544495</v>
      </c>
      <c r="S140" s="714"/>
    </row>
    <row r="141" spans="1:25" s="548" customFormat="1" ht="11">
      <c r="A141" s="546" t="s">
        <v>1036</v>
      </c>
      <c r="B141" s="617">
        <v>302603.95281249401</v>
      </c>
      <c r="C141" s="617">
        <v>293897.48925659899</v>
      </c>
      <c r="D141" s="617">
        <v>282919.112693</v>
      </c>
      <c r="E141" s="617">
        <v>278467.07698299998</v>
      </c>
      <c r="F141" s="617">
        <v>301493.26179199998</v>
      </c>
      <c r="G141" s="617">
        <v>273881.279461</v>
      </c>
      <c r="H141" s="617">
        <v>266474.75897999998</v>
      </c>
      <c r="I141" s="617">
        <v>269952.46395300003</v>
      </c>
      <c r="J141" s="617">
        <v>278760.96075000003</v>
      </c>
      <c r="K141" s="617">
        <v>290040.10369000002</v>
      </c>
      <c r="L141" s="617">
        <v>329429.85453200003</v>
      </c>
      <c r="M141" s="617"/>
      <c r="N141" s="714">
        <f t="shared" si="20"/>
        <v>-0.11939432217159826</v>
      </c>
      <c r="O141" s="714">
        <f t="shared" si="19"/>
        <v>-8.1474072351440857E-2</v>
      </c>
      <c r="P141" s="714">
        <f t="shared" si="19"/>
        <v>-1.469731720639196E-2</v>
      </c>
      <c r="Q141" s="714">
        <f t="shared" si="19"/>
        <v>4.1559766534650551E-2</v>
      </c>
      <c r="R141" s="714">
        <f t="shared" si="19"/>
        <v>9.2660753258470799E-2</v>
      </c>
      <c r="S141" s="714"/>
    </row>
    <row r="142" spans="1:25" s="548" customFormat="1" ht="11">
      <c r="A142" s="546" t="s">
        <v>1059</v>
      </c>
      <c r="B142" s="617">
        <v>139207.102255203</v>
      </c>
      <c r="C142" s="617">
        <v>142590.32777471899</v>
      </c>
      <c r="D142" s="617">
        <v>135156.06885899999</v>
      </c>
      <c r="E142" s="617">
        <v>156704.34242500001</v>
      </c>
      <c r="F142" s="617">
        <v>201373.83379100001</v>
      </c>
      <c r="G142" s="617">
        <v>230528.91876999999</v>
      </c>
      <c r="H142" s="617">
        <v>220537.00500800001</v>
      </c>
      <c r="I142" s="617">
        <v>204554.12848799999</v>
      </c>
      <c r="J142" s="617">
        <v>199213.58324400001</v>
      </c>
      <c r="K142" s="617">
        <v>209977.54060899999</v>
      </c>
      <c r="L142" s="617"/>
      <c r="M142" s="617"/>
      <c r="N142" s="714">
        <f t="shared" si="20"/>
        <v>0.58423673386791741</v>
      </c>
      <c r="O142" s="714">
        <f t="shared" si="19"/>
        <v>0.43455823182606551</v>
      </c>
      <c r="P142" s="714">
        <f t="shared" si="19"/>
        <v>0.47395218672590483</v>
      </c>
      <c r="Q142" s="714">
        <f t="shared" si="19"/>
        <v>0.33995993575925931</v>
      </c>
      <c r="R142" s="714"/>
      <c r="S142" s="714"/>
    </row>
    <row r="143" spans="1:25">
      <c r="A143" s="544" t="s">
        <v>1061</v>
      </c>
      <c r="M143" s="54"/>
      <c r="N143" s="54"/>
      <c r="O143" s="54"/>
      <c r="P143" s="54"/>
      <c r="Q143" s="54"/>
      <c r="R143" s="54"/>
      <c r="S143" s="54"/>
    </row>
    <row r="180" spans="3:3">
      <c r="C180" s="263" t="s">
        <v>1292</v>
      </c>
    </row>
  </sheetData>
  <mergeCells count="342">
    <mergeCell ref="A1:M1"/>
    <mergeCell ref="N1:P1"/>
    <mergeCell ref="R1:X1"/>
    <mergeCell ref="A13:C13"/>
    <mergeCell ref="A21:M21"/>
    <mergeCell ref="N21:P21"/>
    <mergeCell ref="A34:H34"/>
    <mergeCell ref="A49:R49"/>
    <mergeCell ref="A50:A51"/>
    <mergeCell ref="B50:I50"/>
    <mergeCell ref="K50:R50"/>
    <mergeCell ref="C51:D51"/>
    <mergeCell ref="E51:F51"/>
    <mergeCell ref="G51:H51"/>
    <mergeCell ref="L51:M51"/>
    <mergeCell ref="N51:O51"/>
    <mergeCell ref="C53:D53"/>
    <mergeCell ref="E53:F53"/>
    <mergeCell ref="G53:H53"/>
    <mergeCell ref="L53:M53"/>
    <mergeCell ref="N53:O53"/>
    <mergeCell ref="P53:Q53"/>
    <mergeCell ref="P51:Q51"/>
    <mergeCell ref="C52:D52"/>
    <mergeCell ref="E52:F52"/>
    <mergeCell ref="G52:H52"/>
    <mergeCell ref="L52:M52"/>
    <mergeCell ref="N52:O52"/>
    <mergeCell ref="P52:Q52"/>
    <mergeCell ref="C55:D55"/>
    <mergeCell ref="E55:F55"/>
    <mergeCell ref="G55:H55"/>
    <mergeCell ref="L55:M55"/>
    <mergeCell ref="N55:O55"/>
    <mergeCell ref="P55:Q55"/>
    <mergeCell ref="C54:D54"/>
    <mergeCell ref="E54:F54"/>
    <mergeCell ref="G54:H54"/>
    <mergeCell ref="L54:M54"/>
    <mergeCell ref="N54:O54"/>
    <mergeCell ref="P54:Q54"/>
    <mergeCell ref="C57:D57"/>
    <mergeCell ref="E57:F57"/>
    <mergeCell ref="G57:H57"/>
    <mergeCell ref="L57:M57"/>
    <mergeCell ref="N57:O57"/>
    <mergeCell ref="P57:Q57"/>
    <mergeCell ref="C56:D56"/>
    <mergeCell ref="E56:F56"/>
    <mergeCell ref="G56:H56"/>
    <mergeCell ref="L56:M56"/>
    <mergeCell ref="N56:O56"/>
    <mergeCell ref="P56:Q56"/>
    <mergeCell ref="C59:D59"/>
    <mergeCell ref="E59:F59"/>
    <mergeCell ref="G59:H59"/>
    <mergeCell ref="L59:M59"/>
    <mergeCell ref="N59:O59"/>
    <mergeCell ref="P59:Q59"/>
    <mergeCell ref="C58:D58"/>
    <mergeCell ref="E58:F58"/>
    <mergeCell ref="G58:H58"/>
    <mergeCell ref="L58:M58"/>
    <mergeCell ref="N58:O58"/>
    <mergeCell ref="P58:Q58"/>
    <mergeCell ref="C61:D61"/>
    <mergeCell ref="E61:F61"/>
    <mergeCell ref="G61:H61"/>
    <mergeCell ref="L61:M61"/>
    <mergeCell ref="N61:O61"/>
    <mergeCell ref="P61:Q61"/>
    <mergeCell ref="C60:D60"/>
    <mergeCell ref="E60:F60"/>
    <mergeCell ref="G60:H60"/>
    <mergeCell ref="L60:M60"/>
    <mergeCell ref="N60:O60"/>
    <mergeCell ref="P60:Q60"/>
    <mergeCell ref="C63:D63"/>
    <mergeCell ref="E63:F63"/>
    <mergeCell ref="G63:H63"/>
    <mergeCell ref="L63:M63"/>
    <mergeCell ref="N63:O63"/>
    <mergeCell ref="P63:Q63"/>
    <mergeCell ref="C62:D62"/>
    <mergeCell ref="E62:F62"/>
    <mergeCell ref="G62:H62"/>
    <mergeCell ref="L62:M62"/>
    <mergeCell ref="N62:O62"/>
    <mergeCell ref="P62:Q62"/>
    <mergeCell ref="C65:D65"/>
    <mergeCell ref="E65:F65"/>
    <mergeCell ref="G65:H65"/>
    <mergeCell ref="L65:M65"/>
    <mergeCell ref="N65:O65"/>
    <mergeCell ref="P65:Q65"/>
    <mergeCell ref="C64:D64"/>
    <mergeCell ref="E64:F64"/>
    <mergeCell ref="G64:H64"/>
    <mergeCell ref="L64:M64"/>
    <mergeCell ref="N64:O64"/>
    <mergeCell ref="P64:Q64"/>
    <mergeCell ref="C67:D67"/>
    <mergeCell ref="E67:F67"/>
    <mergeCell ref="G67:H67"/>
    <mergeCell ref="L67:M67"/>
    <mergeCell ref="N67:O67"/>
    <mergeCell ref="P67:Q67"/>
    <mergeCell ref="C66:D66"/>
    <mergeCell ref="E66:F66"/>
    <mergeCell ref="G66:H66"/>
    <mergeCell ref="L66:M66"/>
    <mergeCell ref="N66:O66"/>
    <mergeCell ref="P66:Q66"/>
    <mergeCell ref="C69:D69"/>
    <mergeCell ref="E69:F69"/>
    <mergeCell ref="G69:H69"/>
    <mergeCell ref="L69:M69"/>
    <mergeCell ref="N69:O69"/>
    <mergeCell ref="P69:Q69"/>
    <mergeCell ref="C68:D68"/>
    <mergeCell ref="E68:F68"/>
    <mergeCell ref="G68:H68"/>
    <mergeCell ref="L68:M68"/>
    <mergeCell ref="N68:O68"/>
    <mergeCell ref="P68:Q68"/>
    <mergeCell ref="C71:D71"/>
    <mergeCell ref="E71:F71"/>
    <mergeCell ref="G71:H71"/>
    <mergeCell ref="L71:M71"/>
    <mergeCell ref="N71:O71"/>
    <mergeCell ref="P71:Q71"/>
    <mergeCell ref="C70:D70"/>
    <mergeCell ref="E70:F70"/>
    <mergeCell ref="G70:H70"/>
    <mergeCell ref="L70:M70"/>
    <mergeCell ref="N70:O70"/>
    <mergeCell ref="P70:Q70"/>
    <mergeCell ref="A74:R74"/>
    <mergeCell ref="A75:A76"/>
    <mergeCell ref="B75:I75"/>
    <mergeCell ref="K75:R75"/>
    <mergeCell ref="C76:D76"/>
    <mergeCell ref="E76:F76"/>
    <mergeCell ref="G76:H76"/>
    <mergeCell ref="L76:M76"/>
    <mergeCell ref="N76:O76"/>
    <mergeCell ref="P76:Q76"/>
    <mergeCell ref="C78:D78"/>
    <mergeCell ref="E78:F78"/>
    <mergeCell ref="G78:H78"/>
    <mergeCell ref="L78:M78"/>
    <mergeCell ref="N78:O78"/>
    <mergeCell ref="P78:Q78"/>
    <mergeCell ref="C77:D77"/>
    <mergeCell ref="E77:F77"/>
    <mergeCell ref="G77:H77"/>
    <mergeCell ref="L77:M77"/>
    <mergeCell ref="N77:O77"/>
    <mergeCell ref="P77:Q77"/>
    <mergeCell ref="C80:D80"/>
    <mergeCell ref="E80:F80"/>
    <mergeCell ref="G80:H80"/>
    <mergeCell ref="L80:M80"/>
    <mergeCell ref="N80:O80"/>
    <mergeCell ref="P80:Q80"/>
    <mergeCell ref="C79:D79"/>
    <mergeCell ref="E79:F79"/>
    <mergeCell ref="G79:H79"/>
    <mergeCell ref="L79:M79"/>
    <mergeCell ref="N79:O79"/>
    <mergeCell ref="P79:Q79"/>
    <mergeCell ref="C82:D82"/>
    <mergeCell ref="E82:F82"/>
    <mergeCell ref="G82:H82"/>
    <mergeCell ref="L82:M82"/>
    <mergeCell ref="N82:O82"/>
    <mergeCell ref="P82:Q82"/>
    <mergeCell ref="C81:D81"/>
    <mergeCell ref="E81:F81"/>
    <mergeCell ref="G81:H81"/>
    <mergeCell ref="L81:M81"/>
    <mergeCell ref="N81:O81"/>
    <mergeCell ref="P81:Q81"/>
    <mergeCell ref="C84:D84"/>
    <mergeCell ref="E84:F84"/>
    <mergeCell ref="G84:H84"/>
    <mergeCell ref="L84:M84"/>
    <mergeCell ref="N84:O84"/>
    <mergeCell ref="P84:Q84"/>
    <mergeCell ref="C83:D83"/>
    <mergeCell ref="E83:F83"/>
    <mergeCell ref="G83:H83"/>
    <mergeCell ref="L83:M83"/>
    <mergeCell ref="N83:O83"/>
    <mergeCell ref="P83:Q83"/>
    <mergeCell ref="C86:D86"/>
    <mergeCell ref="E86:F86"/>
    <mergeCell ref="G86:H86"/>
    <mergeCell ref="L86:M86"/>
    <mergeCell ref="N86:O86"/>
    <mergeCell ref="P86:Q86"/>
    <mergeCell ref="C85:D85"/>
    <mergeCell ref="E85:F85"/>
    <mergeCell ref="G85:H85"/>
    <mergeCell ref="L85:M85"/>
    <mergeCell ref="N85:O85"/>
    <mergeCell ref="P85:Q85"/>
    <mergeCell ref="C88:D88"/>
    <mergeCell ref="E88:F88"/>
    <mergeCell ref="G88:H88"/>
    <mergeCell ref="L88:M88"/>
    <mergeCell ref="N88:O88"/>
    <mergeCell ref="P88:Q88"/>
    <mergeCell ref="C87:D87"/>
    <mergeCell ref="E87:F87"/>
    <mergeCell ref="G87:H87"/>
    <mergeCell ref="L87:M87"/>
    <mergeCell ref="N87:O87"/>
    <mergeCell ref="P87:Q87"/>
    <mergeCell ref="C90:D90"/>
    <mergeCell ref="E90:F90"/>
    <mergeCell ref="G90:H90"/>
    <mergeCell ref="L90:M90"/>
    <mergeCell ref="N90:O90"/>
    <mergeCell ref="P90:Q90"/>
    <mergeCell ref="C89:D89"/>
    <mergeCell ref="E89:F89"/>
    <mergeCell ref="G89:H89"/>
    <mergeCell ref="L89:M89"/>
    <mergeCell ref="N89:O89"/>
    <mergeCell ref="P89:Q89"/>
    <mergeCell ref="C92:D92"/>
    <mergeCell ref="E92:F92"/>
    <mergeCell ref="G92:H92"/>
    <mergeCell ref="L92:M92"/>
    <mergeCell ref="N92:O92"/>
    <mergeCell ref="P92:Q92"/>
    <mergeCell ref="C91:D91"/>
    <mergeCell ref="E91:F91"/>
    <mergeCell ref="G91:H91"/>
    <mergeCell ref="L91:M91"/>
    <mergeCell ref="N91:O91"/>
    <mergeCell ref="P91:Q91"/>
    <mergeCell ref="C94:D94"/>
    <mergeCell ref="E94:F94"/>
    <mergeCell ref="G94:H94"/>
    <mergeCell ref="L94:M94"/>
    <mergeCell ref="N94:O94"/>
    <mergeCell ref="P94:Q94"/>
    <mergeCell ref="C93:D93"/>
    <mergeCell ref="E93:F93"/>
    <mergeCell ref="G93:H93"/>
    <mergeCell ref="L93:M93"/>
    <mergeCell ref="N93:O93"/>
    <mergeCell ref="P93:Q93"/>
    <mergeCell ref="L96:M96"/>
    <mergeCell ref="N96:O96"/>
    <mergeCell ref="P96:Q96"/>
    <mergeCell ref="C95:D95"/>
    <mergeCell ref="E95:F95"/>
    <mergeCell ref="G95:H95"/>
    <mergeCell ref="L95:M95"/>
    <mergeCell ref="N95:O95"/>
    <mergeCell ref="P95:Q95"/>
    <mergeCell ref="A99:I99"/>
    <mergeCell ref="A100:A101"/>
    <mergeCell ref="B100:I100"/>
    <mergeCell ref="C101:D101"/>
    <mergeCell ref="E101:F101"/>
    <mergeCell ref="G101:H101"/>
    <mergeCell ref="C96:D96"/>
    <mergeCell ref="E96:F96"/>
    <mergeCell ref="G96:H96"/>
    <mergeCell ref="C104:D104"/>
    <mergeCell ref="E104:F104"/>
    <mergeCell ref="G104:H104"/>
    <mergeCell ref="C105:D105"/>
    <mergeCell ref="E105:F105"/>
    <mergeCell ref="G105:H105"/>
    <mergeCell ref="C102:D102"/>
    <mergeCell ref="E102:F102"/>
    <mergeCell ref="G102:H102"/>
    <mergeCell ref="C103:D103"/>
    <mergeCell ref="E103:F103"/>
    <mergeCell ref="G103:H103"/>
    <mergeCell ref="C108:D108"/>
    <mergeCell ref="E108:F108"/>
    <mergeCell ref="G108:H108"/>
    <mergeCell ref="C109:D109"/>
    <mergeCell ref="E109:F109"/>
    <mergeCell ref="G109:H109"/>
    <mergeCell ref="C106:D106"/>
    <mergeCell ref="E106:F106"/>
    <mergeCell ref="G106:H106"/>
    <mergeCell ref="C107:D107"/>
    <mergeCell ref="E107:F107"/>
    <mergeCell ref="G107:H107"/>
    <mergeCell ref="C112:D112"/>
    <mergeCell ref="E112:F112"/>
    <mergeCell ref="G112:H112"/>
    <mergeCell ref="C113:D113"/>
    <mergeCell ref="E113:F113"/>
    <mergeCell ref="G113:H113"/>
    <mergeCell ref="C110:D110"/>
    <mergeCell ref="E110:F110"/>
    <mergeCell ref="G110:H110"/>
    <mergeCell ref="C111:D111"/>
    <mergeCell ref="E111:F111"/>
    <mergeCell ref="G111:H111"/>
    <mergeCell ref="C116:D116"/>
    <mergeCell ref="E116:F116"/>
    <mergeCell ref="G116:H116"/>
    <mergeCell ref="C117:D117"/>
    <mergeCell ref="E117:F117"/>
    <mergeCell ref="G117:H117"/>
    <mergeCell ref="C114:D114"/>
    <mergeCell ref="E114:F114"/>
    <mergeCell ref="G114:H114"/>
    <mergeCell ref="C115:D115"/>
    <mergeCell ref="E115:F115"/>
    <mergeCell ref="G115:H115"/>
    <mergeCell ref="C120:D120"/>
    <mergeCell ref="E120:F120"/>
    <mergeCell ref="G120:H120"/>
    <mergeCell ref="C121:D121"/>
    <mergeCell ref="E121:F121"/>
    <mergeCell ref="G121:H121"/>
    <mergeCell ref="C118:D118"/>
    <mergeCell ref="E118:F118"/>
    <mergeCell ref="G118:H118"/>
    <mergeCell ref="C119:D119"/>
    <mergeCell ref="E119:F119"/>
    <mergeCell ref="G119:H119"/>
    <mergeCell ref="H128:I128"/>
    <mergeCell ref="H129:I129"/>
    <mergeCell ref="A126:A127"/>
    <mergeCell ref="B126:C126"/>
    <mergeCell ref="D126:E126"/>
    <mergeCell ref="H126:L126"/>
    <mergeCell ref="O126:O127"/>
    <mergeCell ref="P126:R126"/>
    <mergeCell ref="H127:I127"/>
  </mergeCells>
  <pageMargins left="0.25" right="0.25" top="0" bottom="0" header="0.3" footer="0.3"/>
  <pageSetup scale="25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3" tint="0.39997558519241921"/>
    <pageSetUpPr fitToPage="1"/>
  </sheetPr>
  <dimension ref="A1:T131"/>
  <sheetViews>
    <sheetView workbookViewId="0">
      <pane ySplit="2" topLeftCell="A3" activePane="bottomLeft" state="frozen"/>
      <selection pane="bottomLeft" sqref="A1:K1"/>
    </sheetView>
  </sheetViews>
  <sheetFormatPr baseColWidth="10" defaultColWidth="8.83203125" defaultRowHeight="12" x14ac:dyDescent="0"/>
  <cols>
    <col min="1" max="1" width="15.6640625" bestFit="1" customWidth="1"/>
    <col min="2" max="2" width="11" customWidth="1"/>
    <col min="3" max="3" width="10.1640625" customWidth="1"/>
    <col min="4" max="4" width="9.6640625" customWidth="1"/>
    <col min="5" max="5" width="11" customWidth="1"/>
    <col min="6" max="6" width="10.6640625" customWidth="1"/>
    <col min="7" max="7" width="11.1640625" customWidth="1"/>
    <col min="8" max="8" width="11.33203125" customWidth="1"/>
    <col min="9" max="9" width="12.83203125" bestFit="1" customWidth="1"/>
    <col min="10" max="10" width="11.83203125" bestFit="1" customWidth="1"/>
    <col min="11" max="11" width="8.33203125" customWidth="1"/>
    <col min="12" max="12" width="13.5" style="73" hidden="1" customWidth="1"/>
    <col min="13" max="14" width="12.33203125" hidden="1" customWidth="1"/>
    <col min="15" max="15" width="11.33203125" hidden="1" customWidth="1"/>
    <col min="16" max="16" width="9.5" hidden="1" customWidth="1"/>
    <col min="18" max="18" width="0" hidden="1" customWidth="1"/>
    <col min="19" max="19" width="11.33203125" hidden="1" customWidth="1"/>
    <col min="20" max="20" width="11.33203125" bestFit="1" customWidth="1"/>
  </cols>
  <sheetData>
    <row r="1" spans="1:20" ht="14" thickBot="1">
      <c r="A1" s="942" t="s">
        <v>987</v>
      </c>
      <c r="B1" s="943"/>
      <c r="C1" s="943"/>
      <c r="D1" s="943"/>
      <c r="E1" s="943"/>
      <c r="F1" s="943"/>
      <c r="G1" s="943"/>
      <c r="H1" s="943"/>
      <c r="I1" s="943"/>
      <c r="J1" s="943"/>
      <c r="K1" s="944"/>
      <c r="L1" s="249"/>
      <c r="M1" s="942" t="s">
        <v>724</v>
      </c>
      <c r="N1" s="943"/>
      <c r="O1" s="943"/>
      <c r="P1" s="944"/>
    </row>
    <row r="2" spans="1:20" ht="42.75" customHeight="1" thickBot="1">
      <c r="A2" s="65" t="s">
        <v>0</v>
      </c>
      <c r="B2" s="66" t="s">
        <v>1</v>
      </c>
      <c r="C2" s="66" t="s">
        <v>2</v>
      </c>
      <c r="D2" s="66" t="s">
        <v>3</v>
      </c>
      <c r="E2" s="66" t="s">
        <v>4</v>
      </c>
      <c r="F2" s="66" t="s">
        <v>5</v>
      </c>
      <c r="G2" s="66" t="s">
        <v>6</v>
      </c>
      <c r="H2" s="68" t="s">
        <v>7</v>
      </c>
      <c r="I2" s="95" t="s">
        <v>82</v>
      </c>
      <c r="J2" s="66" t="s">
        <v>80</v>
      </c>
      <c r="K2" s="67" t="s">
        <v>81</v>
      </c>
      <c r="L2" s="250" t="s">
        <v>733</v>
      </c>
      <c r="M2" s="138" t="s">
        <v>730</v>
      </c>
      <c r="N2" s="139" t="s">
        <v>731</v>
      </c>
      <c r="O2" s="139" t="s">
        <v>732</v>
      </c>
      <c r="P2" s="140" t="s">
        <v>734</v>
      </c>
    </row>
    <row r="3" spans="1:20" ht="13">
      <c r="A3" s="57" t="s">
        <v>8</v>
      </c>
      <c r="B3" s="58"/>
      <c r="C3" s="58"/>
      <c r="D3" s="58"/>
      <c r="E3" s="59"/>
      <c r="F3" s="60"/>
      <c r="G3" s="61"/>
      <c r="H3" s="62"/>
      <c r="I3" s="70"/>
      <c r="J3" s="63"/>
      <c r="K3" s="108"/>
      <c r="L3" s="251"/>
      <c r="M3" s="75"/>
      <c r="N3" s="76"/>
      <c r="O3" s="76"/>
      <c r="P3" s="77"/>
    </row>
    <row r="4" spans="1:20">
      <c r="A4" s="211" t="s">
        <v>9</v>
      </c>
      <c r="B4" s="215">
        <f>'IODA iTunes data'!B116</f>
        <v>365707.10651800002</v>
      </c>
      <c r="C4" s="216">
        <f>'IODA iTunes data'!H116</f>
        <v>465307.237349</v>
      </c>
      <c r="D4" s="216">
        <f>'IODA iTunes data'!N116</f>
        <v>0</v>
      </c>
      <c r="E4" s="216">
        <f>'IODA iTunes data'!T116</f>
        <v>0</v>
      </c>
      <c r="F4" s="216">
        <f>'IODA iTunes data'!Z116</f>
        <v>0</v>
      </c>
      <c r="G4" s="216">
        <f>SUM(B4:F4)</f>
        <v>831014.34386699996</v>
      </c>
      <c r="H4" s="217">
        <f>IFERROR((((B4+C4+D4+E4+F4))/COUNTIF(B4:F4, "&gt;0")*4),0)</f>
        <v>1662028.6877339999</v>
      </c>
      <c r="I4" s="302">
        <f>SUM(I5:I7)</f>
        <v>2095573.0249192272</v>
      </c>
      <c r="J4" s="219">
        <f>H4-I4</f>
        <v>-433544.33718522731</v>
      </c>
      <c r="K4" s="220">
        <f t="shared" ref="K4:K81" si="0">J4/I4</f>
        <v>-0.20688581692443672</v>
      </c>
      <c r="L4" s="258">
        <v>3320220.9519635891</v>
      </c>
      <c r="M4" s="218">
        <f>L4+H4</f>
        <v>4982249.639697589</v>
      </c>
      <c r="N4" s="218">
        <f>SUM(N5:N7)</f>
        <v>5093346.1636483194</v>
      </c>
      <c r="O4" s="219">
        <f>M4-N4</f>
        <v>-111096.52395073045</v>
      </c>
      <c r="P4" s="220">
        <f t="shared" ref="P4:P81" si="1">O4/N4</f>
        <v>-2.1812089809178214E-2</v>
      </c>
      <c r="R4">
        <v>0.55516208487524987</v>
      </c>
      <c r="S4">
        <f>R4*$S$127</f>
        <v>2040056.816431703</v>
      </c>
      <c r="T4" s="104"/>
    </row>
    <row r="5" spans="1:20" s="3" customFormat="1">
      <c r="A5" s="240" t="s">
        <v>199</v>
      </c>
      <c r="B5" s="234">
        <f>VLOOKUP($A5,'IODA iTunes data'!$A$138:$Z$249,2,FALSE)</f>
        <v>313550.95</v>
      </c>
      <c r="C5" s="234">
        <f>VLOOKUP($A5,'IODA iTunes data'!$A$138:$Z$249,8,FALSE)</f>
        <v>398129.06</v>
      </c>
      <c r="D5" s="234">
        <f>VLOOKUP($A5,'IODA iTunes data'!$A$138:$Z$249,14,FALSE)</f>
        <v>0</v>
      </c>
      <c r="E5" s="234">
        <f>VLOOKUP($A5,'IODA iTunes data'!$A$138:$Z$249,20,FALSE)</f>
        <v>0</v>
      </c>
      <c r="F5" s="234">
        <f>VLOOKUP($A5,'IODA iTunes data'!$A$138:$Z$249,26,FALSE)</f>
        <v>0</v>
      </c>
      <c r="G5" s="235">
        <f>SUM(B5:F5)</f>
        <v>711680.01</v>
      </c>
      <c r="H5" s="217">
        <f t="shared" ref="H5:H68" si="2">IFERROR((((B5+C5+D5+E5+F5))/COUNTIF(B5:F5, "&gt;0")*4),0)</f>
        <v>1423360.02</v>
      </c>
      <c r="I5" s="304">
        <f>VLOOKUP($A5,[6]IODA!$D:$P,13,FALSE)</f>
        <v>1782797.2988408415</v>
      </c>
      <c r="J5" s="237">
        <f>H5-I5</f>
        <v>-359437.27884084149</v>
      </c>
      <c r="K5" s="238">
        <f t="shared" ref="K5" si="3">J5/I5</f>
        <v>-0.20161421552217088</v>
      </c>
      <c r="L5" s="259">
        <v>2837054.886390463</v>
      </c>
      <c r="M5" s="236">
        <f t="shared" ref="M5:M68" si="4">L5+H5</f>
        <v>4260414.906390463</v>
      </c>
      <c r="N5" s="236">
        <f>4401951.99428771-80888.6538581233</f>
        <v>4321063.3404295864</v>
      </c>
      <c r="O5" s="237">
        <f>M5-N5</f>
        <v>-60648.434039123356</v>
      </c>
      <c r="P5" s="238">
        <f>O5/N5</f>
        <v>-1.4035534603640844E-2</v>
      </c>
      <c r="R5" s="208"/>
      <c r="S5" s="154"/>
      <c r="T5" s="104"/>
    </row>
    <row r="6" spans="1:20" s="3" customFormat="1">
      <c r="A6" s="240" t="s">
        <v>36</v>
      </c>
      <c r="B6" s="234">
        <f>VLOOKUP($A6,'IODA iTunes data'!$A$138:$Z$249,2,FALSE)</f>
        <v>41832.423427000002</v>
      </c>
      <c r="C6" s="234">
        <f>VLOOKUP($A6,'IODA iTunes data'!$A$138:$Z$249,8,FALSE)</f>
        <v>48761.307674999996</v>
      </c>
      <c r="D6" s="234">
        <f>VLOOKUP($A6,'IODA iTunes data'!$A$138:$Z$249,14,FALSE)</f>
        <v>0</v>
      </c>
      <c r="E6" s="234">
        <f>VLOOKUP($A6,'IODA iTunes data'!$A$138:$Z$249,20,FALSE)</f>
        <v>0</v>
      </c>
      <c r="F6" s="234">
        <f>VLOOKUP($A6,'IODA iTunes data'!$A$138:$Z$249,26,FALSE)</f>
        <v>0</v>
      </c>
      <c r="G6" s="235">
        <f t="shared" ref="G6:G7" si="5">SUM(B6:F6)</f>
        <v>90593.731101999991</v>
      </c>
      <c r="H6" s="217">
        <f t="shared" si="2"/>
        <v>181187.46220399998</v>
      </c>
      <c r="I6" s="304">
        <f>VLOOKUP($A6,[6]IODA!$D:$P,13,FALSE)</f>
        <v>251137.934419417</v>
      </c>
      <c r="J6" s="237">
        <f t="shared" ref="J6:J7" si="6">H6-I6</f>
        <v>-69950.472215417016</v>
      </c>
      <c r="K6" s="238">
        <f t="shared" ref="K6:K7" si="7">J6/I6</f>
        <v>-0.27853407481880094</v>
      </c>
      <c r="L6" s="259">
        <v>383139.94649019826</v>
      </c>
      <c r="M6" s="236">
        <f t="shared" si="4"/>
        <v>564327.40869419824</v>
      </c>
      <c r="N6" s="236">
        <v>620091.32052064128</v>
      </c>
      <c r="O6" s="237">
        <f t="shared" ref="O6:O69" si="8">M6-N6</f>
        <v>-55763.911826443044</v>
      </c>
      <c r="P6" s="238">
        <f t="shared" si="1"/>
        <v>-8.9928547588156091E-2</v>
      </c>
      <c r="R6" s="208"/>
      <c r="S6" s="154"/>
      <c r="T6" s="104"/>
    </row>
    <row r="7" spans="1:20" s="3" customFormat="1">
      <c r="A7" s="240" t="s">
        <v>73</v>
      </c>
      <c r="B7" s="234">
        <f>VLOOKUP($A7,'IODA iTunes data'!$A$138:$Z$249,2,FALSE)</f>
        <v>10323.733091</v>
      </c>
      <c r="C7" s="234">
        <f>VLOOKUP($A7,'IODA iTunes data'!$A$138:$Z$249,8,FALSE)</f>
        <v>18416.869674000001</v>
      </c>
      <c r="D7" s="234">
        <f>VLOOKUP($A7,'IODA iTunes data'!$A$138:$Z$249,14,FALSE)</f>
        <v>0</v>
      </c>
      <c r="E7" s="234">
        <f>VLOOKUP($A7,'IODA iTunes data'!$A$138:$Z$249,20,FALSE)</f>
        <v>0</v>
      </c>
      <c r="F7" s="234">
        <f>VLOOKUP($A7,'IODA iTunes data'!$A$138:$Z$249,26,FALSE)</f>
        <v>0</v>
      </c>
      <c r="G7" s="235">
        <f t="shared" si="5"/>
        <v>28740.602765000003</v>
      </c>
      <c r="H7" s="217">
        <f t="shared" si="2"/>
        <v>57481.205530000007</v>
      </c>
      <c r="I7" s="304">
        <f>VLOOKUP($A7,[6]IODA!$D:$P,13,FALSE)</f>
        <v>61637.791658968599</v>
      </c>
      <c r="J7" s="237">
        <f t="shared" si="6"/>
        <v>-4156.5861289685927</v>
      </c>
      <c r="K7" s="238">
        <f t="shared" si="7"/>
        <v>-6.7435675696596586E-2</v>
      </c>
      <c r="L7" s="259">
        <v>100026.1190829277</v>
      </c>
      <c r="M7" s="236">
        <f t="shared" si="4"/>
        <v>157507.32461292771</v>
      </c>
      <c r="N7" s="236">
        <v>152191.50269809223</v>
      </c>
      <c r="O7" s="237">
        <f t="shared" si="8"/>
        <v>5315.8219148354838</v>
      </c>
      <c r="P7" s="238">
        <f t="shared" si="1"/>
        <v>3.4928506655070433E-2</v>
      </c>
      <c r="R7" s="208"/>
      <c r="S7" s="154"/>
      <c r="T7" s="104"/>
    </row>
    <row r="8" spans="1:20">
      <c r="A8" s="211" t="s">
        <v>72</v>
      </c>
      <c r="B8" s="215">
        <f>'IODA iTunes data'!B118</f>
        <v>75879.419743999999</v>
      </c>
      <c r="C8" s="215">
        <f>'IODA iTunes data'!H118</f>
        <v>86246.171231999993</v>
      </c>
      <c r="D8" s="215">
        <f>'IODA iTunes data'!N118</f>
        <v>0</v>
      </c>
      <c r="E8" s="215">
        <f>'IODA iTunes data'!T118</f>
        <v>0</v>
      </c>
      <c r="F8" s="215">
        <f>'IODA iTunes data'!Z118</f>
        <v>0</v>
      </c>
      <c r="G8" s="216">
        <f t="shared" ref="G8:G30" si="9">SUM(B8:F8)</f>
        <v>162125.59097600001</v>
      </c>
      <c r="H8" s="217">
        <f t="shared" si="2"/>
        <v>324251.18195200001</v>
      </c>
      <c r="I8" s="302">
        <f>VLOOKUP($A8,[6]IODA!$D:$P,13,FALSE)</f>
        <v>444665.11838920048</v>
      </c>
      <c r="J8" s="219">
        <f t="shared" ref="J8:J71" si="10">H8-I8</f>
        <v>-120413.93643720046</v>
      </c>
      <c r="K8" s="220">
        <f t="shared" si="0"/>
        <v>-0.27079690188742483</v>
      </c>
      <c r="L8" s="258">
        <v>722563.73550003779</v>
      </c>
      <c r="M8" s="218">
        <f t="shared" si="4"/>
        <v>1046814.9174520378</v>
      </c>
      <c r="N8" s="218">
        <v>1097934.4123732988</v>
      </c>
      <c r="O8" s="219">
        <f t="shared" si="8"/>
        <v>-51119.494921260979</v>
      </c>
      <c r="P8" s="220">
        <f t="shared" si="1"/>
        <v>-4.6559698234397172E-2</v>
      </c>
      <c r="R8">
        <v>0.11780129409031856</v>
      </c>
      <c r="S8">
        <f>R8*$S$127</f>
        <v>432884.98898016877</v>
      </c>
      <c r="T8" s="104"/>
    </row>
    <row r="9" spans="1:20">
      <c r="A9" s="211" t="s">
        <v>92</v>
      </c>
      <c r="B9" s="215">
        <f>'IODA iTunes data'!B119</f>
        <v>26567.794343999998</v>
      </c>
      <c r="C9" s="215">
        <f>'IODA iTunes data'!H119</f>
        <v>31506.939048</v>
      </c>
      <c r="D9" s="215">
        <f>'IODA iTunes data'!N119</f>
        <v>0</v>
      </c>
      <c r="E9" s="215">
        <f>'IODA iTunes data'!T119</f>
        <v>0</v>
      </c>
      <c r="F9" s="215">
        <f>'IODA iTunes data'!Z119</f>
        <v>0</v>
      </c>
      <c r="G9" s="216">
        <f t="shared" si="9"/>
        <v>58074.733391999995</v>
      </c>
      <c r="H9" s="217">
        <f t="shared" si="2"/>
        <v>116149.46678399999</v>
      </c>
      <c r="I9" s="302">
        <f>SUM(I10:I13)</f>
        <v>163930.47336591</v>
      </c>
      <c r="J9" s="219">
        <f t="shared" si="10"/>
        <v>-47781.006581910013</v>
      </c>
      <c r="K9" s="220">
        <f t="shared" si="0"/>
        <v>-0.29147116823885327</v>
      </c>
      <c r="L9" s="258">
        <v>277410.26197302341</v>
      </c>
      <c r="M9" s="218">
        <f t="shared" si="4"/>
        <v>393559.7287570234</v>
      </c>
      <c r="N9" s="218">
        <v>404765.07039066276</v>
      </c>
      <c r="O9" s="219">
        <f t="shared" si="8"/>
        <v>-11205.341633639357</v>
      </c>
      <c r="P9" s="220">
        <f t="shared" si="1"/>
        <v>-2.7683568700294266E-2</v>
      </c>
      <c r="R9">
        <v>4.342868622863337E-2</v>
      </c>
      <c r="S9">
        <f>R9*$S$127</f>
        <v>159587.60474304672</v>
      </c>
      <c r="T9" s="104"/>
    </row>
    <row r="10" spans="1:20" s="3" customFormat="1">
      <c r="A10" s="240" t="s">
        <v>39</v>
      </c>
      <c r="B10" s="234">
        <f>VLOOKUP($A10,'IODA iTunes data'!$A$138:$Z$249,2,FALSE)</f>
        <v>13433.928144</v>
      </c>
      <c r="C10" s="234">
        <f>VLOOKUP($A10,'IODA iTunes data'!$A$138:$Z$249,8,FALSE)</f>
        <v>20776.484976</v>
      </c>
      <c r="D10" s="234">
        <f>VLOOKUP($A10,'IODA iTunes data'!$A$138:$Z$249,14,FALSE)</f>
        <v>0</v>
      </c>
      <c r="E10" s="234">
        <f>VLOOKUP($A10,'IODA iTunes data'!$A$138:$Z$249,20,FALSE)</f>
        <v>0</v>
      </c>
      <c r="F10" s="234">
        <f>VLOOKUP($A10,'IODA iTunes data'!$A$138:$Z$249,26,FALSE)</f>
        <v>0</v>
      </c>
      <c r="G10" s="235">
        <f t="shared" si="9"/>
        <v>34210.413119999997</v>
      </c>
      <c r="H10" s="217">
        <f t="shared" si="2"/>
        <v>68420.826239999995</v>
      </c>
      <c r="I10" s="304">
        <f>VLOOKUP($A10,[6]IODA!$D:$P,13,FALSE)</f>
        <v>82947.351285237703</v>
      </c>
      <c r="J10" s="237">
        <f t="shared" si="10"/>
        <v>-14526.525045237708</v>
      </c>
      <c r="K10" s="238">
        <f t="shared" si="0"/>
        <v>-0.1751294624862002</v>
      </c>
      <c r="L10" s="259">
        <v>150107.71075248718</v>
      </c>
      <c r="M10" s="236">
        <f t="shared" si="4"/>
        <v>218528.53699248718</v>
      </c>
      <c r="N10" s="236">
        <v>204807.50035258642</v>
      </c>
      <c r="O10" s="237">
        <f t="shared" si="8"/>
        <v>13721.036639900762</v>
      </c>
      <c r="P10" s="238">
        <f t="shared" si="1"/>
        <v>6.6994795680232935E-2</v>
      </c>
      <c r="R10" s="208"/>
      <c r="S10" s="154"/>
      <c r="T10" s="104"/>
    </row>
    <row r="11" spans="1:20" s="3" customFormat="1">
      <c r="A11" s="240" t="s">
        <v>35</v>
      </c>
      <c r="B11" s="234">
        <f>VLOOKUP($A11,'IODA iTunes data'!$A$138:$Z$249,2,FALSE)</f>
        <v>5168.1854640000001</v>
      </c>
      <c r="C11" s="234">
        <f>VLOOKUP($A11,'IODA iTunes data'!$A$138:$Z$249,8,FALSE)</f>
        <v>4844.6502</v>
      </c>
      <c r="D11" s="234">
        <f>VLOOKUP($A11,'IODA iTunes data'!$A$138:$Z$249,14,FALSE)</f>
        <v>0</v>
      </c>
      <c r="E11" s="234">
        <f>VLOOKUP($A11,'IODA iTunes data'!$A$138:$Z$249,20,FALSE)</f>
        <v>0</v>
      </c>
      <c r="F11" s="234">
        <f>VLOOKUP($A11,'IODA iTunes data'!$A$138:$Z$249,26,FALSE)</f>
        <v>0</v>
      </c>
      <c r="G11" s="235">
        <f t="shared" si="9"/>
        <v>10012.835664</v>
      </c>
      <c r="H11" s="217">
        <f t="shared" si="2"/>
        <v>20025.671328</v>
      </c>
      <c r="I11" s="304">
        <f>VLOOKUP($A11,[6]IODA!$D:$P,13,FALSE)</f>
        <v>29472.067125549314</v>
      </c>
      <c r="J11" s="237">
        <f t="shared" si="10"/>
        <v>-9446.395797549314</v>
      </c>
      <c r="K11" s="238">
        <f t="shared" si="0"/>
        <v>-0.32052030002877674</v>
      </c>
      <c r="L11" s="259">
        <v>55187.029695808902</v>
      </c>
      <c r="M11" s="236">
        <f t="shared" si="4"/>
        <v>75212.701023808899</v>
      </c>
      <c r="N11" s="236">
        <v>72770.260950835785</v>
      </c>
      <c r="O11" s="237">
        <f t="shared" si="8"/>
        <v>2442.4400729731133</v>
      </c>
      <c r="P11" s="238">
        <f t="shared" si="1"/>
        <v>3.3563711893561117E-2</v>
      </c>
      <c r="R11" s="208"/>
      <c r="S11" s="154"/>
      <c r="T11" s="104"/>
    </row>
    <row r="12" spans="1:20" s="3" customFormat="1">
      <c r="A12" s="240" t="s">
        <v>43</v>
      </c>
      <c r="B12" s="234">
        <f>VLOOKUP($A12,'IODA iTunes data'!$A$138:$Z$249,2,FALSE)</f>
        <v>719.47324800000001</v>
      </c>
      <c r="C12" s="234">
        <f>VLOOKUP($A12,'IODA iTunes data'!$A$138:$Z$249,8,FALSE)</f>
        <v>735.71908800000006</v>
      </c>
      <c r="D12" s="234">
        <f>VLOOKUP($A12,'IODA iTunes data'!$A$138:$Z$249,14,FALSE)</f>
        <v>0</v>
      </c>
      <c r="E12" s="234">
        <f>VLOOKUP($A12,'IODA iTunes data'!$A$138:$Z$249,20,FALSE)</f>
        <v>0</v>
      </c>
      <c r="F12" s="234">
        <f>VLOOKUP($A12,'IODA iTunes data'!$A$138:$Z$249,26,FALSE)</f>
        <v>0</v>
      </c>
      <c r="G12" s="235">
        <f t="shared" si="9"/>
        <v>1455.1923360000001</v>
      </c>
      <c r="H12" s="217">
        <f t="shared" si="2"/>
        <v>2910.3846720000001</v>
      </c>
      <c r="I12" s="304">
        <f>VLOOKUP($A12,[6]IODA!$D:$P,13,FALSE)</f>
        <v>3769.0198695029103</v>
      </c>
      <c r="J12" s="237">
        <f t="shared" si="10"/>
        <v>-858.63519750291016</v>
      </c>
      <c r="K12" s="238">
        <f t="shared" si="0"/>
        <v>-0.2278139217175722</v>
      </c>
      <c r="L12" s="259">
        <v>6794.962320804595</v>
      </c>
      <c r="M12" s="236">
        <f t="shared" si="4"/>
        <v>9705.3469928045961</v>
      </c>
      <c r="N12" s="236">
        <v>9306.1867111060274</v>
      </c>
      <c r="O12" s="237">
        <f t="shared" si="8"/>
        <v>399.16028169856872</v>
      </c>
      <c r="P12" s="238">
        <f t="shared" si="1"/>
        <v>4.2891927068496254E-2</v>
      </c>
      <c r="R12" s="208"/>
      <c r="S12" s="154"/>
      <c r="T12" s="104"/>
    </row>
    <row r="13" spans="1:20" s="3" customFormat="1">
      <c r="A13" s="240" t="s">
        <v>44</v>
      </c>
      <c r="B13" s="234">
        <f>VLOOKUP($A13,'IODA iTunes data'!$A$138:$Z$249,2,FALSE)</f>
        <v>7246.207488</v>
      </c>
      <c r="C13" s="234">
        <f>VLOOKUP($A13,'IODA iTunes data'!$A$138:$Z$249,8,FALSE)</f>
        <v>5150.0847839999997</v>
      </c>
      <c r="D13" s="234">
        <f>VLOOKUP($A13,'IODA iTunes data'!$A$138:$Z$249,14,FALSE)</f>
        <v>0</v>
      </c>
      <c r="E13" s="234">
        <f>VLOOKUP($A13,'IODA iTunes data'!$A$138:$Z$249,20,FALSE)</f>
        <v>0</v>
      </c>
      <c r="F13" s="234">
        <f>VLOOKUP($A13,'IODA iTunes data'!$A$138:$Z$249,26,FALSE)</f>
        <v>0</v>
      </c>
      <c r="G13" s="235">
        <f t="shared" si="9"/>
        <v>12396.292271999999</v>
      </c>
      <c r="H13" s="217">
        <f t="shared" si="2"/>
        <v>24792.584543999998</v>
      </c>
      <c r="I13" s="304">
        <f>VLOOKUP($A13,[6]IODA!$D:$P,13,FALSE)</f>
        <v>47742.035085620075</v>
      </c>
      <c r="J13" s="237">
        <f t="shared" si="10"/>
        <v>-22949.450541620077</v>
      </c>
      <c r="K13" s="238">
        <f t="shared" si="0"/>
        <v>-0.48069694767855559</v>
      </c>
      <c r="L13" s="259">
        <v>65320.559203922741</v>
      </c>
      <c r="M13" s="236">
        <f t="shared" si="4"/>
        <v>90113.143747922732</v>
      </c>
      <c r="N13" s="236">
        <v>117881.12237613453</v>
      </c>
      <c r="O13" s="237">
        <f t="shared" si="8"/>
        <v>-27767.9786282118</v>
      </c>
      <c r="P13" s="238">
        <f t="shared" si="1"/>
        <v>-0.23555916391438711</v>
      </c>
      <c r="R13" s="208"/>
      <c r="S13" s="154"/>
      <c r="T13" s="104"/>
    </row>
    <row r="14" spans="1:20">
      <c r="A14" s="211" t="s">
        <v>85</v>
      </c>
      <c r="B14" s="215">
        <f>'IODA iTunes data'!B120</f>
        <v>27871.184015999999</v>
      </c>
      <c r="C14" s="215">
        <f>'IODA iTunes data'!H120</f>
        <v>45263.212799999994</v>
      </c>
      <c r="D14" s="215">
        <f>'IODA iTunes data'!N120</f>
        <v>0</v>
      </c>
      <c r="E14" s="215">
        <f>'IODA iTunes data'!T120</f>
        <v>0</v>
      </c>
      <c r="F14" s="215">
        <f>'IODA iTunes data'!Z120</f>
        <v>0</v>
      </c>
      <c r="G14" s="216">
        <f>SUM(B14:F14)</f>
        <v>73134.396815999993</v>
      </c>
      <c r="H14" s="217">
        <f t="shared" si="2"/>
        <v>146268.79363199999</v>
      </c>
      <c r="I14" s="302">
        <f>SUM(I15:I17)</f>
        <v>166418.69323175435</v>
      </c>
      <c r="J14" s="219">
        <f t="shared" si="10"/>
        <v>-20149.899599754368</v>
      </c>
      <c r="K14" s="220">
        <f t="shared" si="0"/>
        <v>-0.12107954466205101</v>
      </c>
      <c r="L14" s="258">
        <v>275727.2205311656</v>
      </c>
      <c r="M14" s="218">
        <f t="shared" si="4"/>
        <v>421996.01416316559</v>
      </c>
      <c r="N14" s="218">
        <v>410908.79991493421</v>
      </c>
      <c r="O14" s="219">
        <f t="shared" si="8"/>
        <v>11087.214248231379</v>
      </c>
      <c r="P14" s="220">
        <f t="shared" si="1"/>
        <v>2.6982177676717168E-2</v>
      </c>
      <c r="R14">
        <v>4.4087868854065099E-2</v>
      </c>
      <c r="S14">
        <f>R14*$S$127</f>
        <v>162009.90634634791</v>
      </c>
      <c r="T14" s="104"/>
    </row>
    <row r="15" spans="1:20" s="3" customFormat="1">
      <c r="A15" s="240" t="s">
        <v>40</v>
      </c>
      <c r="B15" s="234">
        <f>VLOOKUP($A15,'IODA iTunes data'!$A$138:$Z$249,2,FALSE)</f>
        <v>18297.101159999998</v>
      </c>
      <c r="C15" s="234">
        <f>VLOOKUP($A15,'IODA iTunes data'!$A$138:$Z$249,8,FALSE)</f>
        <v>31844.711808</v>
      </c>
      <c r="D15" s="234">
        <f>VLOOKUP($A15,'IODA iTunes data'!$A$138:$Z$249,14,FALSE)</f>
        <v>0</v>
      </c>
      <c r="E15" s="234">
        <f>VLOOKUP($A15,'IODA iTunes data'!$A$138:$Z$249,20,FALSE)</f>
        <v>0</v>
      </c>
      <c r="F15" s="234">
        <f>VLOOKUP($A15,'IODA iTunes data'!$A$138:$Z$249,26,FALSE)</f>
        <v>0</v>
      </c>
      <c r="G15" s="235">
        <f t="shared" ref="G15:G17" si="11">SUM(B15:F15)</f>
        <v>50141.812967999998</v>
      </c>
      <c r="H15" s="217">
        <f t="shared" si="2"/>
        <v>100283.625936</v>
      </c>
      <c r="I15" s="304">
        <f>VLOOKUP($A15,[6]IODA!$D:$P,13,FALSE)</f>
        <v>106928.16913900993</v>
      </c>
      <c r="J15" s="237">
        <f t="shared" si="10"/>
        <v>-6644.5432030099328</v>
      </c>
      <c r="K15" s="238">
        <f t="shared" si="0"/>
        <v>-6.2140250380344778E-2</v>
      </c>
      <c r="L15" s="259">
        <v>188402.5750750899</v>
      </c>
      <c r="M15" s="236">
        <f t="shared" si="4"/>
        <v>288686.2010110899</v>
      </c>
      <c r="N15" s="236">
        <v>264019.17239443818</v>
      </c>
      <c r="O15" s="237">
        <f t="shared" si="8"/>
        <v>24667.028616651718</v>
      </c>
      <c r="P15" s="238">
        <f t="shared" si="1"/>
        <v>9.3428929395323532E-2</v>
      </c>
      <c r="R15" s="208"/>
      <c r="S15" s="154"/>
      <c r="T15" s="104"/>
    </row>
    <row r="16" spans="1:20" s="3" customFormat="1">
      <c r="A16" s="240" t="s">
        <v>34</v>
      </c>
      <c r="B16" s="234">
        <f>VLOOKUP($A16,'IODA iTunes data'!$A$138:$Z$249,2,FALSE)</f>
        <v>2353.15236</v>
      </c>
      <c r="C16" s="234">
        <f>VLOOKUP($A16,'IODA iTunes data'!$A$138:$Z$249,8,FALSE)</f>
        <v>3215.499456</v>
      </c>
      <c r="D16" s="234">
        <f>VLOOKUP($A16,'IODA iTunes data'!$A$138:$Z$249,14,FALSE)</f>
        <v>0</v>
      </c>
      <c r="E16" s="234">
        <f>VLOOKUP($A16,'IODA iTunes data'!$A$138:$Z$249,20,FALSE)</f>
        <v>0</v>
      </c>
      <c r="F16" s="234">
        <f>VLOOKUP($A16,'IODA iTunes data'!$A$138:$Z$249,26,FALSE)</f>
        <v>0</v>
      </c>
      <c r="G16" s="235">
        <f t="shared" si="11"/>
        <v>5568.6518159999996</v>
      </c>
      <c r="H16" s="217">
        <f t="shared" si="2"/>
        <v>11137.303631999999</v>
      </c>
      <c r="I16" s="304">
        <f>VLOOKUP($A16,[6]IODA!$D:$P,13,FALSE)</f>
        <v>13426.165961877801</v>
      </c>
      <c r="J16" s="237">
        <f t="shared" si="10"/>
        <v>-2288.862329877802</v>
      </c>
      <c r="K16" s="238">
        <f t="shared" si="0"/>
        <v>-0.17047773253934057</v>
      </c>
      <c r="L16" s="259">
        <v>21659.452471792691</v>
      </c>
      <c r="M16" s="236">
        <f t="shared" si="4"/>
        <v>32796.756103792693</v>
      </c>
      <c r="N16" s="236">
        <v>33150.901714935833</v>
      </c>
      <c r="O16" s="237">
        <f t="shared" si="8"/>
        <v>-354.14561114313983</v>
      </c>
      <c r="P16" s="238">
        <f t="shared" si="1"/>
        <v>-1.0682834940311225E-2</v>
      </c>
      <c r="R16" s="208"/>
      <c r="S16" s="154"/>
      <c r="T16" s="104"/>
    </row>
    <row r="17" spans="1:20" s="3" customFormat="1">
      <c r="A17" s="240" t="s">
        <v>50</v>
      </c>
      <c r="B17" s="234">
        <f>VLOOKUP($A17,'IODA iTunes data'!$A$138:$Z$249,2,FALSE)</f>
        <v>7220.9304959999999</v>
      </c>
      <c r="C17" s="234">
        <f>VLOOKUP($A17,'IODA iTunes data'!$A$138:$Z$249,8,FALSE)</f>
        <v>10203.001536</v>
      </c>
      <c r="D17" s="234">
        <f>VLOOKUP($A17,'IODA iTunes data'!$A$138:$Z$249,14,FALSE)</f>
        <v>0</v>
      </c>
      <c r="E17" s="234">
        <f>VLOOKUP($A17,'IODA iTunes data'!$A$138:$Z$249,20,FALSE)</f>
        <v>0</v>
      </c>
      <c r="F17" s="234">
        <f>VLOOKUP($A17,'IODA iTunes data'!$A$138:$Z$249,26,FALSE)</f>
        <v>0</v>
      </c>
      <c r="G17" s="235">
        <f t="shared" si="11"/>
        <v>17423.932032000001</v>
      </c>
      <c r="H17" s="217">
        <f t="shared" si="2"/>
        <v>34847.864064000001</v>
      </c>
      <c r="I17" s="304">
        <f>VLOOKUP($A17,[6]IODA!$D:$P,13,FALSE)</f>
        <v>46064.358130866603</v>
      </c>
      <c r="J17" s="237">
        <f t="shared" si="10"/>
        <v>-11216.494066866602</v>
      </c>
      <c r="K17" s="238">
        <f t="shared" si="0"/>
        <v>-0.24349615455404997</v>
      </c>
      <c r="L17" s="259">
        <v>65665.19298428297</v>
      </c>
      <c r="M17" s="236">
        <f t="shared" si="4"/>
        <v>100513.05704828296</v>
      </c>
      <c r="N17" s="236">
        <v>113738.72580556017</v>
      </c>
      <c r="O17" s="237">
        <f t="shared" si="8"/>
        <v>-13225.668757277206</v>
      </c>
      <c r="P17" s="238">
        <f t="shared" si="1"/>
        <v>-0.11628114051397842</v>
      </c>
      <c r="R17" s="208"/>
      <c r="S17" s="154"/>
      <c r="T17" s="104"/>
    </row>
    <row r="18" spans="1:20">
      <c r="A18" s="211" t="s">
        <v>76</v>
      </c>
      <c r="B18" s="215">
        <f>'IODA iTunes data'!B121</f>
        <v>11586.916848000001</v>
      </c>
      <c r="C18" s="215">
        <f>'IODA iTunes data'!H121</f>
        <v>29106.980759999999</v>
      </c>
      <c r="D18" s="215">
        <f>'IODA iTunes data'!N121</f>
        <v>0</v>
      </c>
      <c r="E18" s="215">
        <f>'IODA iTunes data'!T121</f>
        <v>0</v>
      </c>
      <c r="F18" s="215">
        <f>'IODA iTunes data'!Z121</f>
        <v>0</v>
      </c>
      <c r="G18" s="216">
        <f>SUM(B18:F18)</f>
        <v>40693.897607999999</v>
      </c>
      <c r="H18" s="217">
        <f t="shared" si="2"/>
        <v>81387.795215999999</v>
      </c>
      <c r="I18" s="302">
        <f>SUM(I19:I21)</f>
        <v>63617.037991978897</v>
      </c>
      <c r="J18" s="219">
        <f t="shared" si="10"/>
        <v>17770.757224021101</v>
      </c>
      <c r="K18" s="220">
        <f t="shared" si="0"/>
        <v>0.2793395886533056</v>
      </c>
      <c r="L18" s="258">
        <v>108287.66425257923</v>
      </c>
      <c r="M18" s="218">
        <f t="shared" si="4"/>
        <v>189675.45946857921</v>
      </c>
      <c r="N18" s="218">
        <v>157078.51220189064</v>
      </c>
      <c r="O18" s="219">
        <f t="shared" si="8"/>
        <v>32596.94726668857</v>
      </c>
      <c r="P18" s="220">
        <f t="shared" si="1"/>
        <v>0.20752009176654415</v>
      </c>
      <c r="R18">
        <v>1.6853513108461723E-2</v>
      </c>
      <c r="S18">
        <f>R18*$S$127</f>
        <v>61931.686681132742</v>
      </c>
      <c r="T18" s="104"/>
    </row>
    <row r="19" spans="1:20" s="3" customFormat="1">
      <c r="A19" s="240" t="s">
        <v>11</v>
      </c>
      <c r="B19" s="234">
        <f>VLOOKUP($A19,'IODA iTunes data'!$A$138:$Z$249,2,FALSE)</f>
        <v>5564.3025360000001</v>
      </c>
      <c r="C19" s="234">
        <f>VLOOKUP($A19,'IODA iTunes data'!$A$138:$Z$249,8,FALSE)</f>
        <v>14798.988047999999</v>
      </c>
      <c r="D19" s="234">
        <f>VLOOKUP($A19,'IODA iTunes data'!$A$138:$Z$249,14,FALSE)</f>
        <v>0</v>
      </c>
      <c r="E19" s="234">
        <f>VLOOKUP($A19,'IODA iTunes data'!$A$138:$Z$249,20,FALSE)</f>
        <v>0</v>
      </c>
      <c r="F19" s="234">
        <f>VLOOKUP($A19,'IODA iTunes data'!$A$138:$Z$249,26,FALSE)</f>
        <v>0</v>
      </c>
      <c r="G19" s="235">
        <f t="shared" ref="G19:G21" si="12">SUM(B19:F19)</f>
        <v>20363.290583999998</v>
      </c>
      <c r="H19" s="217">
        <f t="shared" si="2"/>
        <v>40726.581167999997</v>
      </c>
      <c r="I19" s="304">
        <f>VLOOKUP($A19,[6]IODA!$D:$P,13,FALSE)</f>
        <v>31345.914855251631</v>
      </c>
      <c r="J19" s="237">
        <f t="shared" si="10"/>
        <v>9380.6663127483662</v>
      </c>
      <c r="K19" s="238">
        <f t="shared" si="0"/>
        <v>0.29926280206100758</v>
      </c>
      <c r="L19" s="259">
        <v>53526.070559978485</v>
      </c>
      <c r="M19" s="236">
        <f t="shared" si="4"/>
        <v>94252.651727978489</v>
      </c>
      <c r="N19" s="236">
        <v>77397.027973714823</v>
      </c>
      <c r="O19" s="237">
        <f t="shared" si="8"/>
        <v>16855.623754263666</v>
      </c>
      <c r="P19" s="238">
        <f t="shared" si="1"/>
        <v>0.21778127914663709</v>
      </c>
      <c r="R19" s="208"/>
      <c r="S19" s="154"/>
      <c r="T19" s="104"/>
    </row>
    <row r="20" spans="1:20" s="3" customFormat="1">
      <c r="A20" s="240" t="s">
        <v>47</v>
      </c>
      <c r="B20" s="234">
        <f>VLOOKUP($A20,'IODA iTunes data'!$A$138:$Z$249,2,FALSE)</f>
        <v>953.75872800000002</v>
      </c>
      <c r="C20" s="234">
        <f>VLOOKUP($A20,'IODA iTunes data'!$A$138:$Z$249,8,FALSE)</f>
        <v>2926.0292880000002</v>
      </c>
      <c r="D20" s="234">
        <f>VLOOKUP($A20,'IODA iTunes data'!$A$138:$Z$249,14,FALSE)</f>
        <v>0</v>
      </c>
      <c r="E20" s="234">
        <f>VLOOKUP($A20,'IODA iTunes data'!$A$138:$Z$249,20,FALSE)</f>
        <v>0</v>
      </c>
      <c r="F20" s="234">
        <f>VLOOKUP($A20,'IODA iTunes data'!$A$138:$Z$249,26,FALSE)</f>
        <v>0</v>
      </c>
      <c r="G20" s="235">
        <f t="shared" si="12"/>
        <v>3879.7880160000004</v>
      </c>
      <c r="H20" s="217">
        <f t="shared" si="2"/>
        <v>7759.5760320000009</v>
      </c>
      <c r="I20" s="304">
        <f>VLOOKUP($A20,[6]IODA!$D:$P,13,FALSE)</f>
        <v>5249.851049838484</v>
      </c>
      <c r="J20" s="237">
        <f t="shared" si="10"/>
        <v>2509.7249821615169</v>
      </c>
      <c r="K20" s="238">
        <f t="shared" si="0"/>
        <v>0.47805641690324352</v>
      </c>
      <c r="L20" s="259">
        <v>10268.14238888026</v>
      </c>
      <c r="M20" s="236">
        <f t="shared" si="4"/>
        <v>18027.718420880261</v>
      </c>
      <c r="N20" s="236">
        <v>12962.546170322119</v>
      </c>
      <c r="O20" s="237">
        <f t="shared" si="8"/>
        <v>5065.172250558142</v>
      </c>
      <c r="P20" s="238">
        <f t="shared" si="1"/>
        <v>0.39075442308972486</v>
      </c>
      <c r="R20" s="208"/>
      <c r="S20" s="154"/>
      <c r="T20" s="104"/>
    </row>
    <row r="21" spans="1:20" s="3" customFormat="1">
      <c r="A21" s="240" t="s">
        <v>48</v>
      </c>
      <c r="B21" s="234">
        <f>VLOOKUP($A21,'IODA iTunes data'!$A$138:$Z$249,2,FALSE)</f>
        <v>5068.8555839999999</v>
      </c>
      <c r="C21" s="234">
        <f>VLOOKUP($A21,'IODA iTunes data'!$A$138:$Z$249,8,FALSE)</f>
        <v>11381.963424</v>
      </c>
      <c r="D21" s="234">
        <f>VLOOKUP($A21,'IODA iTunes data'!$A$138:$Z$249,14,FALSE)</f>
        <v>0</v>
      </c>
      <c r="E21" s="234">
        <f>VLOOKUP($A21,'IODA iTunes data'!$A$138:$Z$249,20,FALSE)</f>
        <v>0</v>
      </c>
      <c r="F21" s="234">
        <f>VLOOKUP($A21,'IODA iTunes data'!$A$138:$Z$249,26,FALSE)</f>
        <v>0</v>
      </c>
      <c r="G21" s="235">
        <f t="shared" si="12"/>
        <v>16450.819007999999</v>
      </c>
      <c r="H21" s="217">
        <f t="shared" si="2"/>
        <v>32901.638015999997</v>
      </c>
      <c r="I21" s="304">
        <f>VLOOKUP($A21,[6]IODA!$D:$P,13,FALSE)</f>
        <v>27021.272086888781</v>
      </c>
      <c r="J21" s="237">
        <f t="shared" si="10"/>
        <v>5880.3659291112162</v>
      </c>
      <c r="K21" s="238">
        <f t="shared" si="0"/>
        <v>0.21761987778378791</v>
      </c>
      <c r="L21" s="259">
        <v>44493.451303720474</v>
      </c>
      <c r="M21" s="236">
        <f t="shared" si="4"/>
        <v>77395.089319720471</v>
      </c>
      <c r="N21" s="236">
        <v>66718.938057853709</v>
      </c>
      <c r="O21" s="237">
        <f t="shared" si="8"/>
        <v>10676.151261866762</v>
      </c>
      <c r="P21" s="238">
        <f t="shared" si="1"/>
        <v>0.1600168044133016</v>
      </c>
      <c r="R21" s="208"/>
      <c r="S21" s="154"/>
      <c r="T21" s="104"/>
    </row>
    <row r="22" spans="1:20">
      <c r="A22" s="211" t="s">
        <v>86</v>
      </c>
      <c r="B22" s="215">
        <f>'IODA iTunes data'!B122</f>
        <v>7062.9109200000003</v>
      </c>
      <c r="C22" s="215">
        <f>'IODA iTunes data'!H122</f>
        <v>10144.887479999999</v>
      </c>
      <c r="D22" s="215">
        <f>'IODA iTunes data'!N122</f>
        <v>0</v>
      </c>
      <c r="E22" s="215">
        <f>'IODA iTunes data'!T122</f>
        <v>0</v>
      </c>
      <c r="F22" s="215">
        <f>'IODA iTunes data'!Z122</f>
        <v>0</v>
      </c>
      <c r="G22" s="216">
        <f>SUM(B22:F22)</f>
        <v>17207.7984</v>
      </c>
      <c r="H22" s="217">
        <f t="shared" si="2"/>
        <v>34415.596799999999</v>
      </c>
      <c r="I22" s="302">
        <f>SUM(I23:I26)</f>
        <v>50278.004079825325</v>
      </c>
      <c r="J22" s="219">
        <f t="shared" si="10"/>
        <v>-15862.407279825326</v>
      </c>
      <c r="K22" s="220">
        <f t="shared" si="0"/>
        <v>-0.315493973361411</v>
      </c>
      <c r="L22" s="258">
        <v>81283.699990928202</v>
      </c>
      <c r="M22" s="218">
        <f t="shared" si="4"/>
        <v>115699.2967909282</v>
      </c>
      <c r="N22" s="218">
        <v>124142.75053697581</v>
      </c>
      <c r="O22" s="219">
        <f t="shared" si="8"/>
        <v>-8443.4537460476131</v>
      </c>
      <c r="P22" s="220">
        <f t="shared" si="1"/>
        <v>-6.8014070169427551E-2</v>
      </c>
      <c r="R22">
        <v>1.3319717917917945E-2</v>
      </c>
      <c r="S22">
        <f>R22*$S$127</f>
        <v>48946.032288033537</v>
      </c>
      <c r="T22" s="104"/>
    </row>
    <row r="23" spans="1:20" s="3" customFormat="1">
      <c r="A23" s="240" t="s">
        <v>37</v>
      </c>
      <c r="B23" s="234">
        <f>VLOOKUP($A23,'IODA iTunes data'!$A$138:$Z$249,2,FALSE)</f>
        <v>2221.9192320000002</v>
      </c>
      <c r="C23" s="234">
        <f>VLOOKUP($A23,'IODA iTunes data'!$A$138:$Z$249,8,FALSE)</f>
        <v>4621.6088879999998</v>
      </c>
      <c r="D23" s="234">
        <f>VLOOKUP($A23,'IODA iTunes data'!$A$138:$Z$249,14,FALSE)</f>
        <v>0</v>
      </c>
      <c r="E23" s="234">
        <f>VLOOKUP($A23,'IODA iTunes data'!$A$138:$Z$249,20,FALSE)</f>
        <v>0</v>
      </c>
      <c r="F23" s="234">
        <f>VLOOKUP($A23,'IODA iTunes data'!$A$138:$Z$249,26,FALSE)</f>
        <v>0</v>
      </c>
      <c r="G23" s="235">
        <f t="shared" ref="G23:G26" si="13">SUM(B23:F23)</f>
        <v>6843.5281199999999</v>
      </c>
      <c r="H23" s="217">
        <f t="shared" si="2"/>
        <v>13687.05624</v>
      </c>
      <c r="I23" s="304">
        <f>VLOOKUP($A23,[6]IODA!$D:$P,13,FALSE)</f>
        <v>14478.572182323816</v>
      </c>
      <c r="J23" s="237">
        <f t="shared" si="10"/>
        <v>-791.51594232381649</v>
      </c>
      <c r="K23" s="238">
        <f t="shared" si="0"/>
        <v>-5.4668093811773774E-2</v>
      </c>
      <c r="L23" s="259">
        <v>24389.859319925308</v>
      </c>
      <c r="M23" s="236">
        <f t="shared" si="4"/>
        <v>38076.915559925306</v>
      </c>
      <c r="N23" s="236">
        <v>35749.425766944005</v>
      </c>
      <c r="O23" s="237">
        <f t="shared" si="8"/>
        <v>2327.4897929813014</v>
      </c>
      <c r="P23" s="238">
        <f t="shared" si="1"/>
        <v>6.5105655351069547E-2</v>
      </c>
      <c r="R23" s="208"/>
      <c r="S23" s="154"/>
      <c r="T23" s="104"/>
    </row>
    <row r="24" spans="1:20" s="3" customFormat="1">
      <c r="A24" s="240" t="s">
        <v>38</v>
      </c>
      <c r="B24" s="234">
        <f>VLOOKUP($A24,'IODA iTunes data'!$A$138:$Z$249,2,FALSE)</f>
        <v>795.419352</v>
      </c>
      <c r="C24" s="234">
        <f>VLOOKUP($A24,'IODA iTunes data'!$A$138:$Z$249,8,FALSE)</f>
        <v>949.52457600000002</v>
      </c>
      <c r="D24" s="234">
        <f>VLOOKUP($A24,'IODA iTunes data'!$A$138:$Z$249,14,FALSE)</f>
        <v>0</v>
      </c>
      <c r="E24" s="234">
        <f>VLOOKUP($A24,'IODA iTunes data'!$A$138:$Z$249,20,FALSE)</f>
        <v>0</v>
      </c>
      <c r="F24" s="234">
        <f>VLOOKUP($A24,'IODA iTunes data'!$A$138:$Z$249,26,FALSE)</f>
        <v>0</v>
      </c>
      <c r="G24" s="235">
        <f t="shared" si="13"/>
        <v>1744.9439280000001</v>
      </c>
      <c r="H24" s="217">
        <f t="shared" si="2"/>
        <v>3489.8878560000003</v>
      </c>
      <c r="I24" s="304">
        <f>VLOOKUP($A24,[6]IODA!$D:$P,13,FALSE)</f>
        <v>4536.7685308848413</v>
      </c>
      <c r="J24" s="237">
        <f t="shared" si="10"/>
        <v>-1046.880674884841</v>
      </c>
      <c r="K24" s="238">
        <f t="shared" si="0"/>
        <v>-0.23075470299135137</v>
      </c>
      <c r="L24" s="259">
        <v>7590.1843477487582</v>
      </c>
      <c r="M24" s="236">
        <f t="shared" si="4"/>
        <v>11080.072203748758</v>
      </c>
      <c r="N24" s="236">
        <v>11201.855250249144</v>
      </c>
      <c r="O24" s="237">
        <f t="shared" si="8"/>
        <v>-121.78304650038626</v>
      </c>
      <c r="P24" s="238">
        <f t="shared" si="1"/>
        <v>-1.0871685428864799E-2</v>
      </c>
      <c r="R24" s="208"/>
      <c r="S24" s="154"/>
      <c r="T24" s="104"/>
    </row>
    <row r="25" spans="1:20" s="3" customFormat="1">
      <c r="A25" s="240" t="s">
        <v>46</v>
      </c>
      <c r="B25" s="234">
        <f>VLOOKUP($A25,'IODA iTunes data'!$A$138:$Z$249,2,FALSE)</f>
        <v>2101.3162560000001</v>
      </c>
      <c r="C25" s="234">
        <f>VLOOKUP($A25,'IODA iTunes data'!$A$138:$Z$249,8,FALSE)</f>
        <v>2435.0339520000002</v>
      </c>
      <c r="D25" s="234">
        <f>VLOOKUP($A25,'IODA iTunes data'!$A$138:$Z$249,14,FALSE)</f>
        <v>0</v>
      </c>
      <c r="E25" s="234">
        <f>VLOOKUP($A25,'IODA iTunes data'!$A$138:$Z$249,20,FALSE)</f>
        <v>0</v>
      </c>
      <c r="F25" s="234">
        <f>VLOOKUP($A25,'IODA iTunes data'!$A$138:$Z$249,26,FALSE)</f>
        <v>0</v>
      </c>
      <c r="G25" s="235">
        <f t="shared" si="13"/>
        <v>4536.3502079999998</v>
      </c>
      <c r="H25" s="217">
        <f t="shared" si="2"/>
        <v>9072.7004159999997</v>
      </c>
      <c r="I25" s="304">
        <f>VLOOKUP($A25,[6]IODA!$D:$P,13,FALSE)</f>
        <v>18815.914861355435</v>
      </c>
      <c r="J25" s="237">
        <f t="shared" si="10"/>
        <v>-9743.2144453554356</v>
      </c>
      <c r="K25" s="238">
        <f t="shared" si="0"/>
        <v>-0.51781773658884245</v>
      </c>
      <c r="L25" s="259">
        <v>30491.138148963459</v>
      </c>
      <c r="M25" s="236">
        <f t="shared" si="4"/>
        <v>39563.838564963458</v>
      </c>
      <c r="N25" s="236">
        <v>46458.87336835466</v>
      </c>
      <c r="O25" s="237">
        <f t="shared" si="8"/>
        <v>-6895.0348033912014</v>
      </c>
      <c r="P25" s="238">
        <f t="shared" si="1"/>
        <v>-0.14841158003817922</v>
      </c>
      <c r="R25" s="208"/>
      <c r="S25" s="154"/>
      <c r="T25" s="104"/>
    </row>
    <row r="26" spans="1:20" s="3" customFormat="1">
      <c r="A26" s="240" t="s">
        <v>49</v>
      </c>
      <c r="B26" s="234">
        <f>VLOOKUP($A26,'IODA iTunes data'!$A$138:$Z$249,2,FALSE)</f>
        <v>1944.2560800000001</v>
      </c>
      <c r="C26" s="234">
        <f>VLOOKUP($A26,'IODA iTunes data'!$A$138:$Z$249,8,FALSE)</f>
        <v>2138.7200640000001</v>
      </c>
      <c r="D26" s="234">
        <f>VLOOKUP($A26,'IODA iTunes data'!$A$138:$Z$249,14,FALSE)</f>
        <v>0</v>
      </c>
      <c r="E26" s="234">
        <f>VLOOKUP($A26,'IODA iTunes data'!$A$138:$Z$249,20,FALSE)</f>
        <v>0</v>
      </c>
      <c r="F26" s="234">
        <f>VLOOKUP($A26,'IODA iTunes data'!$A$138:$Z$249,26,FALSE)</f>
        <v>0</v>
      </c>
      <c r="G26" s="235">
        <f t="shared" si="13"/>
        <v>4082.9761440000002</v>
      </c>
      <c r="H26" s="217">
        <f t="shared" si="2"/>
        <v>8165.9522880000004</v>
      </c>
      <c r="I26" s="304">
        <f>VLOOKUP($A26,[6]IODA!$D:$P,13,FALSE)</f>
        <v>12446.74850526123</v>
      </c>
      <c r="J26" s="237">
        <f t="shared" si="10"/>
        <v>-4280.7962172612297</v>
      </c>
      <c r="K26" s="238">
        <f t="shared" si="0"/>
        <v>-0.34392887551730805</v>
      </c>
      <c r="L26" s="259">
        <v>18812.518174290657</v>
      </c>
      <c r="M26" s="236">
        <f t="shared" si="4"/>
        <v>26978.470462290657</v>
      </c>
      <c r="N26" s="236">
        <v>30732.596151428006</v>
      </c>
      <c r="O26" s="237">
        <f t="shared" si="8"/>
        <v>-3754.1256891373487</v>
      </c>
      <c r="P26" s="238">
        <f t="shared" si="1"/>
        <v>-0.12215452513805643</v>
      </c>
      <c r="R26" s="208"/>
      <c r="S26" s="154"/>
      <c r="T26" s="104"/>
    </row>
    <row r="27" spans="1:20">
      <c r="A27" s="211" t="s">
        <v>12</v>
      </c>
      <c r="B27" s="215">
        <f>'IODA iTunes data'!B123</f>
        <v>3203.8459439999997</v>
      </c>
      <c r="C27" s="215">
        <f>'IODA iTunes data'!H123</f>
        <v>5638.4321760000003</v>
      </c>
      <c r="D27" s="215">
        <f>'IODA iTunes data'!N123</f>
        <v>0</v>
      </c>
      <c r="E27" s="215">
        <f>'IODA iTunes data'!T123</f>
        <v>0</v>
      </c>
      <c r="F27" s="215">
        <f>'IODA iTunes data'!Z123</f>
        <v>0</v>
      </c>
      <c r="G27" s="216">
        <f t="shared" si="9"/>
        <v>8842.278119999999</v>
      </c>
      <c r="H27" s="217">
        <f t="shared" si="2"/>
        <v>17684.556239999998</v>
      </c>
      <c r="I27" s="302">
        <f>SUM(I28:I29)</f>
        <v>16202.072903150181</v>
      </c>
      <c r="J27" s="219">
        <f t="shared" si="10"/>
        <v>1482.4833368498166</v>
      </c>
      <c r="K27" s="220">
        <f t="shared" si="0"/>
        <v>9.1499609075427396E-2</v>
      </c>
      <c r="L27" s="258">
        <v>25879.067003369339</v>
      </c>
      <c r="M27" s="218">
        <f t="shared" si="4"/>
        <v>43563.623243369337</v>
      </c>
      <c r="N27" s="218">
        <v>40004.967011106077</v>
      </c>
      <c r="O27" s="219">
        <f t="shared" si="8"/>
        <v>3558.6562322632599</v>
      </c>
      <c r="P27" s="220">
        <f t="shared" si="1"/>
        <v>8.8955359750085908E-2</v>
      </c>
      <c r="R27">
        <v>4.2922754135758861E-3</v>
      </c>
      <c r="S27">
        <f>R27*$S$127</f>
        <v>15772.845361792597</v>
      </c>
      <c r="T27" s="104"/>
    </row>
    <row r="28" spans="1:20" s="3" customFormat="1">
      <c r="A28" s="240" t="s">
        <v>42</v>
      </c>
      <c r="B28" s="234">
        <f>VLOOKUP($A28,'IODA iTunes data'!$A$138:$Z$249,2,FALSE)</f>
        <v>2849.0854079999999</v>
      </c>
      <c r="C28" s="234">
        <f>VLOOKUP($A28,'IODA iTunes data'!$A$138:$Z$249,8,FALSE)</f>
        <v>4464.3312480000004</v>
      </c>
      <c r="D28" s="234">
        <f>VLOOKUP($A28,'IODA iTunes data'!$A$138:$Z$249,14,FALSE)</f>
        <v>0</v>
      </c>
      <c r="E28" s="234">
        <f>VLOOKUP($A28,'IODA iTunes data'!$A$138:$Z$249,20,FALSE)</f>
        <v>0</v>
      </c>
      <c r="F28" s="234">
        <f>VLOOKUP($A28,'IODA iTunes data'!$A$138:$Z$249,26,FALSE)</f>
        <v>0</v>
      </c>
      <c r="G28" s="235">
        <f t="shared" si="9"/>
        <v>7313.4166560000003</v>
      </c>
      <c r="H28" s="217">
        <f t="shared" si="2"/>
        <v>14626.833312000001</v>
      </c>
      <c r="I28" s="304">
        <f>VLOOKUP($A28,[6]IODA!$D:$P,13,FALSE)</f>
        <v>14311.193225387213</v>
      </c>
      <c r="J28" s="237">
        <f t="shared" si="10"/>
        <v>315.64008661278785</v>
      </c>
      <c r="K28" s="238">
        <f t="shared" si="0"/>
        <v>2.2055469564400888E-2</v>
      </c>
      <c r="L28" s="259">
        <v>22919.271198153503</v>
      </c>
      <c r="M28" s="236">
        <f t="shared" si="4"/>
        <v>37546.104510153506</v>
      </c>
      <c r="N28" s="236">
        <v>35336.145954500986</v>
      </c>
      <c r="O28" s="237">
        <f t="shared" si="8"/>
        <v>2209.9585556525199</v>
      </c>
      <c r="P28" s="238">
        <f t="shared" si="1"/>
        <v>6.2541018437553275E-2</v>
      </c>
      <c r="R28" s="208"/>
      <c r="S28" s="154"/>
      <c r="T28" s="104"/>
    </row>
    <row r="29" spans="1:20" s="3" customFormat="1">
      <c r="A29" s="240" t="s">
        <v>41</v>
      </c>
      <c r="B29" s="234">
        <f>VLOOKUP($A29,'IODA iTunes data'!$A$138:$Z$249,2,FALSE)</f>
        <v>354.760536</v>
      </c>
      <c r="C29" s="234">
        <f>VLOOKUP($A29,'IODA iTunes data'!$A$138:$Z$249,8,FALSE)</f>
        <v>1174.1009280000001</v>
      </c>
      <c r="D29" s="234">
        <f>VLOOKUP($A29,'IODA iTunes data'!$A$138:$Z$249,14,FALSE)</f>
        <v>0</v>
      </c>
      <c r="E29" s="234">
        <f>VLOOKUP($A29,'IODA iTunes data'!$A$138:$Z$249,20,FALSE)</f>
        <v>0</v>
      </c>
      <c r="F29" s="234">
        <f>VLOOKUP($A29,'IODA iTunes data'!$A$138:$Z$249,26,FALSE)</f>
        <v>0</v>
      </c>
      <c r="G29" s="235">
        <f t="shared" si="9"/>
        <v>1528.8614640000001</v>
      </c>
      <c r="H29" s="217">
        <f t="shared" si="2"/>
        <v>3057.7229280000001</v>
      </c>
      <c r="I29" s="304">
        <f>VLOOKUP($A29,[6]IODA!$D:$P,13,FALSE)</f>
        <v>1890.879677762968</v>
      </c>
      <c r="J29" s="237">
        <f t="shared" si="10"/>
        <v>1166.8432502370322</v>
      </c>
      <c r="K29" s="238">
        <f t="shared" si="0"/>
        <v>0.61709016388471771</v>
      </c>
      <c r="L29" s="259">
        <v>2959.795805215836</v>
      </c>
      <c r="M29" s="236">
        <f t="shared" si="4"/>
        <v>6017.5187332158366</v>
      </c>
      <c r="N29" s="236">
        <v>4668.8210566050966</v>
      </c>
      <c r="O29" s="237">
        <f t="shared" si="8"/>
        <v>1348.69767661074</v>
      </c>
      <c r="P29" s="238">
        <f t="shared" si="1"/>
        <v>0.28887328519535016</v>
      </c>
      <c r="R29" s="208"/>
      <c r="S29" s="154"/>
      <c r="T29" s="104"/>
    </row>
    <row r="30" spans="1:20">
      <c r="A30" s="211" t="s">
        <v>13</v>
      </c>
      <c r="B30" s="215">
        <f>'IODA iTunes data'!B128</f>
        <v>14772.690855000001</v>
      </c>
      <c r="C30" s="215">
        <f>'IODA iTunes data'!H128</f>
        <v>18735.534674999999</v>
      </c>
      <c r="D30" s="215">
        <f>'IODA iTunes data'!N128</f>
        <v>0</v>
      </c>
      <c r="E30" s="215">
        <f>'IODA iTunes data'!T128</f>
        <v>0</v>
      </c>
      <c r="F30" s="215">
        <f>'IODA iTunes data'!Z128</f>
        <v>0</v>
      </c>
      <c r="G30" s="216">
        <f t="shared" si="9"/>
        <v>33508.225529999996</v>
      </c>
      <c r="H30" s="217">
        <f t="shared" si="2"/>
        <v>67016.451059999992</v>
      </c>
      <c r="I30" s="304">
        <f>VLOOKUP($A30,[6]IODA!$D:$P,13,FALSE)</f>
        <v>76614.772230356451</v>
      </c>
      <c r="J30" s="219">
        <f t="shared" si="10"/>
        <v>-9598.3211703564593</v>
      </c>
      <c r="K30" s="220">
        <f t="shared" si="0"/>
        <v>-0.1252802937467116</v>
      </c>
      <c r="L30" s="258">
        <v>118237.577010572</v>
      </c>
      <c r="M30" s="218">
        <f t="shared" si="4"/>
        <v>185254.02807057201</v>
      </c>
      <c r="N30" s="218">
        <v>189171.56180940842</v>
      </c>
      <c r="O30" s="219">
        <f t="shared" si="8"/>
        <v>-3917.5337388364132</v>
      </c>
      <c r="P30" s="220">
        <f t="shared" si="1"/>
        <v>-2.0708893563945695E-2</v>
      </c>
      <c r="R30">
        <v>2.0296890720516183E-2</v>
      </c>
      <c r="S30">
        <f>R30*$S$127</f>
        <v>74585.083158304871</v>
      </c>
      <c r="T30" s="104"/>
    </row>
    <row r="31" spans="1:20">
      <c r="A31" s="211" t="s">
        <v>14</v>
      </c>
      <c r="B31" s="215">
        <f>'IODA iTunes data'!B127</f>
        <v>68052.144004000002</v>
      </c>
      <c r="C31" s="215">
        <f>'IODA iTunes data'!H127</f>
        <v>50940.146351999996</v>
      </c>
      <c r="D31" s="215">
        <f>'IODA iTunes data'!N127</f>
        <v>0</v>
      </c>
      <c r="E31" s="215">
        <f>'IODA iTunes data'!T127</f>
        <v>0</v>
      </c>
      <c r="F31" s="215">
        <f>'IODA iTunes data'!Z127</f>
        <v>0</v>
      </c>
      <c r="G31" s="216">
        <f>SUM(B31:F31)</f>
        <v>118992.290356</v>
      </c>
      <c r="H31" s="217">
        <f t="shared" si="2"/>
        <v>237984.580712</v>
      </c>
      <c r="I31" s="302">
        <f>SUM(I32:I33)</f>
        <v>430406.83190079901</v>
      </c>
      <c r="J31" s="219">
        <f t="shared" si="10"/>
        <v>-192422.25118879901</v>
      </c>
      <c r="K31" s="220">
        <f t="shared" si="0"/>
        <v>-0.4470706246436833</v>
      </c>
      <c r="L31" s="258">
        <v>696874.06492710114</v>
      </c>
      <c r="M31" s="218">
        <f t="shared" si="4"/>
        <v>934858.64563910116</v>
      </c>
      <c r="N31" s="218">
        <v>1062728.8998433254</v>
      </c>
      <c r="O31" s="219">
        <f t="shared" si="8"/>
        <v>-127870.25420422421</v>
      </c>
      <c r="P31" s="220">
        <f t="shared" si="1"/>
        <v>-0.12032255283833507</v>
      </c>
      <c r="R31">
        <v>0.1140239692443115</v>
      </c>
      <c r="S31">
        <f>R31*$S$127</f>
        <v>419004.43497636804</v>
      </c>
      <c r="T31" s="104"/>
    </row>
    <row r="32" spans="1:20" s="3" customFormat="1">
      <c r="A32" s="233" t="s">
        <v>33</v>
      </c>
      <c r="B32" s="234">
        <f>VLOOKUP($A32,'IODA iTunes data'!$A$138:$Z$249,2,FALSE)</f>
        <v>64869.512684000001</v>
      </c>
      <c r="C32" s="234">
        <f>VLOOKUP($A32,'IODA iTunes data'!$A$138:$Z$249,8,FALSE)</f>
        <v>46709.081539999999</v>
      </c>
      <c r="D32" s="234">
        <f>VLOOKUP($A32,'IODA iTunes data'!$A$138:$Z$249,14,FALSE)</f>
        <v>0</v>
      </c>
      <c r="E32" s="234">
        <f>VLOOKUP($A32,'IODA iTunes data'!$A$138:$Z$249,20,FALSE)</f>
        <v>0</v>
      </c>
      <c r="F32" s="234">
        <f>VLOOKUP($A32,'IODA iTunes data'!$A$138:$Z$249,26,FALSE)</f>
        <v>0</v>
      </c>
      <c r="G32" s="235">
        <f t="shared" ref="G32:G33" si="14">SUM(B32:F32)</f>
        <v>111578.594224</v>
      </c>
      <c r="H32" s="217">
        <f t="shared" si="2"/>
        <v>223157.188448</v>
      </c>
      <c r="I32" s="304">
        <f>VLOOKUP($A32,[6]IODA!$D:$P,13,FALSE)</f>
        <v>407957.94730136549</v>
      </c>
      <c r="J32" s="237">
        <f t="shared" si="10"/>
        <v>-184800.75885336549</v>
      </c>
      <c r="K32" s="238">
        <f t="shared" si="0"/>
        <v>-0.45298972621030964</v>
      </c>
      <c r="L32" s="259">
        <v>666365.5707603693</v>
      </c>
      <c r="M32" s="236">
        <f t="shared" si="4"/>
        <v>889522.7592083693</v>
      </c>
      <c r="N32" s="236">
        <v>1007299.7647440841</v>
      </c>
      <c r="O32" s="237">
        <f t="shared" si="8"/>
        <v>-117777.00553571479</v>
      </c>
      <c r="P32" s="238">
        <f t="shared" si="1"/>
        <v>-0.11692349155431142</v>
      </c>
      <c r="R32" s="208"/>
      <c r="S32" s="154"/>
      <c r="T32" s="104"/>
    </row>
    <row r="33" spans="1:20" s="3" customFormat="1">
      <c r="A33" s="233" t="s">
        <v>45</v>
      </c>
      <c r="B33" s="234">
        <f>VLOOKUP($A33,'IODA iTunes data'!$A$138:$Z$249,2,FALSE)</f>
        <v>3182.63132</v>
      </c>
      <c r="C33" s="234">
        <f>VLOOKUP($A33,'IODA iTunes data'!$A$138:$Z$249,8,FALSE)</f>
        <v>4231.0648119999996</v>
      </c>
      <c r="D33" s="234">
        <f>VLOOKUP($A33,'IODA iTunes data'!$A$138:$Z$249,14,FALSE)</f>
        <v>0</v>
      </c>
      <c r="E33" s="234">
        <f>VLOOKUP($A33,'IODA iTunes data'!$A$138:$Z$249,20,FALSE)</f>
        <v>0</v>
      </c>
      <c r="F33" s="234">
        <f>VLOOKUP($A33,'IODA iTunes data'!$A$138:$Z$249,26,FALSE)</f>
        <v>0</v>
      </c>
      <c r="G33" s="235">
        <f t="shared" si="14"/>
        <v>7413.6961319999991</v>
      </c>
      <c r="H33" s="217">
        <f t="shared" si="2"/>
        <v>14827.392263999998</v>
      </c>
      <c r="I33" s="304">
        <f>VLOOKUP($A33,[6]IODA!$D:$P,13,FALSE)</f>
        <v>22448.884599433539</v>
      </c>
      <c r="J33" s="237">
        <f t="shared" si="10"/>
        <v>-7621.4923354335406</v>
      </c>
      <c r="K33" s="238">
        <f t="shared" si="0"/>
        <v>-0.33950427700206792</v>
      </c>
      <c r="L33" s="259">
        <v>30508.494166731842</v>
      </c>
      <c r="M33" s="236">
        <f t="shared" si="4"/>
        <v>45335.886430731844</v>
      </c>
      <c r="N33" s="236">
        <v>55429.135099241175</v>
      </c>
      <c r="O33" s="237">
        <f t="shared" si="8"/>
        <v>-10093.248668509332</v>
      </c>
      <c r="P33" s="238">
        <f t="shared" si="1"/>
        <v>-0.18209284071343029</v>
      </c>
      <c r="R33" s="208"/>
      <c r="S33" s="154"/>
      <c r="T33" s="104"/>
    </row>
    <row r="34" spans="1:20">
      <c r="A34" s="212" t="s">
        <v>180</v>
      </c>
      <c r="B34" s="221">
        <f>'IODA iTunes data'!B132</f>
        <v>3869.5932550000002</v>
      </c>
      <c r="C34" s="221">
        <f>'IODA iTunes data'!H132</f>
        <v>23079.725222000001</v>
      </c>
      <c r="D34" s="221">
        <f>'IODA iTunes data'!N132</f>
        <v>0</v>
      </c>
      <c r="E34" s="221">
        <f>'IODA iTunes data'!T132</f>
        <v>0</v>
      </c>
      <c r="F34" s="221">
        <f>'IODA iTunes data'!Z132</f>
        <v>0</v>
      </c>
      <c r="G34" s="216">
        <f>SUM(B34:F34)</f>
        <v>26949.318477000001</v>
      </c>
      <c r="H34" s="217">
        <f t="shared" si="2"/>
        <v>53898.636954000001</v>
      </c>
      <c r="I34" s="304">
        <f>VLOOKUP($A34,[6]IODA!$D:$P,13,FALSE)</f>
        <v>12332.243484837301</v>
      </c>
      <c r="J34" s="219">
        <f t="shared" ref="J34:J35" si="15">H34-I34</f>
        <v>41566.3934691627</v>
      </c>
      <c r="K34" s="220">
        <f t="shared" ref="K34:K35" si="16">J34/I34</f>
        <v>3.3705459611034501</v>
      </c>
      <c r="L34" s="258">
        <v>28403.945536643278</v>
      </c>
      <c r="M34" s="218">
        <f t="shared" si="4"/>
        <v>82302.582490643283</v>
      </c>
      <c r="N34" s="218">
        <v>30449.868774996161</v>
      </c>
      <c r="O34" s="219">
        <f t="shared" si="8"/>
        <v>51852.713715647122</v>
      </c>
      <c r="P34" s="220">
        <f t="shared" si="1"/>
        <v>1.7028879204309038</v>
      </c>
      <c r="T34" s="104"/>
    </row>
    <row r="35" spans="1:20">
      <c r="A35" s="212" t="s">
        <v>190</v>
      </c>
      <c r="B35" s="221">
        <f>'IODA iTunes data'!B133</f>
        <v>875.165707</v>
      </c>
      <c r="C35" s="221">
        <f>'IODA iTunes data'!H133</f>
        <v>8589.9061349999993</v>
      </c>
      <c r="D35" s="221">
        <f>'IODA iTunes data'!N133</f>
        <v>0</v>
      </c>
      <c r="E35" s="221">
        <f>'IODA iTunes data'!T133</f>
        <v>0</v>
      </c>
      <c r="F35" s="221">
        <f>'IODA iTunes data'!Z133</f>
        <v>0</v>
      </c>
      <c r="G35" s="216">
        <f>SUM(B35:F35)</f>
        <v>9465.0718419999994</v>
      </c>
      <c r="H35" s="217">
        <f t="shared" si="2"/>
        <v>18930.143683999999</v>
      </c>
      <c r="I35" s="304">
        <f>VLOOKUP($A35,[6]IODA!$D:$P,13,FALSE)</f>
        <v>4836.957334837185</v>
      </c>
      <c r="J35" s="219">
        <f t="shared" si="15"/>
        <v>14093.186349162814</v>
      </c>
      <c r="K35" s="220">
        <f t="shared" si="16"/>
        <v>2.9136470250956221</v>
      </c>
      <c r="L35" s="258">
        <v>10324.068275153646</v>
      </c>
      <c r="M35" s="218">
        <f t="shared" si="4"/>
        <v>29254.211959153647</v>
      </c>
      <c r="N35" s="218">
        <v>11943.059370919529</v>
      </c>
      <c r="O35" s="219">
        <f t="shared" si="8"/>
        <v>17311.152588234116</v>
      </c>
      <c r="P35" s="220">
        <f t="shared" si="1"/>
        <v>1.449473878559584</v>
      </c>
      <c r="T35" s="104"/>
    </row>
    <row r="36" spans="1:20">
      <c r="A36" s="212" t="s">
        <v>88</v>
      </c>
      <c r="B36" s="221">
        <f>'IODA iTunes data'!B124</f>
        <v>4496.1065759999992</v>
      </c>
      <c r="C36" s="221">
        <f>'IODA iTunes data'!H124</f>
        <v>4487.7022319999996</v>
      </c>
      <c r="D36" s="221">
        <f>'IODA iTunes data'!N124</f>
        <v>0</v>
      </c>
      <c r="E36" s="221">
        <f>'IODA iTunes data'!T124</f>
        <v>0</v>
      </c>
      <c r="F36" s="221">
        <f>'IODA iTunes data'!Z124</f>
        <v>0</v>
      </c>
      <c r="G36" s="216">
        <f>SUM(B36:F36)</f>
        <v>8983.808807999998</v>
      </c>
      <c r="H36" s="217">
        <f t="shared" si="2"/>
        <v>17967.617615999996</v>
      </c>
      <c r="I36" s="302">
        <f>SUM(I37:I48)</f>
        <v>22569.915628438219</v>
      </c>
      <c r="J36" s="219">
        <f t="shared" si="10"/>
        <v>-4602.2980124382229</v>
      </c>
      <c r="K36" s="220">
        <f t="shared" si="0"/>
        <v>-0.20391294713744088</v>
      </c>
      <c r="L36" s="258">
        <v>42309.588813900933</v>
      </c>
      <c r="M36" s="218">
        <f t="shared" si="4"/>
        <v>60277.206429900929</v>
      </c>
      <c r="N36" s="218">
        <v>55727.976016177847</v>
      </c>
      <c r="O36" s="219">
        <f t="shared" si="8"/>
        <v>4549.2304137230822</v>
      </c>
      <c r="P36" s="220">
        <f t="shared" si="1"/>
        <v>8.1632794494500199E-2</v>
      </c>
      <c r="R36">
        <v>5.9792530571561482E-3</v>
      </c>
      <c r="S36">
        <f>R36*$S$127</f>
        <v>21971.99032272261</v>
      </c>
      <c r="T36" s="104"/>
    </row>
    <row r="37" spans="1:20" s="3" customFormat="1">
      <c r="A37" s="233" t="s">
        <v>62</v>
      </c>
      <c r="B37" s="234">
        <f>VLOOKUP($A37,'IODA iTunes data'!$A$138:$Z$249,2,FALSE)</f>
        <v>23.537279999999999</v>
      </c>
      <c r="C37" s="234">
        <f>VLOOKUP($A37,'IODA iTunes data'!$A$138:$Z$249,8,FALSE)</f>
        <v>174.82826399999999</v>
      </c>
      <c r="D37" s="234">
        <f>VLOOKUP($A37,'IODA iTunes data'!$A$138:$Z$249,14,FALSE)</f>
        <v>0</v>
      </c>
      <c r="E37" s="234">
        <f>VLOOKUP($A37,'IODA iTunes data'!$A$138:$Z$249,20,FALSE)</f>
        <v>0</v>
      </c>
      <c r="F37" s="234">
        <f>VLOOKUP($A37,'IODA iTunes data'!$A$138:$Z$249,26,FALSE)</f>
        <v>0</v>
      </c>
      <c r="G37" s="235">
        <f t="shared" ref="G37:G48" si="17">SUM(B37:F37)</f>
        <v>198.365544</v>
      </c>
      <c r="H37" s="217">
        <f t="shared" si="2"/>
        <v>396.731088</v>
      </c>
      <c r="I37" s="304">
        <f>VLOOKUP($A37,[6]IODA!$D:$P,13,FALSE)</f>
        <v>227.15303472638104</v>
      </c>
      <c r="J37" s="237">
        <f t="shared" si="10"/>
        <v>169.57805327361896</v>
      </c>
      <c r="K37" s="238">
        <f t="shared" si="0"/>
        <v>0.74653659581473575</v>
      </c>
      <c r="L37" s="259">
        <v>537.54254525899887</v>
      </c>
      <c r="M37" s="236">
        <f t="shared" si="4"/>
        <v>934.27363325899887</v>
      </c>
      <c r="N37" s="236">
        <v>560.86956990143324</v>
      </c>
      <c r="O37" s="237">
        <f t="shared" si="8"/>
        <v>373.40406335756563</v>
      </c>
      <c r="P37" s="238">
        <f t="shared" si="1"/>
        <v>0.66575917717052713</v>
      </c>
      <c r="R37" s="208"/>
      <c r="S37" s="154"/>
      <c r="T37" s="104"/>
    </row>
    <row r="38" spans="1:20" s="3" customFormat="1">
      <c r="A38" s="233" t="s">
        <v>61</v>
      </c>
      <c r="B38" s="234">
        <f>VLOOKUP($A38,'IODA iTunes data'!$A$138:$Z$249,2,FALSE)</f>
        <v>70.957223999999997</v>
      </c>
      <c r="C38" s="234">
        <f>VLOOKUP($A38,'IODA iTunes data'!$A$138:$Z$249,8,FALSE)</f>
        <v>139.381632</v>
      </c>
      <c r="D38" s="234">
        <f>VLOOKUP($A38,'IODA iTunes data'!$A$138:$Z$249,14,FALSE)</f>
        <v>0</v>
      </c>
      <c r="E38" s="234">
        <f>VLOOKUP($A38,'IODA iTunes data'!$A$138:$Z$249,20,FALSE)</f>
        <v>0</v>
      </c>
      <c r="F38" s="234">
        <f>VLOOKUP($A38,'IODA iTunes data'!$A$138:$Z$249,26,FALSE)</f>
        <v>0</v>
      </c>
      <c r="G38" s="235">
        <f t="shared" si="17"/>
        <v>210.33885599999999</v>
      </c>
      <c r="H38" s="217">
        <f t="shared" si="2"/>
        <v>420.67771199999999</v>
      </c>
      <c r="I38" s="304">
        <f>VLOOKUP($A38,[6]IODA!$D:$P,13,FALSE)</f>
        <v>243.89803847088842</v>
      </c>
      <c r="J38" s="237">
        <f t="shared" si="10"/>
        <v>176.77967352911156</v>
      </c>
      <c r="K38" s="238">
        <f t="shared" si="0"/>
        <v>0.72480973868189558</v>
      </c>
      <c r="L38" s="259">
        <v>455.90981489419931</v>
      </c>
      <c r="M38" s="236">
        <f t="shared" si="4"/>
        <v>876.5875268941993</v>
      </c>
      <c r="N38" s="236">
        <v>602.21510182220493</v>
      </c>
      <c r="O38" s="237">
        <f t="shared" si="8"/>
        <v>274.37242507199437</v>
      </c>
      <c r="P38" s="238">
        <f t="shared" si="1"/>
        <v>0.45560535470098318</v>
      </c>
      <c r="R38" s="208"/>
      <c r="S38" s="154"/>
      <c r="T38" s="104"/>
    </row>
    <row r="39" spans="1:20" s="3" customFormat="1">
      <c r="A39" s="233" t="s">
        <v>60</v>
      </c>
      <c r="B39" s="234">
        <f>VLOOKUP($A39,'IODA iTunes data'!$A$138:$Z$249,2,FALSE)</f>
        <v>2318.3837039999999</v>
      </c>
      <c r="C39" s="234">
        <f>VLOOKUP($A39,'IODA iTunes data'!$A$138:$Z$249,8,FALSE)</f>
        <v>672.75686399999995</v>
      </c>
      <c r="D39" s="234">
        <f>VLOOKUP($A39,'IODA iTunes data'!$A$138:$Z$249,14,FALSE)</f>
        <v>0</v>
      </c>
      <c r="E39" s="234">
        <f>VLOOKUP($A39,'IODA iTunes data'!$A$138:$Z$249,20,FALSE)</f>
        <v>0</v>
      </c>
      <c r="F39" s="234">
        <f>VLOOKUP($A39,'IODA iTunes data'!$A$138:$Z$249,26,FALSE)</f>
        <v>0</v>
      </c>
      <c r="G39" s="235">
        <f t="shared" si="17"/>
        <v>2991.1405679999998</v>
      </c>
      <c r="H39" s="217">
        <f t="shared" si="2"/>
        <v>5982.2811359999996</v>
      </c>
      <c r="I39" s="304">
        <f>VLOOKUP($A39,[6]IODA!$D:$P,13,FALSE)</f>
        <v>9875.9995496971169</v>
      </c>
      <c r="J39" s="237">
        <f t="shared" si="10"/>
        <v>-3893.7184136971173</v>
      </c>
      <c r="K39" s="238">
        <f t="shared" si="0"/>
        <v>-0.39426069170047018</v>
      </c>
      <c r="L39" s="259">
        <v>18747.432406485073</v>
      </c>
      <c r="M39" s="236">
        <f t="shared" si="4"/>
        <v>24729.713542485071</v>
      </c>
      <c r="N39" s="236">
        <v>24385.091867505067</v>
      </c>
      <c r="O39" s="237">
        <f t="shared" si="8"/>
        <v>344.62167498000417</v>
      </c>
      <c r="P39" s="238">
        <f t="shared" si="1"/>
        <v>1.4132473925154163E-2</v>
      </c>
      <c r="R39" s="208"/>
      <c r="S39" s="154"/>
      <c r="T39" s="104"/>
    </row>
    <row r="40" spans="1:20" s="3" customFormat="1">
      <c r="A40" s="233" t="s">
        <v>59</v>
      </c>
      <c r="B40" s="234">
        <f>VLOOKUP($A40,'IODA iTunes data'!$A$138:$Z$249,2,FALSE)</f>
        <v>86.768135999999998</v>
      </c>
      <c r="C40" s="234">
        <f>VLOOKUP($A40,'IODA iTunes data'!$A$138:$Z$249,8,FALSE)</f>
        <v>147.862728</v>
      </c>
      <c r="D40" s="234">
        <f>VLOOKUP($A40,'IODA iTunes data'!$A$138:$Z$249,14,FALSE)</f>
        <v>0</v>
      </c>
      <c r="E40" s="234">
        <f>VLOOKUP($A40,'IODA iTunes data'!$A$138:$Z$249,20,FALSE)</f>
        <v>0</v>
      </c>
      <c r="F40" s="234">
        <f>VLOOKUP($A40,'IODA iTunes data'!$A$138:$Z$249,26,FALSE)</f>
        <v>0</v>
      </c>
      <c r="G40" s="235">
        <f t="shared" si="17"/>
        <v>234.630864</v>
      </c>
      <c r="H40" s="217">
        <f t="shared" si="2"/>
        <v>469.26172800000001</v>
      </c>
      <c r="I40" s="304">
        <f>VLOOKUP($A40,[6]IODA!$D:$P,13,FALSE)</f>
        <v>345.10555490462883</v>
      </c>
      <c r="J40" s="237">
        <f t="shared" si="10"/>
        <v>124.15617309537117</v>
      </c>
      <c r="K40" s="238">
        <f t="shared" si="0"/>
        <v>0.35976289378964699</v>
      </c>
      <c r="L40" s="259">
        <v>660.07425338029907</v>
      </c>
      <c r="M40" s="236">
        <f t="shared" si="4"/>
        <v>1129.335981380299</v>
      </c>
      <c r="N40" s="236">
        <v>852.10925921860496</v>
      </c>
      <c r="O40" s="237">
        <f t="shared" si="8"/>
        <v>277.22672216169406</v>
      </c>
      <c r="P40" s="238">
        <f t="shared" si="1"/>
        <v>0.32534175537056653</v>
      </c>
      <c r="R40" s="208"/>
      <c r="S40" s="154"/>
      <c r="T40" s="104"/>
    </row>
    <row r="41" spans="1:20" s="3" customFormat="1">
      <c r="A41" s="233" t="s">
        <v>58</v>
      </c>
      <c r="B41" s="234">
        <f>VLOOKUP($A41,'IODA iTunes data'!$A$138:$Z$249,2,FALSE)</f>
        <v>386.689368</v>
      </c>
      <c r="C41" s="234">
        <f>VLOOKUP($A41,'IODA iTunes data'!$A$138:$Z$249,8,FALSE)</f>
        <v>411.46747199999999</v>
      </c>
      <c r="D41" s="234">
        <f>VLOOKUP($A41,'IODA iTunes data'!$A$138:$Z$249,14,FALSE)</f>
        <v>0</v>
      </c>
      <c r="E41" s="234">
        <f>VLOOKUP($A41,'IODA iTunes data'!$A$138:$Z$249,20,FALSE)</f>
        <v>0</v>
      </c>
      <c r="F41" s="234">
        <f>VLOOKUP($A41,'IODA iTunes data'!$A$138:$Z$249,26,FALSE)</f>
        <v>0</v>
      </c>
      <c r="G41" s="235">
        <f t="shared" si="17"/>
        <v>798.15683999999999</v>
      </c>
      <c r="H41" s="217">
        <f t="shared" si="2"/>
        <v>1596.31368</v>
      </c>
      <c r="I41" s="304">
        <f>VLOOKUP($A41,[6]IODA!$D:$P,13,FALSE)</f>
        <v>2521.411056902225</v>
      </c>
      <c r="J41" s="237">
        <f t="shared" si="10"/>
        <v>-925.09737690222505</v>
      </c>
      <c r="K41" s="238">
        <f t="shared" si="0"/>
        <v>-0.36689669237779438</v>
      </c>
      <c r="L41" s="259">
        <v>5521.8569853901872</v>
      </c>
      <c r="M41" s="236">
        <f t="shared" si="4"/>
        <v>7118.1706653901874</v>
      </c>
      <c r="N41" s="236">
        <v>6225.6827725543435</v>
      </c>
      <c r="O41" s="237">
        <f t="shared" si="8"/>
        <v>892.48789283584392</v>
      </c>
      <c r="P41" s="238">
        <f t="shared" si="1"/>
        <v>0.14335582544782696</v>
      </c>
      <c r="R41" s="208"/>
      <c r="S41" s="154"/>
      <c r="T41" s="104"/>
    </row>
    <row r="42" spans="1:20" s="3" customFormat="1">
      <c r="A42" s="233" t="s">
        <v>57</v>
      </c>
      <c r="B42" s="234">
        <f>VLOOKUP($A42,'IODA iTunes data'!$A$138:$Z$249,2,FALSE)</f>
        <v>60.211944000000003</v>
      </c>
      <c r="C42" s="234">
        <f>VLOOKUP($A42,'IODA iTunes data'!$A$138:$Z$249,8,FALSE)</f>
        <v>301.469064</v>
      </c>
      <c r="D42" s="234">
        <f>VLOOKUP($A42,'IODA iTunes data'!$A$138:$Z$249,14,FALSE)</f>
        <v>0</v>
      </c>
      <c r="E42" s="234">
        <f>VLOOKUP($A42,'IODA iTunes data'!$A$138:$Z$249,20,FALSE)</f>
        <v>0</v>
      </c>
      <c r="F42" s="234">
        <f>VLOOKUP($A42,'IODA iTunes data'!$A$138:$Z$249,26,FALSE)</f>
        <v>0</v>
      </c>
      <c r="G42" s="235">
        <f t="shared" si="17"/>
        <v>361.68100800000002</v>
      </c>
      <c r="H42" s="217">
        <f t="shared" si="2"/>
        <v>723.36201600000004</v>
      </c>
      <c r="I42" s="304">
        <f>VLOOKUP($A42,[6]IODA!$D:$P,13,FALSE)</f>
        <v>300.36132360852014</v>
      </c>
      <c r="J42" s="237">
        <f t="shared" si="10"/>
        <v>423.0006923914799</v>
      </c>
      <c r="K42" s="238">
        <f t="shared" si="0"/>
        <v>1.4083061271324113</v>
      </c>
      <c r="L42" s="259">
        <v>531.59099310636543</v>
      </c>
      <c r="M42" s="236">
        <f t="shared" si="4"/>
        <v>1254.9530091063655</v>
      </c>
      <c r="N42" s="236">
        <v>741.63009351937535</v>
      </c>
      <c r="O42" s="237">
        <f t="shared" si="8"/>
        <v>513.32291558699012</v>
      </c>
      <c r="P42" s="238">
        <f t="shared" si="1"/>
        <v>0.69215491667960394</v>
      </c>
      <c r="R42" s="208"/>
      <c r="S42" s="154"/>
      <c r="T42" s="104"/>
    </row>
    <row r="43" spans="1:20" s="3" customFormat="1">
      <c r="A43" s="233" t="s">
        <v>56</v>
      </c>
      <c r="B43" s="234">
        <f>VLOOKUP($A43,'IODA iTunes data'!$A$138:$Z$249,2,FALSE)</f>
        <v>39.360984000000002</v>
      </c>
      <c r="C43" s="234">
        <f>VLOOKUP($A43,'IODA iTunes data'!$A$138:$Z$249,8,FALSE)</f>
        <v>59.956104000000003</v>
      </c>
      <c r="D43" s="234">
        <f>VLOOKUP($A43,'IODA iTunes data'!$A$138:$Z$249,14,FALSE)</f>
        <v>0</v>
      </c>
      <c r="E43" s="234">
        <f>VLOOKUP($A43,'IODA iTunes data'!$A$138:$Z$249,20,FALSE)</f>
        <v>0</v>
      </c>
      <c r="F43" s="234">
        <f>VLOOKUP($A43,'IODA iTunes data'!$A$138:$Z$249,26,FALSE)</f>
        <v>0</v>
      </c>
      <c r="G43" s="235">
        <f t="shared" si="17"/>
        <v>99.317088000000012</v>
      </c>
      <c r="H43" s="217">
        <f t="shared" si="2"/>
        <v>198.63417600000002</v>
      </c>
      <c r="I43" s="304">
        <f>VLOOKUP($A43,[6]IODA!$D:$P,13,FALSE)</f>
        <v>178.66556990734122</v>
      </c>
      <c r="J43" s="237">
        <f t="shared" si="10"/>
        <v>19.968606092658803</v>
      </c>
      <c r="K43" s="238">
        <f t="shared" si="0"/>
        <v>0.11176527241938576</v>
      </c>
      <c r="L43" s="259">
        <v>344.18347972631449</v>
      </c>
      <c r="M43" s="236">
        <f t="shared" si="4"/>
        <v>542.81765572631457</v>
      </c>
      <c r="N43" s="236">
        <v>441.14788724188224</v>
      </c>
      <c r="O43" s="237">
        <f t="shared" si="8"/>
        <v>101.66976848443232</v>
      </c>
      <c r="P43" s="238">
        <f t="shared" si="1"/>
        <v>0.23046640690061063</v>
      </c>
      <c r="R43" s="208"/>
      <c r="S43" s="154"/>
      <c r="T43" s="104"/>
    </row>
    <row r="44" spans="1:20" s="3" customFormat="1">
      <c r="A44" s="233" t="s">
        <v>55</v>
      </c>
      <c r="B44" s="234">
        <f>VLOOKUP($A44,'IODA iTunes data'!$A$138:$Z$249,2,FALSE)</f>
        <v>53.227511999999997</v>
      </c>
      <c r="C44" s="234">
        <f>VLOOKUP($A44,'IODA iTunes data'!$A$138:$Z$249,8,FALSE)</f>
        <v>43.595135999999997</v>
      </c>
      <c r="D44" s="234">
        <f>VLOOKUP($A44,'IODA iTunes data'!$A$138:$Z$249,14,FALSE)</f>
        <v>0</v>
      </c>
      <c r="E44" s="234">
        <f>VLOOKUP($A44,'IODA iTunes data'!$A$138:$Z$249,20,FALSE)</f>
        <v>0</v>
      </c>
      <c r="F44" s="234">
        <f>VLOOKUP($A44,'IODA iTunes data'!$A$138:$Z$249,26,FALSE)</f>
        <v>0</v>
      </c>
      <c r="G44" s="235">
        <f t="shared" si="17"/>
        <v>96.822647999999987</v>
      </c>
      <c r="H44" s="217">
        <f t="shared" si="2"/>
        <v>193.64529599999997</v>
      </c>
      <c r="I44" s="304">
        <f>VLOOKUP($A44,[6]IODA!$D:$P,13,FALSE)</f>
        <v>250.7183754255571</v>
      </c>
      <c r="J44" s="237">
        <f t="shared" si="10"/>
        <v>-57.073079425557125</v>
      </c>
      <c r="K44" s="238">
        <f t="shared" si="0"/>
        <v>-0.22763819895005333</v>
      </c>
      <c r="L44" s="259">
        <v>601.30022466182754</v>
      </c>
      <c r="M44" s="236">
        <f t="shared" si="4"/>
        <v>794.94552066182746</v>
      </c>
      <c r="N44" s="236">
        <v>619.05537630480512</v>
      </c>
      <c r="O44" s="237">
        <f t="shared" si="8"/>
        <v>175.89014435702234</v>
      </c>
      <c r="P44" s="238">
        <f t="shared" si="1"/>
        <v>0.28412667281386966</v>
      </c>
      <c r="R44" s="208"/>
      <c r="S44" s="154"/>
      <c r="T44" s="104"/>
    </row>
    <row r="45" spans="1:20" s="3" customFormat="1">
      <c r="A45" s="233" t="s">
        <v>54</v>
      </c>
      <c r="B45" s="234">
        <f>VLOOKUP($A45,'IODA iTunes data'!$A$138:$Z$249,2,FALSE)</f>
        <v>732.57225600000004</v>
      </c>
      <c r="C45" s="234">
        <f>VLOOKUP($A45,'IODA iTunes data'!$A$138:$Z$249,8,FALSE)</f>
        <v>1881.7159919999999</v>
      </c>
      <c r="D45" s="234">
        <f>VLOOKUP($A45,'IODA iTunes data'!$A$138:$Z$249,14,FALSE)</f>
        <v>0</v>
      </c>
      <c r="E45" s="234">
        <f>VLOOKUP($A45,'IODA iTunes data'!$A$138:$Z$249,20,FALSE)</f>
        <v>0</v>
      </c>
      <c r="F45" s="234">
        <f>VLOOKUP($A45,'IODA iTunes data'!$A$138:$Z$249,26,FALSE)</f>
        <v>0</v>
      </c>
      <c r="G45" s="235">
        <f t="shared" si="17"/>
        <v>2614.2882479999998</v>
      </c>
      <c r="H45" s="217">
        <f t="shared" si="2"/>
        <v>5228.5764959999997</v>
      </c>
      <c r="I45" s="304">
        <f>VLOOKUP($A45,[6]IODA!$D:$P,13,FALSE)</f>
        <v>5624.4426982473487</v>
      </c>
      <c r="J45" s="237">
        <f t="shared" si="10"/>
        <v>-395.86620224734907</v>
      </c>
      <c r="K45" s="238">
        <f t="shared" si="0"/>
        <v>-7.038318700814683E-2</v>
      </c>
      <c r="L45" s="259">
        <v>9138.2991214990543</v>
      </c>
      <c r="M45" s="236">
        <f t="shared" si="4"/>
        <v>14366.875617499054</v>
      </c>
      <c r="N45" s="236">
        <v>13887.4603233944</v>
      </c>
      <c r="O45" s="237">
        <f t="shared" si="8"/>
        <v>479.41529410465409</v>
      </c>
      <c r="P45" s="238">
        <f t="shared" si="1"/>
        <v>3.4521451938699363E-2</v>
      </c>
      <c r="R45" s="208"/>
      <c r="S45" s="154"/>
      <c r="T45" s="104"/>
    </row>
    <row r="46" spans="1:20" s="3" customFormat="1">
      <c r="A46" s="233" t="s">
        <v>53</v>
      </c>
      <c r="B46" s="234">
        <f>VLOOKUP($A46,'IODA iTunes data'!$A$138:$Z$249,2,FALSE)</f>
        <v>153.38887199999999</v>
      </c>
      <c r="C46" s="234">
        <f>VLOOKUP($A46,'IODA iTunes data'!$A$138:$Z$249,8,FALSE)</f>
        <v>301.99353600000001</v>
      </c>
      <c r="D46" s="234">
        <f>VLOOKUP($A46,'IODA iTunes data'!$A$138:$Z$249,14,FALSE)</f>
        <v>0</v>
      </c>
      <c r="E46" s="234">
        <f>VLOOKUP($A46,'IODA iTunes data'!$A$138:$Z$249,20,FALSE)</f>
        <v>0</v>
      </c>
      <c r="F46" s="234">
        <f>VLOOKUP($A46,'IODA iTunes data'!$A$138:$Z$249,26,FALSE)</f>
        <v>0</v>
      </c>
      <c r="G46" s="235">
        <f t="shared" si="17"/>
        <v>455.382408</v>
      </c>
      <c r="H46" s="217">
        <f t="shared" si="2"/>
        <v>910.764816</v>
      </c>
      <c r="I46" s="304">
        <f>VLOOKUP($A46,[6]IODA!$D:$P,13,FALSE)</f>
        <v>726.4756678915162</v>
      </c>
      <c r="J46" s="237">
        <f t="shared" si="10"/>
        <v>184.2891481084838</v>
      </c>
      <c r="K46" s="238">
        <f t="shared" si="0"/>
        <v>0.25367559610544793</v>
      </c>
      <c r="L46" s="259">
        <v>1173.5516079664226</v>
      </c>
      <c r="M46" s="236">
        <f t="shared" si="4"/>
        <v>2084.3164239664225</v>
      </c>
      <c r="N46" s="236">
        <v>1793.7602985801088</v>
      </c>
      <c r="O46" s="237">
        <f t="shared" si="8"/>
        <v>290.55612538631362</v>
      </c>
      <c r="P46" s="238">
        <f t="shared" si="1"/>
        <v>0.16198157893020035</v>
      </c>
      <c r="R46" s="208"/>
      <c r="S46" s="154"/>
      <c r="T46" s="104"/>
    </row>
    <row r="47" spans="1:20" s="3" customFormat="1">
      <c r="A47" s="233" t="s">
        <v>52</v>
      </c>
      <c r="B47" s="234">
        <f>VLOOKUP($A47,'IODA iTunes data'!$A$138:$Z$249,2,FALSE)</f>
        <v>515.86298399999998</v>
      </c>
      <c r="C47" s="234">
        <f>VLOOKUP($A47,'IODA iTunes data'!$A$138:$Z$249,8,FALSE)</f>
        <v>242.70261600000001</v>
      </c>
      <c r="D47" s="234">
        <f>VLOOKUP($A47,'IODA iTunes data'!$A$138:$Z$249,14,FALSE)</f>
        <v>0</v>
      </c>
      <c r="E47" s="234">
        <f>VLOOKUP($A47,'IODA iTunes data'!$A$138:$Z$249,20,FALSE)</f>
        <v>0</v>
      </c>
      <c r="F47" s="234">
        <f>VLOOKUP($A47,'IODA iTunes data'!$A$138:$Z$249,26,FALSE)</f>
        <v>0</v>
      </c>
      <c r="G47" s="235">
        <f t="shared" si="17"/>
        <v>758.56560000000002</v>
      </c>
      <c r="H47" s="217">
        <f t="shared" si="2"/>
        <v>1517.1312</v>
      </c>
      <c r="I47" s="304">
        <f>VLOOKUP($A47,[6]IODA!$D:$P,13,FALSE)</f>
        <v>2045.1850220710423</v>
      </c>
      <c r="J47" s="237">
        <f t="shared" si="10"/>
        <v>-528.0538220710423</v>
      </c>
      <c r="K47" s="238">
        <f t="shared" si="0"/>
        <v>-0.25819366774763108</v>
      </c>
      <c r="L47" s="259">
        <v>4168.6848378777522</v>
      </c>
      <c r="M47" s="236">
        <f t="shared" si="4"/>
        <v>5685.816037877752</v>
      </c>
      <c r="N47" s="236">
        <v>5049.8204660992769</v>
      </c>
      <c r="O47" s="237">
        <f t="shared" si="8"/>
        <v>635.9955717784751</v>
      </c>
      <c r="P47" s="238">
        <f t="shared" si="1"/>
        <v>0.12594419465960707</v>
      </c>
      <c r="R47" s="208"/>
      <c r="S47" s="154"/>
      <c r="T47" s="104"/>
    </row>
    <row r="48" spans="1:20" s="3" customFormat="1">
      <c r="A48" s="233" t="s">
        <v>90</v>
      </c>
      <c r="B48" s="234">
        <f>VLOOKUP($A48,'IODA iTunes data'!$A$138:$Z$249,2,FALSE)</f>
        <v>55.146312000000002</v>
      </c>
      <c r="C48" s="234">
        <f>VLOOKUP($A48,'IODA iTunes data'!$A$138:$Z$249,8,FALSE)</f>
        <v>109.972824</v>
      </c>
      <c r="D48" s="234">
        <f>VLOOKUP($A48,'IODA iTunes data'!$A$138:$Z$249,14,FALSE)</f>
        <v>0</v>
      </c>
      <c r="E48" s="234">
        <f>VLOOKUP($A48,'IODA iTunes data'!$A$138:$Z$249,20,FALSE)</f>
        <v>0</v>
      </c>
      <c r="F48" s="234">
        <f>VLOOKUP($A48,'IODA iTunes data'!$A$138:$Z$249,26,FALSE)</f>
        <v>0</v>
      </c>
      <c r="G48" s="235">
        <f t="shared" si="17"/>
        <v>165.119136</v>
      </c>
      <c r="H48" s="217">
        <f t="shared" si="2"/>
        <v>330.23827199999999</v>
      </c>
      <c r="I48" s="304">
        <f>VLOOKUP($A48,[6]IODA!$D:$P,13,FALSE)</f>
        <v>230.49973658565065</v>
      </c>
      <c r="J48" s="237">
        <f t="shared" si="10"/>
        <v>99.738535414349343</v>
      </c>
      <c r="K48" s="238">
        <f t="shared" si="0"/>
        <v>0.43270563728947181</v>
      </c>
      <c r="L48" s="259">
        <v>429.16254365444161</v>
      </c>
      <c r="M48" s="236">
        <f t="shared" si="4"/>
        <v>759.40081565444166</v>
      </c>
      <c r="N48" s="236">
        <v>569.13300003635482</v>
      </c>
      <c r="O48" s="237">
        <f t="shared" si="8"/>
        <v>190.26781561808684</v>
      </c>
      <c r="P48" s="238">
        <f t="shared" si="1"/>
        <v>0.33431169095085506</v>
      </c>
      <c r="R48" s="208"/>
      <c r="S48" s="154"/>
      <c r="T48" s="104"/>
    </row>
    <row r="49" spans="1:20">
      <c r="A49" s="212" t="s">
        <v>95</v>
      </c>
      <c r="B49" s="221">
        <f>'IODA iTunes data'!B129</f>
        <v>35339.03</v>
      </c>
      <c r="C49" s="221">
        <f>'IODA iTunes data'!H129</f>
        <v>18190.460000000003</v>
      </c>
      <c r="D49" s="221">
        <f>'IODA iTunes data'!N129</f>
        <v>0</v>
      </c>
      <c r="E49" s="221">
        <f>'IODA iTunes data'!T129</f>
        <v>0</v>
      </c>
      <c r="F49" s="221">
        <f>'IODA iTunes data'!Z129</f>
        <v>0</v>
      </c>
      <c r="G49" s="216">
        <f>SUM(B49:F49)</f>
        <v>53529.490000000005</v>
      </c>
      <c r="H49" s="217">
        <f t="shared" si="2"/>
        <v>107058.98000000001</v>
      </c>
      <c r="I49" s="302">
        <f>SUM(I50:I66)</f>
        <v>186189.36042148992</v>
      </c>
      <c r="J49" s="219">
        <f t="shared" si="10"/>
        <v>-79130.380421489914</v>
      </c>
      <c r="K49" s="220">
        <f t="shared" si="0"/>
        <v>-0.42499947495580259</v>
      </c>
      <c r="L49" s="258">
        <v>363453.13022959238</v>
      </c>
      <c r="M49" s="218">
        <f t="shared" si="4"/>
        <v>470512.11022959242</v>
      </c>
      <c r="N49" s="218">
        <v>459725.07752587798</v>
      </c>
      <c r="O49" s="219">
        <f t="shared" si="8"/>
        <v>10787.032703714445</v>
      </c>
      <c r="P49" s="220">
        <f t="shared" si="1"/>
        <v>2.3464094588373292E-2</v>
      </c>
      <c r="R49">
        <v>4.9325541168944859E-2</v>
      </c>
      <c r="S49">
        <f>R49*$S$127</f>
        <v>181256.80630459546</v>
      </c>
      <c r="T49" s="104"/>
    </row>
    <row r="50" spans="1:20" s="3" customFormat="1">
      <c r="A50" s="233" t="s">
        <v>126</v>
      </c>
      <c r="B50" s="234">
        <f>VLOOKUP($A50,'IODA iTunes data'!$A$138:$Z$249,2,FALSE)</f>
        <v>370.01</v>
      </c>
      <c r="C50" s="234">
        <f>VLOOKUP($A50,'IODA iTunes data'!$A$138:$Z$249,8,FALSE)</f>
        <v>1356.15</v>
      </c>
      <c r="D50" s="234">
        <f>VLOOKUP($A50,'IODA iTunes data'!$A$138:$Z$249,14,FALSE)</f>
        <v>0</v>
      </c>
      <c r="E50" s="234">
        <f>VLOOKUP($A50,'IODA iTunes data'!$A$138:$Z$249,20,FALSE)</f>
        <v>0</v>
      </c>
      <c r="F50" s="234">
        <f>VLOOKUP($A50,'IODA iTunes data'!$A$138:$Z$249,26,FALSE)</f>
        <v>0</v>
      </c>
      <c r="G50" s="235">
        <f t="shared" ref="G50:G66" si="18">SUM(B50:F50)</f>
        <v>1726.16</v>
      </c>
      <c r="H50" s="217">
        <f t="shared" si="2"/>
        <v>3452.32</v>
      </c>
      <c r="I50" s="304">
        <f>VLOOKUP($A50,[6]IODA!$D:$P,13,FALSE)</f>
        <v>2430.603007133725</v>
      </c>
      <c r="J50" s="237">
        <f t="shared" si="10"/>
        <v>1021.7169928662752</v>
      </c>
      <c r="K50" s="238">
        <f t="shared" si="0"/>
        <v>0.42035535620896364</v>
      </c>
      <c r="L50" s="259">
        <v>5057.1300045251846</v>
      </c>
      <c r="M50" s="236">
        <f t="shared" si="4"/>
        <v>8509.4500045251843</v>
      </c>
      <c r="N50" s="236">
        <v>6001.466213534577</v>
      </c>
      <c r="O50" s="237">
        <f t="shared" si="8"/>
        <v>2507.9837909906073</v>
      </c>
      <c r="P50" s="238">
        <f t="shared" si="1"/>
        <v>0.41789517790412162</v>
      </c>
      <c r="R50" s="208"/>
      <c r="S50" s="154"/>
      <c r="T50" s="104"/>
    </row>
    <row r="51" spans="1:20" s="3" customFormat="1">
      <c r="A51" s="233" t="s">
        <v>132</v>
      </c>
      <c r="B51" s="234">
        <f>VLOOKUP($A51,'IODA iTunes data'!$A$138:$Z$249,2,FALSE)</f>
        <v>6.1</v>
      </c>
      <c r="C51" s="234">
        <f>VLOOKUP($A51,'IODA iTunes data'!$A$138:$Z$249,8,FALSE)</f>
        <v>0.61</v>
      </c>
      <c r="D51" s="234">
        <f>VLOOKUP($A51,'IODA iTunes data'!$A$138:$Z$249,14,FALSE)</f>
        <v>0</v>
      </c>
      <c r="E51" s="234">
        <f>VLOOKUP($A51,'IODA iTunes data'!$A$138:$Z$249,20,FALSE)</f>
        <v>0</v>
      </c>
      <c r="F51" s="234">
        <f>VLOOKUP($A51,'IODA iTunes data'!$A$138:$Z$249,26,FALSE)</f>
        <v>0</v>
      </c>
      <c r="G51" s="235">
        <f t="shared" si="18"/>
        <v>6.71</v>
      </c>
      <c r="H51" s="217">
        <f t="shared" si="2"/>
        <v>13.42</v>
      </c>
      <c r="I51" s="304">
        <f>VLOOKUP($A51,[6]IODA!$D:$P,13,FALSE)</f>
        <v>21.461256602525186</v>
      </c>
      <c r="J51" s="237">
        <f t="shared" si="10"/>
        <v>-8.0412566025251859</v>
      </c>
      <c r="K51" s="238">
        <f t="shared" si="0"/>
        <v>-0.37468712813298322</v>
      </c>
      <c r="L51" s="259">
        <v>29.346666932106032</v>
      </c>
      <c r="M51" s="236">
        <f t="shared" si="4"/>
        <v>42.766666932106034</v>
      </c>
      <c r="N51" s="236">
        <v>52.990556673397791</v>
      </c>
      <c r="O51" s="237">
        <f t="shared" si="8"/>
        <v>-10.223889741291757</v>
      </c>
      <c r="P51" s="238">
        <f t="shared" si="1"/>
        <v>-0.19293795693269877</v>
      </c>
      <c r="R51" s="208"/>
      <c r="S51" s="154"/>
      <c r="T51" s="104"/>
    </row>
    <row r="52" spans="1:20" s="3" customFormat="1">
      <c r="A52" s="233" t="s">
        <v>134</v>
      </c>
      <c r="B52" s="234">
        <f>VLOOKUP($A52,'IODA iTunes data'!$A$138:$Z$249,2,FALSE)</f>
        <v>6.71</v>
      </c>
      <c r="C52" s="234">
        <f>VLOOKUP($A52,'IODA iTunes data'!$A$138:$Z$249,8,FALSE)</f>
        <v>8.9700000000000006</v>
      </c>
      <c r="D52" s="234">
        <f>VLOOKUP($A52,'IODA iTunes data'!$A$138:$Z$249,14,FALSE)</f>
        <v>0</v>
      </c>
      <c r="E52" s="234">
        <f>VLOOKUP($A52,'IODA iTunes data'!$A$138:$Z$249,20,FALSE)</f>
        <v>0</v>
      </c>
      <c r="F52" s="234">
        <f>VLOOKUP($A52,'IODA iTunes data'!$A$138:$Z$249,26,FALSE)</f>
        <v>0</v>
      </c>
      <c r="G52" s="235">
        <f t="shared" si="18"/>
        <v>15.68</v>
      </c>
      <c r="H52" s="217">
        <f t="shared" si="2"/>
        <v>31.36</v>
      </c>
      <c r="I52" s="304">
        <f>VLOOKUP($A52,[6]IODA!$D:$P,13,FALSE)</f>
        <v>50.892651312074356</v>
      </c>
      <c r="J52" s="237">
        <f t="shared" si="10"/>
        <v>-19.532651312074357</v>
      </c>
      <c r="K52" s="238">
        <f t="shared" si="0"/>
        <v>-0.38380101662025629</v>
      </c>
      <c r="L52" s="259">
        <v>118.00000023841848</v>
      </c>
      <c r="M52" s="236">
        <f t="shared" si="4"/>
        <v>149.36000023841848</v>
      </c>
      <c r="N52" s="236">
        <v>125.66039228544676</v>
      </c>
      <c r="O52" s="237">
        <f t="shared" si="8"/>
        <v>23.699607952971718</v>
      </c>
      <c r="P52" s="238">
        <f t="shared" si="1"/>
        <v>0.18860046130634645</v>
      </c>
      <c r="R52" s="208"/>
      <c r="S52" s="154"/>
      <c r="T52" s="104"/>
    </row>
    <row r="53" spans="1:20" s="3" customFormat="1">
      <c r="A53" s="233" t="s">
        <v>136</v>
      </c>
      <c r="B53" s="234">
        <f>VLOOKUP($A53,'IODA iTunes data'!$A$138:$Z$249,2,FALSE)</f>
        <v>29956.63</v>
      </c>
      <c r="C53" s="234">
        <f>VLOOKUP($A53,'IODA iTunes data'!$A$138:$Z$249,8,FALSE)</f>
        <v>9513.6</v>
      </c>
      <c r="D53" s="234">
        <f>VLOOKUP($A53,'IODA iTunes data'!$A$138:$Z$249,14,FALSE)</f>
        <v>0</v>
      </c>
      <c r="E53" s="234">
        <f>VLOOKUP($A53,'IODA iTunes data'!$A$138:$Z$249,20,FALSE)</f>
        <v>0</v>
      </c>
      <c r="F53" s="234">
        <f>VLOOKUP($A53,'IODA iTunes data'!$A$138:$Z$249,26,FALSE)</f>
        <v>0</v>
      </c>
      <c r="G53" s="235">
        <f t="shared" si="18"/>
        <v>39470.230000000003</v>
      </c>
      <c r="H53" s="217">
        <f t="shared" si="2"/>
        <v>78940.460000000006</v>
      </c>
      <c r="I53" s="304">
        <f>VLOOKUP($A53,[6]IODA!$D:$P,13,FALSE)</f>
        <v>153782.05562918269</v>
      </c>
      <c r="J53" s="237">
        <f t="shared" si="10"/>
        <v>-74841.595629182688</v>
      </c>
      <c r="K53" s="238">
        <f t="shared" si="0"/>
        <v>-0.48667313831237574</v>
      </c>
      <c r="L53" s="259">
        <v>299626.92997282749</v>
      </c>
      <c r="M53" s="236">
        <f t="shared" si="4"/>
        <v>378567.38997282751</v>
      </c>
      <c r="N53" s="236">
        <v>379707.34356771014</v>
      </c>
      <c r="O53" s="237">
        <f t="shared" si="8"/>
        <v>-1139.9535948826233</v>
      </c>
      <c r="P53" s="238">
        <f t="shared" si="1"/>
        <v>-3.0021900134237058E-3</v>
      </c>
      <c r="R53" s="208"/>
      <c r="S53" s="154"/>
      <c r="T53" s="104"/>
    </row>
    <row r="54" spans="1:20" s="3" customFormat="1">
      <c r="A54" s="233" t="s">
        <v>142</v>
      </c>
      <c r="B54" s="234">
        <f>VLOOKUP($A54,'IODA iTunes data'!$A$138:$Z$249,2,FALSE)</f>
        <v>1229.22</v>
      </c>
      <c r="C54" s="234">
        <f>VLOOKUP($A54,'IODA iTunes data'!$A$138:$Z$249,8,FALSE)</f>
        <v>2521.09</v>
      </c>
      <c r="D54" s="234">
        <f>VLOOKUP($A54,'IODA iTunes data'!$A$138:$Z$249,14,FALSE)</f>
        <v>0</v>
      </c>
      <c r="E54" s="234">
        <f>VLOOKUP($A54,'IODA iTunes data'!$A$138:$Z$249,20,FALSE)</f>
        <v>0</v>
      </c>
      <c r="F54" s="234">
        <f>VLOOKUP($A54,'IODA iTunes data'!$A$138:$Z$249,26,FALSE)</f>
        <v>0</v>
      </c>
      <c r="G54" s="235">
        <f t="shared" si="18"/>
        <v>3750.3100000000004</v>
      </c>
      <c r="H54" s="217">
        <f t="shared" si="2"/>
        <v>7500.6200000000008</v>
      </c>
      <c r="I54" s="304">
        <f>VLOOKUP($A54,[6]IODA!$D:$P,13,FALSE)</f>
        <v>8089.5884627076639</v>
      </c>
      <c r="J54" s="237">
        <f t="shared" si="10"/>
        <v>-588.96846270766309</v>
      </c>
      <c r="K54" s="238">
        <f t="shared" si="0"/>
        <v>-7.2805738564175312E-2</v>
      </c>
      <c r="L54" s="259">
        <v>16174.900008916849</v>
      </c>
      <c r="M54" s="236">
        <f t="shared" si="4"/>
        <v>23675.52000891685</v>
      </c>
      <c r="N54" s="236">
        <v>19974.216973256673</v>
      </c>
      <c r="O54" s="237">
        <f t="shared" si="8"/>
        <v>3701.3030356601776</v>
      </c>
      <c r="P54" s="238">
        <f t="shared" si="1"/>
        <v>0.18530403672974136</v>
      </c>
      <c r="R54" s="208"/>
      <c r="S54" s="154"/>
      <c r="T54" s="104"/>
    </row>
    <row r="55" spans="1:20" s="3" customFormat="1">
      <c r="A55" s="233" t="s">
        <v>143</v>
      </c>
      <c r="B55" s="234">
        <f>VLOOKUP($A55,'IODA iTunes data'!$A$138:$Z$249,2,FALSE)</f>
        <v>1975.26</v>
      </c>
      <c r="C55" s="234">
        <f>VLOOKUP($A55,'IODA iTunes data'!$A$138:$Z$249,8,FALSE)</f>
        <v>1841.18</v>
      </c>
      <c r="D55" s="234">
        <f>VLOOKUP($A55,'IODA iTunes data'!$A$138:$Z$249,14,FALSE)</f>
        <v>0</v>
      </c>
      <c r="E55" s="234">
        <f>VLOOKUP($A55,'IODA iTunes data'!$A$138:$Z$249,20,FALSE)</f>
        <v>0</v>
      </c>
      <c r="F55" s="234">
        <f>VLOOKUP($A55,'IODA iTunes data'!$A$138:$Z$249,26,FALSE)</f>
        <v>0</v>
      </c>
      <c r="G55" s="235">
        <f t="shared" si="18"/>
        <v>3816.44</v>
      </c>
      <c r="H55" s="217">
        <f t="shared" si="2"/>
        <v>7632.88</v>
      </c>
      <c r="I55" s="304">
        <f>VLOOKUP($A55,[6]IODA!$D:$P,13,FALSE)</f>
        <v>12513.945169238383</v>
      </c>
      <c r="J55" s="237">
        <f t="shared" si="10"/>
        <v>-4881.0651692383826</v>
      </c>
      <c r="K55" s="238">
        <f t="shared" si="0"/>
        <v>-0.39005006840184608</v>
      </c>
      <c r="L55" s="259">
        <v>23052.820101618767</v>
      </c>
      <c r="M55" s="236">
        <f t="shared" si="4"/>
        <v>30685.700101618768</v>
      </c>
      <c r="N55" s="236">
        <v>30898.513212888691</v>
      </c>
      <c r="O55" s="237">
        <f t="shared" si="8"/>
        <v>-212.81311126992296</v>
      </c>
      <c r="P55" s="238">
        <f t="shared" si="1"/>
        <v>-6.8874871034620613E-3</v>
      </c>
      <c r="R55" s="208"/>
      <c r="S55" s="154"/>
      <c r="T55" s="104"/>
    </row>
    <row r="56" spans="1:20" s="3" customFormat="1">
      <c r="A56" s="233" t="s">
        <v>144</v>
      </c>
      <c r="B56" s="234">
        <f>VLOOKUP($A56,'IODA iTunes data'!$A$138:$Z$249,2,FALSE)</f>
        <v>277.08</v>
      </c>
      <c r="C56" s="234">
        <f>VLOOKUP($A56,'IODA iTunes data'!$A$138:$Z$249,8,FALSE)</f>
        <v>473.9</v>
      </c>
      <c r="D56" s="234">
        <f>VLOOKUP($A56,'IODA iTunes data'!$A$138:$Z$249,14,FALSE)</f>
        <v>0</v>
      </c>
      <c r="E56" s="234">
        <f>VLOOKUP($A56,'IODA iTunes data'!$A$138:$Z$249,20,FALSE)</f>
        <v>0</v>
      </c>
      <c r="F56" s="234">
        <f>VLOOKUP($A56,'IODA iTunes data'!$A$138:$Z$249,26,FALSE)</f>
        <v>0</v>
      </c>
      <c r="G56" s="235">
        <f t="shared" si="18"/>
        <v>750.98</v>
      </c>
      <c r="H56" s="217">
        <f t="shared" si="2"/>
        <v>1501.96</v>
      </c>
      <c r="I56" s="304">
        <f>VLOOKUP($A56,[6]IODA!$D:$P,13,FALSE)</f>
        <v>1298.2192368639535</v>
      </c>
      <c r="J56" s="237">
        <f t="shared" si="10"/>
        <v>203.74076313604655</v>
      </c>
      <c r="K56" s="238">
        <f t="shared" si="0"/>
        <v>0.15693864129468105</v>
      </c>
      <c r="L56" s="259">
        <v>2785.2000257968884</v>
      </c>
      <c r="M56" s="236">
        <f t="shared" si="4"/>
        <v>4287.1600257968885</v>
      </c>
      <c r="N56" s="236">
        <v>3205.4674765614691</v>
      </c>
      <c r="O56" s="237">
        <f t="shared" si="8"/>
        <v>1081.6925492354194</v>
      </c>
      <c r="P56" s="238">
        <f t="shared" si="1"/>
        <v>0.33745235512286642</v>
      </c>
      <c r="R56" s="208"/>
      <c r="S56" s="154"/>
      <c r="T56" s="104"/>
    </row>
    <row r="57" spans="1:20" s="3" customFormat="1">
      <c r="A57" s="233" t="s">
        <v>146</v>
      </c>
      <c r="B57" s="234">
        <f>VLOOKUP($A57,'IODA iTunes data'!$A$138:$Z$249,2,FALSE)</f>
        <v>184.3</v>
      </c>
      <c r="C57" s="234">
        <f>VLOOKUP($A57,'IODA iTunes data'!$A$138:$Z$249,8,FALSE)</f>
        <v>166.28</v>
      </c>
      <c r="D57" s="234">
        <f>VLOOKUP($A57,'IODA iTunes data'!$A$138:$Z$249,14,FALSE)</f>
        <v>0</v>
      </c>
      <c r="E57" s="234">
        <f>VLOOKUP($A57,'IODA iTunes data'!$A$138:$Z$249,20,FALSE)</f>
        <v>0</v>
      </c>
      <c r="F57" s="234">
        <f>VLOOKUP($A57,'IODA iTunes data'!$A$138:$Z$249,26,FALSE)</f>
        <v>0</v>
      </c>
      <c r="G57" s="235">
        <f t="shared" si="18"/>
        <v>350.58000000000004</v>
      </c>
      <c r="H57" s="217">
        <f t="shared" si="2"/>
        <v>701.16000000000008</v>
      </c>
      <c r="I57" s="304">
        <f>VLOOKUP($A57,[6]IODA!$D:$P,13,FALSE)</f>
        <v>818.91014370942776</v>
      </c>
      <c r="J57" s="237">
        <f t="shared" si="10"/>
        <v>-117.75014370942768</v>
      </c>
      <c r="K57" s="238">
        <f t="shared" si="0"/>
        <v>-0.14378884498371622</v>
      </c>
      <c r="L57" s="259">
        <v>1751.140005409718</v>
      </c>
      <c r="M57" s="236">
        <f t="shared" si="4"/>
        <v>2452.3000054097183</v>
      </c>
      <c r="N57" s="236">
        <v>2021.9927092036569</v>
      </c>
      <c r="O57" s="237">
        <f t="shared" si="8"/>
        <v>430.30729620606144</v>
      </c>
      <c r="P57" s="238">
        <f t="shared" si="1"/>
        <v>0.21281347566061898</v>
      </c>
      <c r="R57" s="208"/>
      <c r="S57" s="154"/>
      <c r="T57" s="104"/>
    </row>
    <row r="58" spans="1:20" s="3" customFormat="1">
      <c r="A58" s="233" t="s">
        <v>147</v>
      </c>
      <c r="B58" s="234">
        <f>VLOOKUP($A58,'IODA iTunes data'!$A$138:$Z$249,2,FALSE)</f>
        <v>399.27</v>
      </c>
      <c r="C58" s="234">
        <f>VLOOKUP($A58,'IODA iTunes data'!$A$138:$Z$249,8,FALSE)</f>
        <v>459.01</v>
      </c>
      <c r="D58" s="234">
        <f>VLOOKUP($A58,'IODA iTunes data'!$A$138:$Z$249,14,FALSE)</f>
        <v>0</v>
      </c>
      <c r="E58" s="234">
        <f>VLOOKUP($A58,'IODA iTunes data'!$A$138:$Z$249,20,FALSE)</f>
        <v>0</v>
      </c>
      <c r="F58" s="234">
        <f>VLOOKUP($A58,'IODA iTunes data'!$A$138:$Z$249,26,FALSE)</f>
        <v>0</v>
      </c>
      <c r="G58" s="235">
        <f t="shared" si="18"/>
        <v>858.28</v>
      </c>
      <c r="H58" s="217">
        <f t="shared" si="2"/>
        <v>1716.56</v>
      </c>
      <c r="I58" s="304">
        <f>VLOOKUP($A58,[6]IODA!$D:$P,13,FALSE)</f>
        <v>1794.4664064993781</v>
      </c>
      <c r="J58" s="237">
        <f t="shared" si="10"/>
        <v>-77.906406499378136</v>
      </c>
      <c r="K58" s="238">
        <f t="shared" si="0"/>
        <v>-4.3414803541157926E-2</v>
      </c>
      <c r="L58" s="259">
        <v>4017.1000291109076</v>
      </c>
      <c r="M58" s="236">
        <f t="shared" si="4"/>
        <v>5733.660029110908</v>
      </c>
      <c r="N58" s="236">
        <v>4430.7644968433615</v>
      </c>
      <c r="O58" s="237">
        <f t="shared" si="8"/>
        <v>1302.8955322675465</v>
      </c>
      <c r="P58" s="238">
        <f t="shared" si="1"/>
        <v>0.29405659750044871</v>
      </c>
      <c r="R58" s="208"/>
      <c r="S58" s="154"/>
      <c r="T58" s="104"/>
    </row>
    <row r="59" spans="1:20" s="3" customFormat="1">
      <c r="A59" s="233" t="s">
        <v>148</v>
      </c>
      <c r="B59" s="234">
        <f>VLOOKUP($A59,'IODA iTunes data'!$A$138:$Z$249,2,FALSE)</f>
        <v>34.520000000000003</v>
      </c>
      <c r="C59" s="234">
        <f>VLOOKUP($A59,'IODA iTunes data'!$A$138:$Z$249,8,FALSE)</f>
        <v>137.43</v>
      </c>
      <c r="D59" s="234">
        <f>VLOOKUP($A59,'IODA iTunes data'!$A$138:$Z$249,14,FALSE)</f>
        <v>0</v>
      </c>
      <c r="E59" s="234">
        <f>VLOOKUP($A59,'IODA iTunes data'!$A$138:$Z$249,20,FALSE)</f>
        <v>0</v>
      </c>
      <c r="F59" s="234">
        <f>VLOOKUP($A59,'IODA iTunes data'!$A$138:$Z$249,26,FALSE)</f>
        <v>0</v>
      </c>
      <c r="G59" s="235">
        <f t="shared" si="18"/>
        <v>171.95000000000002</v>
      </c>
      <c r="H59" s="217">
        <f t="shared" si="2"/>
        <v>343.90000000000003</v>
      </c>
      <c r="I59" s="304">
        <f>VLOOKUP($A59,[6]IODA!$D:$P,13,FALSE)</f>
        <v>238.36923614524423</v>
      </c>
      <c r="J59" s="237">
        <f t="shared" si="10"/>
        <v>105.5307638547558</v>
      </c>
      <c r="K59" s="238">
        <f t="shared" si="0"/>
        <v>0.44271972995061037</v>
      </c>
      <c r="L59" s="259">
        <v>479.90000426769274</v>
      </c>
      <c r="M59" s="236">
        <f t="shared" si="4"/>
        <v>823.80000426769277</v>
      </c>
      <c r="N59" s="236">
        <v>588.56378967403407</v>
      </c>
      <c r="O59" s="237">
        <f t="shared" si="8"/>
        <v>235.2362145936587</v>
      </c>
      <c r="P59" s="238">
        <f t="shared" si="1"/>
        <v>0.39967836744414781</v>
      </c>
      <c r="R59" s="208"/>
      <c r="S59" s="154"/>
      <c r="T59" s="104"/>
    </row>
    <row r="60" spans="1:20" s="3" customFormat="1">
      <c r="A60" s="233" t="s">
        <v>153</v>
      </c>
      <c r="B60" s="234">
        <f>VLOOKUP($A60,'IODA iTunes data'!$A$138:$Z$249,2,FALSE)</f>
        <v>93.19</v>
      </c>
      <c r="C60" s="234">
        <f>VLOOKUP($A60,'IODA iTunes data'!$A$138:$Z$249,8,FALSE)</f>
        <v>208.19</v>
      </c>
      <c r="D60" s="234">
        <f>VLOOKUP($A60,'IODA iTunes data'!$A$138:$Z$249,14,FALSE)</f>
        <v>0</v>
      </c>
      <c r="E60" s="234">
        <f>VLOOKUP($A60,'IODA iTunes data'!$A$138:$Z$249,20,FALSE)</f>
        <v>0</v>
      </c>
      <c r="F60" s="234">
        <f>VLOOKUP($A60,'IODA iTunes data'!$A$138:$Z$249,26,FALSE)</f>
        <v>0</v>
      </c>
      <c r="G60" s="235">
        <f t="shared" si="18"/>
        <v>301.38</v>
      </c>
      <c r="H60" s="217">
        <f t="shared" si="2"/>
        <v>602.76</v>
      </c>
      <c r="I60" s="304">
        <f>VLOOKUP($A60,[6]IODA!$D:$P,13,FALSE)</f>
        <v>504.55708322088509</v>
      </c>
      <c r="J60" s="237">
        <f t="shared" si="10"/>
        <v>98.202916779114901</v>
      </c>
      <c r="K60" s="238">
        <f t="shared" si="0"/>
        <v>0.19463192579168215</v>
      </c>
      <c r="L60" s="259">
        <v>1040.8800078034405</v>
      </c>
      <c r="M60" s="236">
        <f t="shared" si="4"/>
        <v>1643.6400078034405</v>
      </c>
      <c r="N60" s="236">
        <v>1245.8152478468892</v>
      </c>
      <c r="O60" s="237">
        <f t="shared" si="8"/>
        <v>397.82475995655136</v>
      </c>
      <c r="P60" s="238">
        <f t="shared" si="1"/>
        <v>0.31932885766497221</v>
      </c>
      <c r="R60" s="208"/>
      <c r="S60" s="154"/>
      <c r="T60" s="104"/>
    </row>
    <row r="61" spans="1:20" s="3" customFormat="1">
      <c r="A61" s="233" t="s">
        <v>155</v>
      </c>
      <c r="B61" s="234">
        <f>VLOOKUP($A61,'IODA iTunes data'!$A$138:$Z$249,2,FALSE)</f>
        <v>24.85</v>
      </c>
      <c r="C61" s="234">
        <f>VLOOKUP($A61,'IODA iTunes data'!$A$138:$Z$249,8,FALSE)</f>
        <v>81.92</v>
      </c>
      <c r="D61" s="234">
        <f>VLOOKUP($A61,'IODA iTunes data'!$A$138:$Z$249,14,FALSE)</f>
        <v>0</v>
      </c>
      <c r="E61" s="234">
        <f>VLOOKUP($A61,'IODA iTunes data'!$A$138:$Z$249,20,FALSE)</f>
        <v>0</v>
      </c>
      <c r="F61" s="234">
        <f>VLOOKUP($A61,'IODA iTunes data'!$A$138:$Z$249,26,FALSE)</f>
        <v>0</v>
      </c>
      <c r="G61" s="235">
        <f t="shared" si="18"/>
        <v>106.77000000000001</v>
      </c>
      <c r="H61" s="217">
        <f t="shared" si="2"/>
        <v>213.54000000000002</v>
      </c>
      <c r="I61" s="304">
        <f>VLOOKUP($A61,[6]IODA!$D:$P,13,FALSE)</f>
        <v>288.08573947821799</v>
      </c>
      <c r="J61" s="237">
        <f t="shared" si="10"/>
        <v>-74.545739478217968</v>
      </c>
      <c r="K61" s="238">
        <f t="shared" si="0"/>
        <v>-0.25876233795270637</v>
      </c>
      <c r="L61" s="259">
        <v>526.74000364542007</v>
      </c>
      <c r="M61" s="236">
        <f t="shared" si="4"/>
        <v>740.28000364542004</v>
      </c>
      <c r="N61" s="236">
        <v>711.32012385621476</v>
      </c>
      <c r="O61" s="237">
        <f t="shared" si="8"/>
        <v>28.959879789205274</v>
      </c>
      <c r="P61" s="238">
        <f t="shared" si="1"/>
        <v>4.0712864458561537E-2</v>
      </c>
      <c r="R61" s="208"/>
      <c r="S61" s="154"/>
      <c r="T61" s="104"/>
    </row>
    <row r="62" spans="1:20" s="3" customFormat="1">
      <c r="A62" s="233" t="s">
        <v>172</v>
      </c>
      <c r="B62" s="234">
        <f>VLOOKUP($A62,'IODA iTunes data'!$A$138:$Z$249,2,FALSE)</f>
        <v>58.42</v>
      </c>
      <c r="C62" s="234">
        <f>VLOOKUP($A62,'IODA iTunes data'!$A$138:$Z$249,8,FALSE)</f>
        <v>84.79</v>
      </c>
      <c r="D62" s="234">
        <f>VLOOKUP($A62,'IODA iTunes data'!$A$138:$Z$249,14,FALSE)</f>
        <v>0</v>
      </c>
      <c r="E62" s="234">
        <f>VLOOKUP($A62,'IODA iTunes data'!$A$138:$Z$249,20,FALSE)</f>
        <v>0</v>
      </c>
      <c r="F62" s="234">
        <f>VLOOKUP($A62,'IODA iTunes data'!$A$138:$Z$249,26,FALSE)</f>
        <v>0</v>
      </c>
      <c r="G62" s="235">
        <f t="shared" si="18"/>
        <v>143.21</v>
      </c>
      <c r="H62" s="217">
        <f t="shared" si="2"/>
        <v>286.42</v>
      </c>
      <c r="I62" s="304">
        <f>VLOOKUP($A62,[6]IODA!$D:$P,13,FALSE)</f>
        <v>130.93688193193589</v>
      </c>
      <c r="J62" s="237">
        <f t="shared" si="10"/>
        <v>155.48311806806413</v>
      </c>
      <c r="K62" s="238">
        <f t="shared" si="0"/>
        <v>1.1874661728151428</v>
      </c>
      <c r="L62" s="259">
        <v>305.05000221729279</v>
      </c>
      <c r="M62" s="236">
        <f t="shared" si="4"/>
        <v>591.47000221729286</v>
      </c>
      <c r="N62" s="236">
        <v>323.29972056882508</v>
      </c>
      <c r="O62" s="237">
        <f t="shared" si="8"/>
        <v>268.17028164846778</v>
      </c>
      <c r="P62" s="238">
        <f t="shared" si="1"/>
        <v>0.82947885379127273</v>
      </c>
      <c r="R62" s="208"/>
      <c r="S62" s="154"/>
      <c r="T62" s="104"/>
    </row>
    <row r="63" spans="1:20" s="3" customFormat="1">
      <c r="A63" s="233" t="s">
        <v>175</v>
      </c>
      <c r="B63" s="234">
        <f>VLOOKUP($A63,'IODA iTunes data'!$A$138:$Z$249,2,FALSE)</f>
        <v>121.81</v>
      </c>
      <c r="C63" s="234">
        <f>VLOOKUP($A63,'IODA iTunes data'!$A$138:$Z$249,8,FALSE)</f>
        <v>167.14</v>
      </c>
      <c r="D63" s="234">
        <f>VLOOKUP($A63,'IODA iTunes data'!$A$138:$Z$249,14,FALSE)</f>
        <v>0</v>
      </c>
      <c r="E63" s="234">
        <f>VLOOKUP($A63,'IODA iTunes data'!$A$138:$Z$249,20,FALSE)</f>
        <v>0</v>
      </c>
      <c r="F63" s="234">
        <f>VLOOKUP($A63,'IODA iTunes data'!$A$138:$Z$249,26,FALSE)</f>
        <v>0</v>
      </c>
      <c r="G63" s="235">
        <f t="shared" si="18"/>
        <v>288.95</v>
      </c>
      <c r="H63" s="217">
        <f t="shared" si="2"/>
        <v>577.9</v>
      </c>
      <c r="I63" s="304">
        <f>VLOOKUP($A63,[6]IODA!$D:$P,13,FALSE)</f>
        <v>809.39487099087671</v>
      </c>
      <c r="J63" s="237">
        <f t="shared" si="10"/>
        <v>-231.49487099087673</v>
      </c>
      <c r="K63" s="238">
        <f t="shared" si="0"/>
        <v>-0.28600980718777758</v>
      </c>
      <c r="L63" s="259">
        <v>1509.8300107121468</v>
      </c>
      <c r="M63" s="236">
        <f t="shared" si="4"/>
        <v>2087.7300107121468</v>
      </c>
      <c r="N63" s="236">
        <v>1998.498297501973</v>
      </c>
      <c r="O63" s="237">
        <f t="shared" si="8"/>
        <v>89.231713210173893</v>
      </c>
      <c r="P63" s="238">
        <f t="shared" si="1"/>
        <v>4.4649381649065831E-2</v>
      </c>
      <c r="R63" s="208"/>
      <c r="S63" s="154"/>
      <c r="T63" s="104"/>
    </row>
    <row r="64" spans="1:20" s="3" customFormat="1">
      <c r="A64" s="233" t="s">
        <v>177</v>
      </c>
      <c r="B64" s="234">
        <f>VLOOKUP($A64,'IODA iTunes data'!$A$138:$Z$249,2,FALSE)</f>
        <v>21.64</v>
      </c>
      <c r="C64" s="234">
        <f>VLOOKUP($A64,'IODA iTunes data'!$A$138:$Z$249,8,FALSE)</f>
        <v>112.24</v>
      </c>
      <c r="D64" s="234">
        <f>VLOOKUP($A64,'IODA iTunes data'!$A$138:$Z$249,14,FALSE)</f>
        <v>0</v>
      </c>
      <c r="E64" s="234">
        <f>VLOOKUP($A64,'IODA iTunes data'!$A$138:$Z$249,20,FALSE)</f>
        <v>0</v>
      </c>
      <c r="F64" s="234">
        <f>VLOOKUP($A64,'IODA iTunes data'!$A$138:$Z$249,26,FALSE)</f>
        <v>0</v>
      </c>
      <c r="G64" s="235">
        <f t="shared" si="18"/>
        <v>133.88</v>
      </c>
      <c r="H64" s="217">
        <f t="shared" si="2"/>
        <v>267.76</v>
      </c>
      <c r="I64" s="304">
        <f>VLOOKUP($A64,[6]IODA!$D:$P,13,FALSE)</f>
        <v>249.05604670749514</v>
      </c>
      <c r="J64" s="237">
        <f t="shared" si="10"/>
        <v>18.703953292504849</v>
      </c>
      <c r="K64" s="238">
        <f t="shared" si="0"/>
        <v>7.5099374376851727E-2</v>
      </c>
      <c r="L64" s="259">
        <v>617.22000032663323</v>
      </c>
      <c r="M64" s="236">
        <f t="shared" si="4"/>
        <v>884.98000032663322</v>
      </c>
      <c r="N64" s="236">
        <v>614.95087647165383</v>
      </c>
      <c r="O64" s="237">
        <f t="shared" si="8"/>
        <v>270.02912385497939</v>
      </c>
      <c r="P64" s="238">
        <f t="shared" si="1"/>
        <v>0.43910682005089618</v>
      </c>
      <c r="R64" s="208"/>
      <c r="S64" s="154"/>
      <c r="T64" s="104"/>
    </row>
    <row r="65" spans="1:20" s="3" customFormat="1">
      <c r="A65" s="233" t="s">
        <v>178</v>
      </c>
      <c r="B65" s="234">
        <f>VLOOKUP($A65,'IODA iTunes data'!$A$138:$Z$249,2,FALSE)</f>
        <v>502.62</v>
      </c>
      <c r="C65" s="234">
        <f>VLOOKUP($A65,'IODA iTunes data'!$A$138:$Z$249,8,FALSE)</f>
        <v>981.1</v>
      </c>
      <c r="D65" s="234">
        <f>VLOOKUP($A65,'IODA iTunes data'!$A$138:$Z$249,14,FALSE)</f>
        <v>0</v>
      </c>
      <c r="E65" s="234">
        <f>VLOOKUP($A65,'IODA iTunes data'!$A$138:$Z$249,20,FALSE)</f>
        <v>0</v>
      </c>
      <c r="F65" s="234">
        <f>VLOOKUP($A65,'IODA iTunes data'!$A$138:$Z$249,26,FALSE)</f>
        <v>0</v>
      </c>
      <c r="G65" s="235">
        <f t="shared" si="18"/>
        <v>1483.72</v>
      </c>
      <c r="H65" s="217">
        <f t="shared" si="2"/>
        <v>2967.44</v>
      </c>
      <c r="I65" s="304">
        <f>VLOOKUP($A65,[6]IODA!$D:$P,13,FALSE)</f>
        <v>2135.6126009946624</v>
      </c>
      <c r="J65" s="237">
        <f t="shared" si="10"/>
        <v>831.82739900533761</v>
      </c>
      <c r="K65" s="238">
        <f t="shared" si="0"/>
        <v>0.38950294572054578</v>
      </c>
      <c r="L65" s="259">
        <v>4657.1900436878186</v>
      </c>
      <c r="M65" s="236">
        <f t="shared" si="4"/>
        <v>7624.6300436878191</v>
      </c>
      <c r="N65" s="236">
        <v>5273.097594486364</v>
      </c>
      <c r="O65" s="237">
        <f t="shared" si="8"/>
        <v>2351.5324492014552</v>
      </c>
      <c r="P65" s="238">
        <f t="shared" si="1"/>
        <v>0.44594897156090102</v>
      </c>
      <c r="R65" s="208"/>
      <c r="S65" s="154"/>
      <c r="T65" s="104"/>
    </row>
    <row r="66" spans="1:20" s="3" customFormat="1">
      <c r="A66" s="233" t="s">
        <v>195</v>
      </c>
      <c r="B66" s="234">
        <f>VLOOKUP($A66,'IODA iTunes data'!$A$138:$Z$249,2,FALSE)</f>
        <v>77.400000000000006</v>
      </c>
      <c r="C66" s="234">
        <f>VLOOKUP($A66,'IODA iTunes data'!$A$138:$Z$249,8,FALSE)</f>
        <v>76.86</v>
      </c>
      <c r="D66" s="234">
        <f>VLOOKUP($A66,'IODA iTunes data'!$A$138:$Z$249,14,FALSE)</f>
        <v>0</v>
      </c>
      <c r="E66" s="234">
        <f>VLOOKUP($A66,'IODA iTunes data'!$A$138:$Z$249,20,FALSE)</f>
        <v>0</v>
      </c>
      <c r="F66" s="234">
        <f>VLOOKUP($A66,'IODA iTunes data'!$A$138:$Z$249,26,FALSE)</f>
        <v>0</v>
      </c>
      <c r="G66" s="235">
        <f t="shared" si="18"/>
        <v>154.26</v>
      </c>
      <c r="H66" s="217">
        <f t="shared" si="2"/>
        <v>308.52</v>
      </c>
      <c r="I66" s="304">
        <f>VLOOKUP($A66,[6]IODA!$D:$P,13,FALSE)</f>
        <v>1033.2059987707444</v>
      </c>
      <c r="J66" s="237">
        <f t="shared" si="10"/>
        <v>-724.68599877074439</v>
      </c>
      <c r="K66" s="238">
        <f t="shared" si="0"/>
        <v>-0.70139546192428104</v>
      </c>
      <c r="L66" s="259">
        <v>1713.9200083017342</v>
      </c>
      <c r="M66" s="236">
        <f t="shared" si="4"/>
        <v>2022.4400083017342</v>
      </c>
      <c r="N66" s="236">
        <v>2551.1162765144732</v>
      </c>
      <c r="O66" s="237">
        <f t="shared" si="8"/>
        <v>-528.67626821273893</v>
      </c>
      <c r="P66" s="238">
        <f t="shared" si="1"/>
        <v>-0.20723330923005054</v>
      </c>
      <c r="R66" s="208"/>
      <c r="S66" s="154"/>
      <c r="T66" s="104"/>
    </row>
    <row r="67" spans="1:20">
      <c r="A67" s="212" t="s">
        <v>100</v>
      </c>
      <c r="B67" s="221">
        <f>'IODA iTunes data'!B130</f>
        <v>4884.7150629999987</v>
      </c>
      <c r="C67" s="221">
        <f>'IODA iTunes data'!H130</f>
        <v>5418.7716899999996</v>
      </c>
      <c r="D67" s="221">
        <f>'IODA iTunes data'!N130</f>
        <v>0</v>
      </c>
      <c r="E67" s="221">
        <f>'IODA iTunes data'!T130</f>
        <v>0</v>
      </c>
      <c r="F67" s="221">
        <f>'IODA iTunes data'!Z130</f>
        <v>0</v>
      </c>
      <c r="G67" s="216">
        <f>SUM(B67:F67)</f>
        <v>10303.486752999997</v>
      </c>
      <c r="H67" s="217">
        <f t="shared" si="2"/>
        <v>20606.973505999995</v>
      </c>
      <c r="I67" s="302">
        <f>SUM(I68:I80)</f>
        <v>22834.56800658449</v>
      </c>
      <c r="J67" s="225">
        <f t="shared" si="10"/>
        <v>-2227.5945005844951</v>
      </c>
      <c r="K67" s="220">
        <f t="shared" si="0"/>
        <v>-9.7553608193601662E-2</v>
      </c>
      <c r="L67" s="258">
        <v>30304.149304270744</v>
      </c>
      <c r="M67" s="224">
        <f t="shared" si="4"/>
        <v>50911.122810270739</v>
      </c>
      <c r="N67" s="224">
        <v>56381.43620737936</v>
      </c>
      <c r="O67" s="225">
        <f t="shared" si="8"/>
        <v>-5470.3133971086208</v>
      </c>
      <c r="P67" s="220">
        <f t="shared" si="1"/>
        <v>-9.7023307050710619E-2</v>
      </c>
      <c r="R67">
        <v>6.0493651287813182E-3</v>
      </c>
      <c r="S67">
        <f>R67*$S$127</f>
        <v>22229.631493706427</v>
      </c>
      <c r="T67" s="104"/>
    </row>
    <row r="68" spans="1:20" s="3" customFormat="1">
      <c r="A68" s="233" t="s">
        <v>137</v>
      </c>
      <c r="B68" s="234">
        <f>VLOOKUP($A68,'IODA iTunes data'!$A$138:$Z$249,2,FALSE)</f>
        <v>35.96</v>
      </c>
      <c r="C68" s="234">
        <f>VLOOKUP($A68,'IODA iTunes data'!$A$138:$Z$249,8,FALSE)</f>
        <v>16.12</v>
      </c>
      <c r="D68" s="234">
        <f>VLOOKUP($A68,'IODA iTunes data'!$A$138:$Z$249,14,FALSE)</f>
        <v>0</v>
      </c>
      <c r="E68" s="234">
        <f>VLOOKUP($A68,'IODA iTunes data'!$A$138:$Z$249,20,FALSE)</f>
        <v>0</v>
      </c>
      <c r="F68" s="234">
        <f>VLOOKUP($A68,'IODA iTunes data'!$A$138:$Z$249,26,FALSE)</f>
        <v>0</v>
      </c>
      <c r="G68" s="235">
        <f t="shared" ref="G68:G80" si="19">SUM(B68:F68)</f>
        <v>52.08</v>
      </c>
      <c r="H68" s="217">
        <f t="shared" si="2"/>
        <v>104.16</v>
      </c>
      <c r="I68" s="304">
        <f>VLOOKUP($A68,[6]IODA!$D:$P,13,FALSE)</f>
        <v>64.895503205584873</v>
      </c>
      <c r="J68" s="237">
        <f t="shared" si="10"/>
        <v>39.264496794415123</v>
      </c>
      <c r="K68" s="238">
        <f t="shared" si="0"/>
        <v>0.60504187277857557</v>
      </c>
      <c r="L68" s="259">
        <v>112.50999873876587</v>
      </c>
      <c r="M68" s="236">
        <f t="shared" si="4"/>
        <v>216.66999873876586</v>
      </c>
      <c r="N68" s="236">
        <v>160.23520449681374</v>
      </c>
      <c r="O68" s="237">
        <f t="shared" si="8"/>
        <v>56.434794241952119</v>
      </c>
      <c r="P68" s="238">
        <f t="shared" si="1"/>
        <v>0.35219972052442644</v>
      </c>
      <c r="R68" s="208"/>
      <c r="S68" s="154"/>
      <c r="T68" s="104"/>
    </row>
    <row r="69" spans="1:20" s="3" customFormat="1">
      <c r="A69" s="233" t="s">
        <v>139</v>
      </c>
      <c r="B69" s="234">
        <f>VLOOKUP($A69,'IODA iTunes data'!$A$138:$Z$249,2,FALSE)</f>
        <v>0.9</v>
      </c>
      <c r="C69" s="234">
        <f>VLOOKUP($A69,'IODA iTunes data'!$A$138:$Z$249,8,FALSE)</f>
        <v>5.58</v>
      </c>
      <c r="D69" s="234">
        <f>VLOOKUP($A69,'IODA iTunes data'!$A$138:$Z$249,14,FALSE)</f>
        <v>0</v>
      </c>
      <c r="E69" s="234">
        <f>VLOOKUP($A69,'IODA iTunes data'!$A$138:$Z$249,20,FALSE)</f>
        <v>0</v>
      </c>
      <c r="F69" s="234">
        <f>VLOOKUP($A69,'IODA iTunes data'!$A$138:$Z$249,26,FALSE)</f>
        <v>0</v>
      </c>
      <c r="G69" s="235">
        <f t="shared" si="19"/>
        <v>6.48</v>
      </c>
      <c r="H69" s="217">
        <f t="shared" ref="H69:H125" si="20">IFERROR((((B69+C69+D69+E69+F69))/COUNTIF(B69:F69, "&gt;0")*4),0)</f>
        <v>12.96</v>
      </c>
      <c r="I69" s="304">
        <f>VLOOKUP($A69,[6]IODA!$D:$P,13,FALSE)</f>
        <v>22.575025327080468</v>
      </c>
      <c r="J69" s="237">
        <f t="shared" si="10"/>
        <v>-9.6150253270804669</v>
      </c>
      <c r="K69" s="238">
        <f t="shared" si="0"/>
        <v>-0.42591426533402421</v>
      </c>
      <c r="L69" s="259">
        <v>53.729999721050234</v>
      </c>
      <c r="M69" s="236">
        <f t="shared" ref="M69:M125" si="21">L69+H69</f>
        <v>66.689999721050242</v>
      </c>
      <c r="N69" s="236">
        <v>55.740592508329364</v>
      </c>
      <c r="O69" s="237">
        <f t="shared" si="8"/>
        <v>10.949407212720878</v>
      </c>
      <c r="P69" s="238">
        <f t="shared" si="1"/>
        <v>0.19643507038581801</v>
      </c>
      <c r="R69" s="208"/>
      <c r="S69" s="154"/>
      <c r="T69" s="104"/>
    </row>
    <row r="70" spans="1:20" s="3" customFormat="1">
      <c r="A70" s="233" t="s">
        <v>156</v>
      </c>
      <c r="B70" s="234">
        <f>VLOOKUP($A70,'IODA iTunes data'!$A$138:$Z$249,2,FALSE)</f>
        <v>712.50663299999997</v>
      </c>
      <c r="C70" s="234">
        <f>VLOOKUP($A70,'IODA iTunes data'!$A$138:$Z$249,8,FALSE)</f>
        <v>768.56828599999994</v>
      </c>
      <c r="D70" s="234">
        <f>VLOOKUP($A70,'IODA iTunes data'!$A$138:$Z$249,14,FALSE)</f>
        <v>0</v>
      </c>
      <c r="E70" s="234">
        <f>VLOOKUP($A70,'IODA iTunes data'!$A$138:$Z$249,20,FALSE)</f>
        <v>0</v>
      </c>
      <c r="F70" s="234">
        <f>VLOOKUP($A70,'IODA iTunes data'!$A$138:$Z$249,26,FALSE)</f>
        <v>0</v>
      </c>
      <c r="G70" s="235">
        <f t="shared" si="19"/>
        <v>1481.0749189999999</v>
      </c>
      <c r="H70" s="217">
        <f t="shared" si="20"/>
        <v>2962.1498379999998</v>
      </c>
      <c r="I70" s="304">
        <f>VLOOKUP($A70,[6]IODA!$D:$P,13,FALSE)</f>
        <v>4865.249109976201</v>
      </c>
      <c r="J70" s="237">
        <f t="shared" si="10"/>
        <v>-1903.0992719762012</v>
      </c>
      <c r="K70" s="238">
        <f t="shared" si="0"/>
        <v>-0.39116173272071375</v>
      </c>
      <c r="L70" s="259">
        <v>5675.3195918798456</v>
      </c>
      <c r="M70" s="236">
        <f t="shared" si="21"/>
        <v>8637.4694298798458</v>
      </c>
      <c r="N70" s="236">
        <v>12012.915341688684</v>
      </c>
      <c r="O70" s="237">
        <f t="shared" ref="O70:O80" si="22">M70-N70</f>
        <v>-3375.445911808838</v>
      </c>
      <c r="P70" s="238">
        <f t="shared" si="1"/>
        <v>-0.28098474148860053</v>
      </c>
      <c r="R70" s="208"/>
      <c r="S70" s="154"/>
      <c r="T70" s="104"/>
    </row>
    <row r="71" spans="1:20" s="3" customFormat="1">
      <c r="A71" s="233" t="s">
        <v>201</v>
      </c>
      <c r="B71" s="234">
        <f>VLOOKUP($A71,'IODA iTunes data'!$A$138:$Z$249,2,FALSE)</f>
        <v>0</v>
      </c>
      <c r="C71" s="234">
        <f>VLOOKUP($A71,'IODA iTunes data'!$A$138:$Z$249,8,FALSE)</f>
        <v>0</v>
      </c>
      <c r="D71" s="234">
        <f>VLOOKUP($A71,'IODA iTunes data'!$A$138:$Z$249,14,FALSE)</f>
        <v>0</v>
      </c>
      <c r="E71" s="234">
        <f>VLOOKUP($A71,'IODA iTunes data'!$A$138:$Z$249,20,FALSE)</f>
        <v>0</v>
      </c>
      <c r="F71" s="234">
        <f>VLOOKUP($A71,'IODA iTunes data'!$A$138:$Z$249,26,FALSE)</f>
        <v>0</v>
      </c>
      <c r="G71" s="235">
        <f t="shared" si="19"/>
        <v>0</v>
      </c>
      <c r="H71" s="217">
        <f t="shared" si="20"/>
        <v>0</v>
      </c>
      <c r="I71" s="304">
        <f>VLOOKUP($A71,[6]IODA!$D:$P,13,FALSE)</f>
        <v>3.2255898578298567</v>
      </c>
      <c r="J71" s="237">
        <f t="shared" si="10"/>
        <v>-3.2255898578298567</v>
      </c>
      <c r="K71" s="238">
        <f t="shared" si="0"/>
        <v>-1</v>
      </c>
      <c r="L71" s="259">
        <v>27.9000002145767</v>
      </c>
      <c r="M71" s="236">
        <f t="shared" si="21"/>
        <v>27.9000002145767</v>
      </c>
      <c r="N71" s="236">
        <v>7.9643892868024695</v>
      </c>
      <c r="O71" s="237">
        <f t="shared" si="22"/>
        <v>19.935610927774231</v>
      </c>
      <c r="P71" s="238">
        <f t="shared" si="1"/>
        <v>2.5030934839924117</v>
      </c>
      <c r="R71" s="208"/>
      <c r="S71" s="154"/>
      <c r="T71" s="104"/>
    </row>
    <row r="72" spans="1:20" s="3" customFormat="1">
      <c r="A72" s="233" t="s">
        <v>163</v>
      </c>
      <c r="B72" s="234">
        <f>VLOOKUP($A72,'IODA iTunes data'!$A$138:$Z$249,2,FALSE)</f>
        <v>24.8</v>
      </c>
      <c r="C72" s="234">
        <f>VLOOKUP($A72,'IODA iTunes data'!$A$138:$Z$249,8,FALSE)</f>
        <v>37.200000000000003</v>
      </c>
      <c r="D72" s="234">
        <f>VLOOKUP($A72,'IODA iTunes data'!$A$138:$Z$249,14,FALSE)</f>
        <v>0</v>
      </c>
      <c r="E72" s="234">
        <f>VLOOKUP($A72,'IODA iTunes data'!$A$138:$Z$249,20,FALSE)</f>
        <v>0</v>
      </c>
      <c r="F72" s="234">
        <f>VLOOKUP($A72,'IODA iTunes data'!$A$138:$Z$249,26,FALSE)</f>
        <v>0</v>
      </c>
      <c r="G72" s="235">
        <f t="shared" si="19"/>
        <v>62</v>
      </c>
      <c r="H72" s="217">
        <f t="shared" si="20"/>
        <v>124</v>
      </c>
      <c r="I72" s="304">
        <f>VLOOKUP($A72,[6]IODA!$D:$P,13,FALSE)</f>
        <v>137.09988060246866</v>
      </c>
      <c r="J72" s="237">
        <f t="shared" ref="J72:J80" si="23">H72-I72</f>
        <v>-13.099880602468659</v>
      </c>
      <c r="K72" s="238">
        <f t="shared" si="0"/>
        <v>-9.5549905258143442E-2</v>
      </c>
      <c r="L72" s="259">
        <v>179.45999765396135</v>
      </c>
      <c r="M72" s="236">
        <f t="shared" si="21"/>
        <v>303.45999765396135</v>
      </c>
      <c r="N72" s="236">
        <v>338.51694369687448</v>
      </c>
      <c r="O72" s="237">
        <f t="shared" si="22"/>
        <v>-35.056946042913125</v>
      </c>
      <c r="P72" s="238">
        <f t="shared" si="1"/>
        <v>-0.10356038802685434</v>
      </c>
      <c r="R72" s="208"/>
      <c r="S72" s="154"/>
      <c r="T72" s="104"/>
    </row>
    <row r="73" spans="1:20" s="3" customFormat="1">
      <c r="A73" s="233" t="s">
        <v>164</v>
      </c>
      <c r="B73" s="234">
        <f>VLOOKUP($A73,'IODA iTunes data'!$A$138:$Z$249,2,FALSE)</f>
        <v>517.05999999999995</v>
      </c>
      <c r="C73" s="234">
        <f>VLOOKUP($A73,'IODA iTunes data'!$A$138:$Z$249,8,FALSE)</f>
        <v>522.52</v>
      </c>
      <c r="D73" s="234">
        <f>VLOOKUP($A73,'IODA iTunes data'!$A$138:$Z$249,14,FALSE)</f>
        <v>0</v>
      </c>
      <c r="E73" s="234">
        <f>VLOOKUP($A73,'IODA iTunes data'!$A$138:$Z$249,20,FALSE)</f>
        <v>0</v>
      </c>
      <c r="F73" s="234">
        <f>VLOOKUP($A73,'IODA iTunes data'!$A$138:$Z$249,26,FALSE)</f>
        <v>0</v>
      </c>
      <c r="G73" s="235">
        <f t="shared" si="19"/>
        <v>1039.58</v>
      </c>
      <c r="H73" s="217">
        <f t="shared" si="20"/>
        <v>2079.16</v>
      </c>
      <c r="I73" s="304">
        <f>VLOOKUP($A73,[6]IODA!$D:$P,13,FALSE)</f>
        <v>2794.6247936745517</v>
      </c>
      <c r="J73" s="237">
        <f t="shared" si="23"/>
        <v>-715.46479367455186</v>
      </c>
      <c r="K73" s="238">
        <f t="shared" si="0"/>
        <v>-0.25601461609227794</v>
      </c>
      <c r="L73" s="259">
        <v>4292.2399585247058</v>
      </c>
      <c r="M73" s="236">
        <f t="shared" si="21"/>
        <v>6371.3999585247057</v>
      </c>
      <c r="N73" s="236">
        <v>6900.2820409253036</v>
      </c>
      <c r="O73" s="237">
        <f t="shared" si="22"/>
        <v>-528.88208240059794</v>
      </c>
      <c r="P73" s="238">
        <f t="shared" si="1"/>
        <v>-7.6646444198051458E-2</v>
      </c>
      <c r="R73" s="208"/>
      <c r="S73" s="154"/>
      <c r="T73" s="104"/>
    </row>
    <row r="74" spans="1:20" s="3" customFormat="1">
      <c r="A74" s="233" t="s">
        <v>168</v>
      </c>
      <c r="B74" s="234">
        <f>VLOOKUP($A74,'IODA iTunes data'!$A$138:$Z$249,2,FALSE)</f>
        <v>2.48</v>
      </c>
      <c r="C74" s="234">
        <f>VLOOKUP($A74,'IODA iTunes data'!$A$138:$Z$249,8,FALSE)</f>
        <v>19.84</v>
      </c>
      <c r="D74" s="234">
        <f>VLOOKUP($A74,'IODA iTunes data'!$A$138:$Z$249,14,FALSE)</f>
        <v>0</v>
      </c>
      <c r="E74" s="234">
        <f>VLOOKUP($A74,'IODA iTunes data'!$A$138:$Z$249,20,FALSE)</f>
        <v>0</v>
      </c>
      <c r="F74" s="234">
        <f>VLOOKUP($A74,'IODA iTunes data'!$A$138:$Z$249,26,FALSE)</f>
        <v>0</v>
      </c>
      <c r="G74" s="235">
        <f t="shared" si="19"/>
        <v>22.32</v>
      </c>
      <c r="H74" s="217">
        <f t="shared" si="20"/>
        <v>44.64</v>
      </c>
      <c r="I74" s="304">
        <f>VLOOKUP($A74,[6]IODA!$D:$P,13,FALSE)</f>
        <v>13.768262094075153</v>
      </c>
      <c r="J74" s="237">
        <f t="shared" si="23"/>
        <v>30.871737905924846</v>
      </c>
      <c r="K74" s="238">
        <f t="shared" si="0"/>
        <v>2.2422392670175686</v>
      </c>
      <c r="L74" s="259">
        <v>20.846666455268839</v>
      </c>
      <c r="M74" s="236">
        <f t="shared" si="21"/>
        <v>65.486666455268846</v>
      </c>
      <c r="N74" s="236">
        <v>33.995580328900203</v>
      </c>
      <c r="O74" s="237">
        <f t="shared" si="22"/>
        <v>31.491086126368643</v>
      </c>
      <c r="P74" s="238">
        <f t="shared" si="1"/>
        <v>0.9263288292683608</v>
      </c>
      <c r="R74" s="208"/>
      <c r="S74" s="154"/>
      <c r="T74" s="104"/>
    </row>
    <row r="75" spans="1:20" s="3" customFormat="1">
      <c r="A75" s="233" t="s">
        <v>179</v>
      </c>
      <c r="B75" s="234">
        <f>VLOOKUP($A75,'IODA iTunes data'!$A$138:$Z$249,2,FALSE)</f>
        <v>300.75</v>
      </c>
      <c r="C75" s="234">
        <f>VLOOKUP($A75,'IODA iTunes data'!$A$138:$Z$249,8,FALSE)</f>
        <v>1335.8</v>
      </c>
      <c r="D75" s="234">
        <f>VLOOKUP($A75,'IODA iTunes data'!$A$138:$Z$249,14,FALSE)</f>
        <v>0</v>
      </c>
      <c r="E75" s="234">
        <f>VLOOKUP($A75,'IODA iTunes data'!$A$138:$Z$249,20,FALSE)</f>
        <v>0</v>
      </c>
      <c r="F75" s="234">
        <f>VLOOKUP($A75,'IODA iTunes data'!$A$138:$Z$249,26,FALSE)</f>
        <v>0</v>
      </c>
      <c r="G75" s="235">
        <f t="shared" si="19"/>
        <v>1636.55</v>
      </c>
      <c r="H75" s="217">
        <f t="shared" si="20"/>
        <v>3273.1</v>
      </c>
      <c r="I75" s="304">
        <f>VLOOKUP($A75,[6]IODA!$D:$P,13,FALSE)</f>
        <v>2409.8193092084371</v>
      </c>
      <c r="J75" s="237">
        <f t="shared" si="23"/>
        <v>863.28069079156285</v>
      </c>
      <c r="K75" s="238">
        <f t="shared" si="0"/>
        <v>0.35823461431020243</v>
      </c>
      <c r="L75" s="259">
        <v>2608.5299814343452</v>
      </c>
      <c r="M75" s="236">
        <f t="shared" si="21"/>
        <v>5881.6299814343456</v>
      </c>
      <c r="N75" s="236">
        <v>5950.1486349234983</v>
      </c>
      <c r="O75" s="237">
        <f t="shared" si="22"/>
        <v>-68.518653489152712</v>
      </c>
      <c r="P75" s="238">
        <f t="shared" si="1"/>
        <v>-1.1515452418615702E-2</v>
      </c>
      <c r="R75" s="208"/>
      <c r="S75" s="154"/>
      <c r="T75" s="104"/>
    </row>
    <row r="76" spans="1:20" s="3" customFormat="1">
      <c r="A76" s="233" t="s">
        <v>182</v>
      </c>
      <c r="B76" s="234">
        <f>VLOOKUP($A76,'IODA iTunes data'!$A$138:$Z$249,2,FALSE)</f>
        <v>743.29676600000005</v>
      </c>
      <c r="C76" s="234">
        <f>VLOOKUP($A76,'IODA iTunes data'!$A$138:$Z$249,8,FALSE)</f>
        <v>1360.3302200000001</v>
      </c>
      <c r="D76" s="234">
        <f>VLOOKUP($A76,'IODA iTunes data'!$A$138:$Z$249,14,FALSE)</f>
        <v>0</v>
      </c>
      <c r="E76" s="234">
        <f>VLOOKUP($A76,'IODA iTunes data'!$A$138:$Z$249,20,FALSE)</f>
        <v>0</v>
      </c>
      <c r="F76" s="234">
        <f>VLOOKUP($A76,'IODA iTunes data'!$A$138:$Z$249,26,FALSE)</f>
        <v>0</v>
      </c>
      <c r="G76" s="235">
        <f t="shared" si="19"/>
        <v>2103.6269860000002</v>
      </c>
      <c r="H76" s="217">
        <f t="shared" si="20"/>
        <v>4207.2539720000004</v>
      </c>
      <c r="I76" s="304">
        <f>VLOOKUP($A76,[6]IODA!$D:$P,13,FALSE)</f>
        <v>5560.3917217933786</v>
      </c>
      <c r="J76" s="237">
        <f t="shared" si="23"/>
        <v>-1353.1377497933781</v>
      </c>
      <c r="K76" s="238">
        <f t="shared" si="0"/>
        <v>-0.24335295380177893</v>
      </c>
      <c r="L76" s="259">
        <v>7051.9027798771858</v>
      </c>
      <c r="M76" s="236">
        <f t="shared" si="21"/>
        <v>11259.156751877186</v>
      </c>
      <c r="N76" s="236">
        <v>13729.310362251352</v>
      </c>
      <c r="O76" s="237">
        <f t="shared" si="22"/>
        <v>-2470.1536103741655</v>
      </c>
      <c r="P76" s="238">
        <f t="shared" si="1"/>
        <v>-0.17991825847027515</v>
      </c>
      <c r="R76" s="208"/>
      <c r="S76" s="154"/>
      <c r="T76" s="104"/>
    </row>
    <row r="77" spans="1:20" s="3" customFormat="1">
      <c r="A77" s="233" t="s">
        <v>184</v>
      </c>
      <c r="B77" s="234">
        <f>VLOOKUP($A77,'IODA iTunes data'!$A$138:$Z$249,2,FALSE)</f>
        <v>17.36</v>
      </c>
      <c r="C77" s="234">
        <f>VLOOKUP($A77,'IODA iTunes data'!$A$138:$Z$249,8,FALSE)</f>
        <v>138.26</v>
      </c>
      <c r="D77" s="234">
        <f>VLOOKUP($A77,'IODA iTunes data'!$A$138:$Z$249,14,FALSE)</f>
        <v>0</v>
      </c>
      <c r="E77" s="234">
        <f>VLOOKUP($A77,'IODA iTunes data'!$A$138:$Z$249,20,FALSE)</f>
        <v>0</v>
      </c>
      <c r="F77" s="234">
        <f>VLOOKUP($A77,'IODA iTunes data'!$A$138:$Z$249,26,FALSE)</f>
        <v>0</v>
      </c>
      <c r="G77" s="235">
        <f t="shared" si="19"/>
        <v>155.62</v>
      </c>
      <c r="H77" s="217">
        <f t="shared" si="20"/>
        <v>311.24</v>
      </c>
      <c r="I77" s="304">
        <f>VLOOKUP($A77,[6]IODA!$D:$P,13,FALSE)</f>
        <v>175.9013465417558</v>
      </c>
      <c r="J77" s="237">
        <f t="shared" si="23"/>
        <v>135.33865345824421</v>
      </c>
      <c r="K77" s="238">
        <f t="shared" si="0"/>
        <v>0.76940089498471953</v>
      </c>
      <c r="L77" s="259">
        <v>207.30999773740774</v>
      </c>
      <c r="M77" s="236">
        <f t="shared" si="21"/>
        <v>518.54999773740769</v>
      </c>
      <c r="N77" s="236">
        <v>434.32267017165992</v>
      </c>
      <c r="O77" s="237">
        <f t="shared" si="22"/>
        <v>84.227327565747771</v>
      </c>
      <c r="P77" s="238">
        <f t="shared" si="1"/>
        <v>0.1939280018067169</v>
      </c>
      <c r="R77" s="208"/>
      <c r="S77" s="154"/>
      <c r="T77" s="104"/>
    </row>
    <row r="78" spans="1:20" s="3" customFormat="1">
      <c r="A78" s="233" t="s">
        <v>186</v>
      </c>
      <c r="B78" s="234">
        <f>VLOOKUP($A78,'IODA iTunes data'!$A$138:$Z$249,2,FALSE)</f>
        <v>2072.6016639999998</v>
      </c>
      <c r="C78" s="234">
        <f>VLOOKUP($A78,'IODA iTunes data'!$A$138:$Z$249,8,FALSE)</f>
        <v>438.36318399999999</v>
      </c>
      <c r="D78" s="234">
        <f>VLOOKUP($A78,'IODA iTunes data'!$A$138:$Z$249,14,FALSE)</f>
        <v>0</v>
      </c>
      <c r="E78" s="234">
        <f>VLOOKUP($A78,'IODA iTunes data'!$A$138:$Z$249,20,FALSE)</f>
        <v>0</v>
      </c>
      <c r="F78" s="234">
        <f>VLOOKUP($A78,'IODA iTunes data'!$A$138:$Z$249,26,FALSE)</f>
        <v>0</v>
      </c>
      <c r="G78" s="235">
        <f t="shared" si="19"/>
        <v>2510.9648479999996</v>
      </c>
      <c r="H78" s="217">
        <f t="shared" si="20"/>
        <v>5021.9296959999992</v>
      </c>
      <c r="I78" s="304">
        <f>VLOOKUP($A78,[6]IODA!$D:$P,13,FALSE)</f>
        <v>3787.1532318316413</v>
      </c>
      <c r="J78" s="237">
        <f t="shared" si="23"/>
        <v>1234.776464168358</v>
      </c>
      <c r="K78" s="238">
        <f t="shared" si="0"/>
        <v>0.3260434391167118</v>
      </c>
      <c r="L78" s="259">
        <v>5901.0170396566382</v>
      </c>
      <c r="M78" s="236">
        <f t="shared" si="21"/>
        <v>10922.946735656638</v>
      </c>
      <c r="N78" s="236">
        <v>9350.9602759515728</v>
      </c>
      <c r="O78" s="237">
        <f t="shared" si="22"/>
        <v>1571.9864597050655</v>
      </c>
      <c r="P78" s="238">
        <f t="shared" si="1"/>
        <v>0.16810962867074067</v>
      </c>
      <c r="R78" s="208"/>
      <c r="S78" s="154"/>
      <c r="T78" s="104"/>
    </row>
    <row r="79" spans="1:20" s="3" customFormat="1">
      <c r="A79" s="233" t="s">
        <v>188</v>
      </c>
      <c r="B79" s="234">
        <f>VLOOKUP($A79,'IODA iTunes data'!$A$138:$Z$249,2,FALSE)</f>
        <v>453.9</v>
      </c>
      <c r="C79" s="234">
        <f>VLOOKUP($A79,'IODA iTunes data'!$A$138:$Z$249,8,FALSE)</f>
        <v>673.08</v>
      </c>
      <c r="D79" s="234">
        <f>VLOOKUP($A79,'IODA iTunes data'!$A$138:$Z$249,14,FALSE)</f>
        <v>0</v>
      </c>
      <c r="E79" s="234">
        <f>VLOOKUP($A79,'IODA iTunes data'!$A$138:$Z$249,20,FALSE)</f>
        <v>0</v>
      </c>
      <c r="F79" s="234">
        <f>VLOOKUP($A79,'IODA iTunes data'!$A$138:$Z$249,26,FALSE)</f>
        <v>0</v>
      </c>
      <c r="G79" s="235">
        <f t="shared" si="19"/>
        <v>1126.98</v>
      </c>
      <c r="H79" s="217">
        <f t="shared" si="20"/>
        <v>2253.96</v>
      </c>
      <c r="I79" s="304">
        <f>VLOOKUP($A79,[6]IODA!$D:$P,13,FALSE)</f>
        <v>2843.7268061805789</v>
      </c>
      <c r="J79" s="237">
        <f t="shared" si="23"/>
        <v>-589.7668061805789</v>
      </c>
      <c r="K79" s="238">
        <f t="shared" si="0"/>
        <v>-0.20739221675541228</v>
      </c>
      <c r="L79" s="259">
        <v>4056.6899608969698</v>
      </c>
      <c r="M79" s="236">
        <f t="shared" si="21"/>
        <v>6310.6499608969698</v>
      </c>
      <c r="N79" s="236">
        <v>7021.521119543484</v>
      </c>
      <c r="O79" s="237">
        <f t="shared" si="22"/>
        <v>-710.87115864651423</v>
      </c>
      <c r="P79" s="238">
        <f t="shared" si="1"/>
        <v>-0.10124176037410149</v>
      </c>
      <c r="R79" s="208"/>
      <c r="S79" s="154"/>
      <c r="T79" s="104"/>
    </row>
    <row r="80" spans="1:20" s="3" customFormat="1">
      <c r="A80" s="233" t="s">
        <v>196</v>
      </c>
      <c r="B80" s="234">
        <f>VLOOKUP($A80,'IODA iTunes data'!$A$138:$Z$249,2,FALSE)</f>
        <v>3.1</v>
      </c>
      <c r="C80" s="234">
        <f>VLOOKUP($A80,'IODA iTunes data'!$A$138:$Z$249,8,FALSE)</f>
        <v>103.11</v>
      </c>
      <c r="D80" s="234">
        <f>VLOOKUP($A80,'IODA iTunes data'!$A$138:$Z$249,14,FALSE)</f>
        <v>0</v>
      </c>
      <c r="E80" s="234">
        <f>VLOOKUP($A80,'IODA iTunes data'!$A$138:$Z$249,20,FALSE)</f>
        <v>0</v>
      </c>
      <c r="F80" s="234">
        <f>VLOOKUP($A80,'IODA iTunes data'!$A$138:$Z$249,26,FALSE)</f>
        <v>0</v>
      </c>
      <c r="G80" s="235">
        <f t="shared" si="19"/>
        <v>106.21</v>
      </c>
      <c r="H80" s="217">
        <f t="shared" si="20"/>
        <v>212.42</v>
      </c>
      <c r="I80" s="304">
        <f>VLOOKUP($A80,[6]IODA!$D:$P,13,FALSE)</f>
        <v>156.13742629090598</v>
      </c>
      <c r="J80" s="237">
        <f t="shared" si="23"/>
        <v>56.282573709094009</v>
      </c>
      <c r="K80" s="238">
        <f t="shared" si="0"/>
        <v>0.36046817887360116</v>
      </c>
      <c r="L80" s="259">
        <v>158.26999825239187</v>
      </c>
      <c r="M80" s="236">
        <f t="shared" si="21"/>
        <v>370.68999825239189</v>
      </c>
      <c r="N80" s="236">
        <v>385.52305160608427</v>
      </c>
      <c r="O80" s="237">
        <f t="shared" si="22"/>
        <v>-14.833053353692378</v>
      </c>
      <c r="P80" s="238">
        <f t="shared" si="1"/>
        <v>-3.8475139921978881E-2</v>
      </c>
      <c r="R80" s="208"/>
      <c r="S80" s="154"/>
      <c r="T80" s="104"/>
    </row>
    <row r="81" spans="1:20">
      <c r="A81" s="212" t="s">
        <v>26</v>
      </c>
      <c r="B81" s="221">
        <f>'IODA iTunes data'!B131</f>
        <v>4498.7183800000003</v>
      </c>
      <c r="C81" s="221">
        <f>'IODA iTunes data'!H131</f>
        <v>10659.372379999999</v>
      </c>
      <c r="D81" s="221">
        <f>'IODA iTunes data'!N131</f>
        <v>0</v>
      </c>
      <c r="E81" s="221">
        <f>'IODA iTunes data'!T131</f>
        <v>0</v>
      </c>
      <c r="F81" s="221">
        <f>'IODA iTunes data'!Z131</f>
        <v>0</v>
      </c>
      <c r="G81" s="216">
        <f>SUM(B81:F81)</f>
        <v>15158.090759999999</v>
      </c>
      <c r="H81" s="217">
        <f t="shared" si="20"/>
        <v>30316.181519999998</v>
      </c>
      <c r="I81" s="302">
        <f>SUM(I82:I125)</f>
        <v>18235.795213258301</v>
      </c>
      <c r="J81" s="225">
        <f>H81-I81</f>
        <v>12080.386306741697</v>
      </c>
      <c r="K81" s="220">
        <f t="shared" si="0"/>
        <v>0.6624545935873789</v>
      </c>
      <c r="L81" s="258">
        <v>38195.493921332032</v>
      </c>
      <c r="M81" s="224">
        <f t="shared" si="21"/>
        <v>68511.67544133203</v>
      </c>
      <c r="N81" s="224">
        <v>45026.484591724249</v>
      </c>
      <c r="O81" s="225">
        <f>M81-N81</f>
        <v>23485.190849607781</v>
      </c>
      <c r="P81" s="220">
        <f t="shared" si="1"/>
        <v>0.52158615229589333</v>
      </c>
      <c r="R81">
        <v>9.3795401920677684E-3</v>
      </c>
      <c r="S81">
        <f>R81*$S$127</f>
        <v>34467.04201372603</v>
      </c>
      <c r="T81" s="104"/>
    </row>
    <row r="82" spans="1:20" s="3" customFormat="1">
      <c r="A82" s="233" t="s">
        <v>124</v>
      </c>
      <c r="B82" s="234">
        <f>VLOOKUP($A82,'IODA iTunes data'!$A$138:$Z$249,2,FALSE)</f>
        <v>0</v>
      </c>
      <c r="C82" s="234">
        <f>VLOOKUP($A82,'IODA iTunes data'!$A$138:$Z$249,8,FALSE)</f>
        <v>0</v>
      </c>
      <c r="D82" s="234">
        <f>VLOOKUP($A82,'IODA iTunes data'!$A$138:$Z$249,14,FALSE)</f>
        <v>0</v>
      </c>
      <c r="E82" s="234">
        <f>VLOOKUP($A82,'IODA iTunes data'!$A$138:$Z$249,20,FALSE)</f>
        <v>0</v>
      </c>
      <c r="F82" s="234">
        <f>VLOOKUP($A82,'IODA iTunes data'!$A$138:$Z$249,26,FALSE)</f>
        <v>0</v>
      </c>
      <c r="G82" s="235">
        <f t="shared" ref="G82:G124" si="24">SUM(B82:F82)</f>
        <v>0</v>
      </c>
      <c r="H82" s="217">
        <f t="shared" si="20"/>
        <v>0</v>
      </c>
      <c r="I82" s="304">
        <f>VLOOKUP($A82,[6]IODA!$D:$P,13,FALSE)</f>
        <v>4.4913269892230776</v>
      </c>
      <c r="J82" s="237">
        <f t="shared" ref="J82:J125" si="25">H82-I82</f>
        <v>-4.4913269892230776</v>
      </c>
      <c r="K82" s="238">
        <f t="shared" ref="K82:K125" si="26">J82/I82</f>
        <v>-1</v>
      </c>
      <c r="L82" s="259">
        <v>5.9600000381469602</v>
      </c>
      <c r="M82" s="236">
        <f t="shared" si="21"/>
        <v>5.9600000381469602</v>
      </c>
      <c r="N82" s="236">
        <v>11.089654337070979</v>
      </c>
      <c r="O82" s="237">
        <f t="shared" ref="O82:O124" si="27">M82-N82</f>
        <v>-5.1296542989240184</v>
      </c>
      <c r="P82" s="238">
        <f t="shared" ref="P82:P125" si="28">O82/N82</f>
        <v>-0.46256214513164645</v>
      </c>
      <c r="R82" s="208"/>
      <c r="S82" s="154"/>
      <c r="T82" s="104"/>
    </row>
    <row r="83" spans="1:20" s="3" customFormat="1">
      <c r="A83" s="233" t="s">
        <v>125</v>
      </c>
      <c r="B83" s="234">
        <f>VLOOKUP($A83,'IODA iTunes data'!$A$138:$Z$249,2,FALSE)</f>
        <v>6.1</v>
      </c>
      <c r="C83" s="234">
        <f>VLOOKUP($A83,'IODA iTunes data'!$A$138:$Z$249,8,FALSE)</f>
        <v>1.83</v>
      </c>
      <c r="D83" s="234">
        <f>VLOOKUP($A83,'IODA iTunes data'!$A$138:$Z$249,14,FALSE)</f>
        <v>0</v>
      </c>
      <c r="E83" s="234">
        <f>VLOOKUP($A83,'IODA iTunes data'!$A$138:$Z$249,20,FALSE)</f>
        <v>0</v>
      </c>
      <c r="F83" s="234">
        <f>VLOOKUP($A83,'IODA iTunes data'!$A$138:$Z$249,26,FALSE)</f>
        <v>0</v>
      </c>
      <c r="G83" s="235">
        <f t="shared" si="24"/>
        <v>7.93</v>
      </c>
      <c r="H83" s="217">
        <f t="shared" si="20"/>
        <v>15.86</v>
      </c>
      <c r="I83" s="304">
        <f>VLOOKUP($A83,[6]IODA!$D:$P,13,FALSE)</f>
        <v>20.862298560494342</v>
      </c>
      <c r="J83" s="237">
        <f t="shared" si="25"/>
        <v>-5.0022985604943422</v>
      </c>
      <c r="K83" s="238">
        <f t="shared" si="26"/>
        <v>-0.23977696158403605</v>
      </c>
      <c r="L83" s="259">
        <v>23.605000456174224</v>
      </c>
      <c r="M83" s="236">
        <f t="shared" si="21"/>
        <v>39.465000456174224</v>
      </c>
      <c r="N83" s="236">
        <v>51.511653519726536</v>
      </c>
      <c r="O83" s="237">
        <f t="shared" si="27"/>
        <v>-12.046653063552313</v>
      </c>
      <c r="P83" s="238">
        <f t="shared" si="28"/>
        <v>-0.23386267456817345</v>
      </c>
      <c r="R83" s="208"/>
      <c r="S83" s="154"/>
      <c r="T83" s="104"/>
    </row>
    <row r="84" spans="1:20" s="3" customFormat="1">
      <c r="A84" s="233" t="s">
        <v>127</v>
      </c>
      <c r="B84" s="234">
        <f>VLOOKUP($A84,'IODA iTunes data'!$A$138:$Z$249,2,FALSE)</f>
        <v>2.0699999999999998</v>
      </c>
      <c r="C84" s="234">
        <f>VLOOKUP($A84,'IODA iTunes data'!$A$138:$Z$249,8,FALSE)</f>
        <v>11.16</v>
      </c>
      <c r="D84" s="234">
        <f>VLOOKUP($A84,'IODA iTunes data'!$A$138:$Z$249,14,FALSE)</f>
        <v>0</v>
      </c>
      <c r="E84" s="234">
        <f>VLOOKUP($A84,'IODA iTunes data'!$A$138:$Z$249,20,FALSE)</f>
        <v>0</v>
      </c>
      <c r="F84" s="234">
        <f>VLOOKUP($A84,'IODA iTunes data'!$A$138:$Z$249,26,FALSE)</f>
        <v>0</v>
      </c>
      <c r="G84" s="235">
        <f t="shared" si="24"/>
        <v>13.23</v>
      </c>
      <c r="H84" s="217">
        <f t="shared" si="20"/>
        <v>26.46</v>
      </c>
      <c r="I84" s="304">
        <f>VLOOKUP($A84,[6]IODA!$D:$P,13,FALSE)</f>
        <v>31.781943898289466</v>
      </c>
      <c r="J84" s="237">
        <f t="shared" si="25"/>
        <v>-5.3219438982894651</v>
      </c>
      <c r="K84" s="238">
        <f t="shared" si="26"/>
        <v>-0.16745180582160354</v>
      </c>
      <c r="L84" s="259">
        <v>91.830000609159413</v>
      </c>
      <c r="M84" s="236">
        <f t="shared" si="21"/>
        <v>118.29000060915942</v>
      </c>
      <c r="N84" s="236">
        <v>78.473638823874708</v>
      </c>
      <c r="O84" s="237">
        <f t="shared" si="27"/>
        <v>39.816361785284712</v>
      </c>
      <c r="P84" s="238">
        <f t="shared" si="28"/>
        <v>0.50738518542064903</v>
      </c>
      <c r="R84" s="208"/>
      <c r="S84" s="154"/>
      <c r="T84" s="104"/>
    </row>
    <row r="85" spans="1:20" s="3" customFormat="1">
      <c r="A85" s="233" t="s">
        <v>128</v>
      </c>
      <c r="B85" s="234">
        <f>VLOOKUP($A85,'IODA iTunes data'!$A$138:$Z$249,2,FALSE)</f>
        <v>32.94</v>
      </c>
      <c r="C85" s="234">
        <f>VLOOKUP($A85,'IODA iTunes data'!$A$138:$Z$249,8,FALSE)</f>
        <v>113.16</v>
      </c>
      <c r="D85" s="234">
        <f>VLOOKUP($A85,'IODA iTunes data'!$A$138:$Z$249,14,FALSE)</f>
        <v>0</v>
      </c>
      <c r="E85" s="234">
        <f>VLOOKUP($A85,'IODA iTunes data'!$A$138:$Z$249,20,FALSE)</f>
        <v>0</v>
      </c>
      <c r="F85" s="234">
        <f>VLOOKUP($A85,'IODA iTunes data'!$A$138:$Z$249,26,FALSE)</f>
        <v>0</v>
      </c>
      <c r="G85" s="235">
        <f t="shared" si="24"/>
        <v>146.1</v>
      </c>
      <c r="H85" s="217">
        <f t="shared" si="20"/>
        <v>292.2</v>
      </c>
      <c r="I85" s="304">
        <f>VLOOKUP($A85,[6]IODA!$D:$P,13,FALSE)</f>
        <v>110.9352105057941</v>
      </c>
      <c r="J85" s="237">
        <f t="shared" si="25"/>
        <v>181.2647894942059</v>
      </c>
      <c r="K85" s="238">
        <f t="shared" si="26"/>
        <v>1.6339698520222172</v>
      </c>
      <c r="L85" s="259">
        <v>280.08000400662428</v>
      </c>
      <c r="M85" s="236">
        <f t="shared" si="21"/>
        <v>572.28000400662427</v>
      </c>
      <c r="N85" s="236">
        <v>273.91306428398593</v>
      </c>
      <c r="O85" s="237">
        <f t="shared" si="27"/>
        <v>298.36693972263834</v>
      </c>
      <c r="P85" s="238">
        <f t="shared" si="28"/>
        <v>1.0892760464075539</v>
      </c>
      <c r="R85" s="208"/>
      <c r="S85" s="154"/>
      <c r="T85" s="104"/>
    </row>
    <row r="86" spans="1:20" s="3" customFormat="1">
      <c r="A86" s="233" t="s">
        <v>129</v>
      </c>
      <c r="B86" s="234">
        <f>VLOOKUP($A86,'IODA iTunes data'!$A$138:$Z$249,2,FALSE)</f>
        <v>5.76</v>
      </c>
      <c r="C86" s="234">
        <f>VLOOKUP($A86,'IODA iTunes data'!$A$138:$Z$249,8,FALSE)</f>
        <v>21.71</v>
      </c>
      <c r="D86" s="234">
        <f>VLOOKUP($A86,'IODA iTunes data'!$A$138:$Z$249,14,FALSE)</f>
        <v>0</v>
      </c>
      <c r="E86" s="234">
        <f>VLOOKUP($A86,'IODA iTunes data'!$A$138:$Z$249,20,FALSE)</f>
        <v>0</v>
      </c>
      <c r="F86" s="234">
        <f>VLOOKUP($A86,'IODA iTunes data'!$A$138:$Z$249,26,FALSE)</f>
        <v>0</v>
      </c>
      <c r="G86" s="235">
        <f t="shared" si="24"/>
        <v>27.47</v>
      </c>
      <c r="H86" s="217">
        <f t="shared" si="20"/>
        <v>54.94</v>
      </c>
      <c r="I86" s="304">
        <f>VLOOKUP($A86,[6]IODA!$D:$P,13,FALSE)</f>
        <v>59.337338762231973</v>
      </c>
      <c r="J86" s="237">
        <f t="shared" si="25"/>
        <v>-4.3973387622319748</v>
      </c>
      <c r="K86" s="238">
        <f t="shared" si="26"/>
        <v>-7.4107448260400693E-2</v>
      </c>
      <c r="L86" s="259">
        <v>113.29000061750415</v>
      </c>
      <c r="M86" s="236">
        <f t="shared" si="21"/>
        <v>168.23000061750415</v>
      </c>
      <c r="N86" s="236">
        <v>146.51139356670706</v>
      </c>
      <c r="O86" s="237">
        <f t="shared" si="27"/>
        <v>21.71860705079709</v>
      </c>
      <c r="P86" s="238">
        <f t="shared" si="28"/>
        <v>0.14823834871865132</v>
      </c>
      <c r="R86" s="208"/>
      <c r="S86" s="154"/>
      <c r="T86" s="104"/>
    </row>
    <row r="87" spans="1:20" s="3" customFormat="1">
      <c r="A87" s="233" t="s">
        <v>130</v>
      </c>
      <c r="B87" s="234">
        <f>VLOOKUP($A87,'IODA iTunes data'!$A$138:$Z$249,2,FALSE)</f>
        <v>5.92</v>
      </c>
      <c r="C87" s="234">
        <f>VLOOKUP($A87,'IODA iTunes data'!$A$138:$Z$249,8,FALSE)</f>
        <v>14.64</v>
      </c>
      <c r="D87" s="234">
        <f>VLOOKUP($A87,'IODA iTunes data'!$A$138:$Z$249,14,FALSE)</f>
        <v>0</v>
      </c>
      <c r="E87" s="234">
        <f>VLOOKUP($A87,'IODA iTunes data'!$A$138:$Z$249,20,FALSE)</f>
        <v>0</v>
      </c>
      <c r="F87" s="234">
        <f>VLOOKUP($A87,'IODA iTunes data'!$A$138:$Z$249,26,FALSE)</f>
        <v>0</v>
      </c>
      <c r="G87" s="235">
        <f t="shared" si="24"/>
        <v>20.560000000000002</v>
      </c>
      <c r="H87" s="217">
        <f t="shared" si="20"/>
        <v>41.120000000000005</v>
      </c>
      <c r="I87" s="304">
        <f>VLOOKUP($A87,[6]IODA!$D:$P,13,FALSE)</f>
        <v>32.967076160153589</v>
      </c>
      <c r="J87" s="237">
        <f t="shared" si="25"/>
        <v>8.1529238398464159</v>
      </c>
      <c r="K87" s="238">
        <f t="shared" si="26"/>
        <v>0.24730503245843299</v>
      </c>
      <c r="L87" s="259">
        <v>77.940001487731934</v>
      </c>
      <c r="M87" s="236">
        <f t="shared" si="21"/>
        <v>119.06000148773194</v>
      </c>
      <c r="N87" s="236">
        <v>81.399880257491105</v>
      </c>
      <c r="O87" s="237">
        <f t="shared" si="27"/>
        <v>37.660121230240833</v>
      </c>
      <c r="P87" s="238">
        <f t="shared" si="28"/>
        <v>0.46265573255281328</v>
      </c>
      <c r="R87" s="208"/>
      <c r="S87" s="154"/>
      <c r="T87" s="104"/>
    </row>
    <row r="88" spans="1:20" s="3" customFormat="1">
      <c r="A88" s="233" t="s">
        <v>131</v>
      </c>
      <c r="B88" s="234">
        <f>VLOOKUP($A88,'IODA iTunes data'!$A$138:$Z$249,2,FALSE)</f>
        <v>5.16</v>
      </c>
      <c r="C88" s="234">
        <f>VLOOKUP($A88,'IODA iTunes data'!$A$138:$Z$249,8,FALSE)</f>
        <v>60</v>
      </c>
      <c r="D88" s="234">
        <f>VLOOKUP($A88,'IODA iTunes data'!$A$138:$Z$249,14,FALSE)</f>
        <v>0</v>
      </c>
      <c r="E88" s="234">
        <f>VLOOKUP($A88,'IODA iTunes data'!$A$138:$Z$249,20,FALSE)</f>
        <v>0</v>
      </c>
      <c r="F88" s="234">
        <f>VLOOKUP($A88,'IODA iTunes data'!$A$138:$Z$249,26,FALSE)</f>
        <v>0</v>
      </c>
      <c r="G88" s="235">
        <f t="shared" si="24"/>
        <v>65.16</v>
      </c>
      <c r="H88" s="217">
        <f t="shared" si="20"/>
        <v>130.32</v>
      </c>
      <c r="I88" s="304">
        <f>VLOOKUP($A88,[6]IODA!$D:$P,13,FALSE)</f>
        <v>39.627606692172144</v>
      </c>
      <c r="J88" s="237">
        <f t="shared" si="25"/>
        <v>90.692393307827842</v>
      </c>
      <c r="K88" s="238">
        <f t="shared" si="26"/>
        <v>2.2886164691278923</v>
      </c>
      <c r="L88" s="259">
        <v>193.47000372409818</v>
      </c>
      <c r="M88" s="236">
        <f t="shared" si="21"/>
        <v>323.79000372409814</v>
      </c>
      <c r="N88" s="236">
        <v>97.845572472470593</v>
      </c>
      <c r="O88" s="237">
        <f t="shared" si="27"/>
        <v>225.94443125162755</v>
      </c>
      <c r="P88" s="238">
        <f t="shared" si="28"/>
        <v>2.3091942286422649</v>
      </c>
      <c r="R88" s="208"/>
      <c r="S88" s="154"/>
      <c r="T88" s="104"/>
    </row>
    <row r="89" spans="1:20" s="3" customFormat="1">
      <c r="A89" s="233" t="s">
        <v>133</v>
      </c>
      <c r="B89" s="234">
        <f>VLOOKUP($A89,'IODA iTunes data'!$A$138:$Z$249,2,FALSE)</f>
        <v>32.33</v>
      </c>
      <c r="C89" s="234">
        <f>VLOOKUP($A89,'IODA iTunes data'!$A$138:$Z$249,8,FALSE)</f>
        <v>42.09</v>
      </c>
      <c r="D89" s="234">
        <f>VLOOKUP($A89,'IODA iTunes data'!$A$138:$Z$249,14,FALSE)</f>
        <v>0</v>
      </c>
      <c r="E89" s="234">
        <f>VLOOKUP($A89,'IODA iTunes data'!$A$138:$Z$249,20,FALSE)</f>
        <v>0</v>
      </c>
      <c r="F89" s="234">
        <f>VLOOKUP($A89,'IODA iTunes data'!$A$138:$Z$249,26,FALSE)</f>
        <v>0</v>
      </c>
      <c r="G89" s="235">
        <f t="shared" si="24"/>
        <v>74.42</v>
      </c>
      <c r="H89" s="217">
        <f t="shared" si="20"/>
        <v>148.84</v>
      </c>
      <c r="I89" s="304">
        <f>VLOOKUP($A89,[6]IODA!$D:$P,13,FALSE)</f>
        <v>55.031498528338567</v>
      </c>
      <c r="J89" s="237">
        <f t="shared" si="25"/>
        <v>93.80850147166143</v>
      </c>
      <c r="K89" s="238">
        <f t="shared" si="26"/>
        <v>1.7046328735415879</v>
      </c>
      <c r="L89" s="259">
        <v>89.83999991416934</v>
      </c>
      <c r="M89" s="236">
        <f t="shared" si="21"/>
        <v>238.67999991416934</v>
      </c>
      <c r="N89" s="236">
        <v>135.87972948633453</v>
      </c>
      <c r="O89" s="237">
        <f t="shared" si="27"/>
        <v>102.80027042783482</v>
      </c>
      <c r="P89" s="238">
        <f t="shared" si="28"/>
        <v>0.75655339333136862</v>
      </c>
      <c r="R89" s="208"/>
      <c r="S89" s="154"/>
      <c r="T89" s="104"/>
    </row>
    <row r="90" spans="1:20" s="3" customFormat="1">
      <c r="A90" s="233" t="s">
        <v>135</v>
      </c>
      <c r="B90" s="234">
        <f>VLOOKUP($A90,'IODA iTunes data'!$A$138:$Z$249,2,FALSE)</f>
        <v>1.22</v>
      </c>
      <c r="C90" s="234">
        <f>VLOOKUP($A90,'IODA iTunes data'!$A$138:$Z$249,8,FALSE)</f>
        <v>64.23</v>
      </c>
      <c r="D90" s="234">
        <f>VLOOKUP($A90,'IODA iTunes data'!$A$138:$Z$249,14,FALSE)</f>
        <v>0</v>
      </c>
      <c r="E90" s="234">
        <f>VLOOKUP($A90,'IODA iTunes data'!$A$138:$Z$249,20,FALSE)</f>
        <v>0</v>
      </c>
      <c r="F90" s="234">
        <f>VLOOKUP($A90,'IODA iTunes data'!$A$138:$Z$249,26,FALSE)</f>
        <v>0</v>
      </c>
      <c r="G90" s="235">
        <f t="shared" si="24"/>
        <v>65.45</v>
      </c>
      <c r="H90" s="217">
        <f t="shared" si="20"/>
        <v>130.9</v>
      </c>
      <c r="I90" s="304">
        <f>VLOOKUP($A90,[6]IODA!$D:$P,13,FALSE)</f>
        <v>72.756097925440088</v>
      </c>
      <c r="J90" s="237">
        <f t="shared" si="25"/>
        <v>58.143902074559918</v>
      </c>
      <c r="K90" s="238">
        <f t="shared" si="26"/>
        <v>0.79916190851996161</v>
      </c>
      <c r="L90" s="259">
        <v>119.28999966382987</v>
      </c>
      <c r="M90" s="236">
        <f t="shared" si="21"/>
        <v>250.18999966382989</v>
      </c>
      <c r="N90" s="236">
        <v>179.64400695901838</v>
      </c>
      <c r="O90" s="237">
        <f t="shared" si="27"/>
        <v>70.545992704811511</v>
      </c>
      <c r="P90" s="238">
        <f t="shared" si="28"/>
        <v>0.39269883754544033</v>
      </c>
      <c r="R90" s="208"/>
      <c r="S90" s="154"/>
      <c r="T90" s="104"/>
    </row>
    <row r="91" spans="1:20" s="3" customFormat="1">
      <c r="A91" s="233" t="s">
        <v>138</v>
      </c>
      <c r="B91" s="234">
        <f>VLOOKUP($A91,'IODA iTunes data'!$A$138:$Z$249,2,FALSE)</f>
        <v>0</v>
      </c>
      <c r="C91" s="234">
        <f>VLOOKUP($A91,'IODA iTunes data'!$A$138:$Z$249,8,FALSE)</f>
        <v>10.98</v>
      </c>
      <c r="D91" s="234">
        <f>VLOOKUP($A91,'IODA iTunes data'!$A$138:$Z$249,14,FALSE)</f>
        <v>0</v>
      </c>
      <c r="E91" s="234">
        <f>VLOOKUP($A91,'IODA iTunes data'!$A$138:$Z$249,20,FALSE)</f>
        <v>0</v>
      </c>
      <c r="F91" s="234">
        <f>VLOOKUP($A91,'IODA iTunes data'!$A$138:$Z$249,26,FALSE)</f>
        <v>0</v>
      </c>
      <c r="G91" s="235">
        <f t="shared" si="24"/>
        <v>10.98</v>
      </c>
      <c r="H91" s="217">
        <f t="shared" si="20"/>
        <v>43.92</v>
      </c>
      <c r="I91" s="304">
        <f>VLOOKUP($A91,[6]IODA!$D:$P,13,FALSE)</f>
        <v>33.827961208753067</v>
      </c>
      <c r="J91" s="237">
        <f t="shared" si="25"/>
        <v>10.092038791246935</v>
      </c>
      <c r="K91" s="238">
        <f t="shared" si="26"/>
        <v>0.29833423093306599</v>
      </c>
      <c r="L91" s="259">
        <v>91.126667718092634</v>
      </c>
      <c r="M91" s="236">
        <f t="shared" si="21"/>
        <v>135.04666771809264</v>
      </c>
      <c r="N91" s="236">
        <v>83.525514315271479</v>
      </c>
      <c r="O91" s="237">
        <f t="shared" si="27"/>
        <v>51.521153402821156</v>
      </c>
      <c r="P91" s="238">
        <f t="shared" si="28"/>
        <v>0.61683132184438672</v>
      </c>
      <c r="R91" s="208"/>
      <c r="S91" s="154"/>
      <c r="T91" s="104"/>
    </row>
    <row r="92" spans="1:20" s="3" customFormat="1">
      <c r="A92" s="233" t="s">
        <v>140</v>
      </c>
      <c r="B92" s="234">
        <f>VLOOKUP($A92,'IODA iTunes data'!$A$138:$Z$249,2,FALSE)</f>
        <v>3.66</v>
      </c>
      <c r="C92" s="234">
        <f>VLOOKUP($A92,'IODA iTunes data'!$A$138:$Z$249,8,FALSE)</f>
        <v>1.83</v>
      </c>
      <c r="D92" s="234">
        <f>VLOOKUP($A92,'IODA iTunes data'!$A$138:$Z$249,14,FALSE)</f>
        <v>0</v>
      </c>
      <c r="E92" s="234">
        <f>VLOOKUP($A92,'IODA iTunes data'!$A$138:$Z$249,20,FALSE)</f>
        <v>0</v>
      </c>
      <c r="F92" s="234">
        <f>VLOOKUP($A92,'IODA iTunes data'!$A$138:$Z$249,26,FALSE)</f>
        <v>0</v>
      </c>
      <c r="G92" s="235">
        <f t="shared" si="24"/>
        <v>5.49</v>
      </c>
      <c r="H92" s="217">
        <f t="shared" si="20"/>
        <v>10.98</v>
      </c>
      <c r="I92" s="304">
        <f>VLOOKUP($A92,[6]IODA!$D:$P,13,FALSE)</f>
        <v>1.9001767836568455</v>
      </c>
      <c r="J92" s="237">
        <f t="shared" si="25"/>
        <v>9.0798232163431543</v>
      </c>
      <c r="K92" s="238">
        <f t="shared" si="26"/>
        <v>4.7784097218940058</v>
      </c>
      <c r="L92" s="259">
        <v>3.6600000858306898</v>
      </c>
      <c r="M92" s="236">
        <f t="shared" si="21"/>
        <v>14.640000085830691</v>
      </c>
      <c r="N92" s="236">
        <v>4.691776786825951</v>
      </c>
      <c r="O92" s="237">
        <f t="shared" si="27"/>
        <v>9.9482232990047397</v>
      </c>
      <c r="P92" s="238">
        <f t="shared" si="28"/>
        <v>2.1203530668676258</v>
      </c>
      <c r="R92" s="208"/>
      <c r="S92" s="154"/>
      <c r="T92" s="104"/>
    </row>
    <row r="93" spans="1:20" s="3" customFormat="1">
      <c r="A93" s="233" t="s">
        <v>141</v>
      </c>
      <c r="B93" s="234">
        <f>VLOOKUP($A93,'IODA iTunes data'!$A$138:$Z$249,2,FALSE)</f>
        <v>6.71</v>
      </c>
      <c r="C93" s="234">
        <f>VLOOKUP($A93,'IODA iTunes data'!$A$138:$Z$249,8,FALSE)</f>
        <v>13.78</v>
      </c>
      <c r="D93" s="234">
        <f>VLOOKUP($A93,'IODA iTunes data'!$A$138:$Z$249,14,FALSE)</f>
        <v>0</v>
      </c>
      <c r="E93" s="234">
        <f>VLOOKUP($A93,'IODA iTunes data'!$A$138:$Z$249,20,FALSE)</f>
        <v>0</v>
      </c>
      <c r="F93" s="234">
        <f>VLOOKUP($A93,'IODA iTunes data'!$A$138:$Z$249,26,FALSE)</f>
        <v>0</v>
      </c>
      <c r="G93" s="235">
        <f t="shared" si="24"/>
        <v>20.49</v>
      </c>
      <c r="H93" s="217">
        <f t="shared" si="20"/>
        <v>40.98</v>
      </c>
      <c r="I93" s="304">
        <f>VLOOKUP($A93,[6]IODA!$D:$P,13,FALSE)</f>
        <v>60.485656802866842</v>
      </c>
      <c r="J93" s="237">
        <f t="shared" si="25"/>
        <v>-19.505656802866845</v>
      </c>
      <c r="K93" s="238">
        <f t="shared" si="26"/>
        <v>-0.32248400420680123</v>
      </c>
      <c r="L93" s="259">
        <v>103.289999961853</v>
      </c>
      <c r="M93" s="236">
        <f t="shared" si="21"/>
        <v>144.26999996185299</v>
      </c>
      <c r="N93" s="236">
        <v>149.34673603235689</v>
      </c>
      <c r="O93" s="237">
        <f t="shared" si="27"/>
        <v>-5.0767360705038982</v>
      </c>
      <c r="P93" s="238">
        <f t="shared" si="28"/>
        <v>-3.3992949597532497E-2</v>
      </c>
      <c r="R93" s="208"/>
      <c r="S93" s="154"/>
      <c r="T93" s="104"/>
    </row>
    <row r="94" spans="1:20" s="3" customFormat="1">
      <c r="A94" s="233" t="s">
        <v>145</v>
      </c>
      <c r="B94" s="234">
        <f>VLOOKUP($A94,'IODA iTunes data'!$A$138:$Z$249,2,FALSE)</f>
        <v>6.71</v>
      </c>
      <c r="C94" s="234">
        <f>VLOOKUP($A94,'IODA iTunes data'!$A$138:$Z$249,8,FALSE)</f>
        <v>0.61</v>
      </c>
      <c r="D94" s="234">
        <f>VLOOKUP($A94,'IODA iTunes data'!$A$138:$Z$249,14,FALSE)</f>
        <v>0</v>
      </c>
      <c r="E94" s="234">
        <f>VLOOKUP($A94,'IODA iTunes data'!$A$138:$Z$249,20,FALSE)</f>
        <v>0</v>
      </c>
      <c r="F94" s="234">
        <f>VLOOKUP($A94,'IODA iTunes data'!$A$138:$Z$249,26,FALSE)</f>
        <v>0</v>
      </c>
      <c r="G94" s="235">
        <f t="shared" si="24"/>
        <v>7.32</v>
      </c>
      <c r="H94" s="217">
        <f t="shared" si="20"/>
        <v>14.64</v>
      </c>
      <c r="I94" s="304">
        <f>VLOOKUP($A94,[6]IODA!$D:$P,13,FALSE)</f>
        <v>1.0265485715135216</v>
      </c>
      <c r="J94" s="237">
        <f t="shared" si="25"/>
        <v>13.61345142848648</v>
      </c>
      <c r="K94" s="238">
        <f t="shared" si="26"/>
        <v>13.261380714226792</v>
      </c>
      <c r="L94" s="259">
        <v>15.980000019073509</v>
      </c>
      <c r="M94" s="236">
        <f t="shared" si="21"/>
        <v>30.620000019073508</v>
      </c>
      <c r="N94" s="236">
        <v>2.5346782466774243</v>
      </c>
      <c r="O94" s="237">
        <f t="shared" si="27"/>
        <v>28.085321772396085</v>
      </c>
      <c r="P94" s="238">
        <f t="shared" si="28"/>
        <v>11.0804287720588</v>
      </c>
      <c r="R94" s="208"/>
      <c r="S94" s="154"/>
      <c r="T94" s="104"/>
    </row>
    <row r="95" spans="1:20" s="3" customFormat="1">
      <c r="A95" s="233" t="s">
        <v>149</v>
      </c>
      <c r="B95" s="234">
        <f>VLOOKUP($A95,'IODA iTunes data'!$A$138:$Z$249,2,FALSE)</f>
        <v>0</v>
      </c>
      <c r="C95" s="234">
        <f>VLOOKUP($A95,'IODA iTunes data'!$A$138:$Z$249,8,FALSE)</f>
        <v>0.61</v>
      </c>
      <c r="D95" s="234">
        <f>VLOOKUP($A95,'IODA iTunes data'!$A$138:$Z$249,14,FALSE)</f>
        <v>0</v>
      </c>
      <c r="E95" s="234">
        <f>VLOOKUP($A95,'IODA iTunes data'!$A$138:$Z$249,20,FALSE)</f>
        <v>0</v>
      </c>
      <c r="F95" s="234">
        <f>VLOOKUP($A95,'IODA iTunes data'!$A$138:$Z$249,26,FALSE)</f>
        <v>0</v>
      </c>
      <c r="G95" s="235">
        <f t="shared" si="24"/>
        <v>0.61</v>
      </c>
      <c r="H95" s="217">
        <f t="shared" si="20"/>
        <v>2.44</v>
      </c>
      <c r="I95" s="304">
        <f>VLOOKUP($A95,[6]IODA!$D:$P,13,FALSE)</f>
        <v>2.7638934850872126</v>
      </c>
      <c r="J95" s="237">
        <f t="shared" si="25"/>
        <v>-0.32389348508721261</v>
      </c>
      <c r="K95" s="238">
        <f t="shared" si="26"/>
        <v>-0.1171873977180392</v>
      </c>
      <c r="L95" s="259">
        <v>0</v>
      </c>
      <c r="M95" s="236">
        <f t="shared" si="21"/>
        <v>2.44</v>
      </c>
      <c r="N95" s="236">
        <v>6.8244025535539237</v>
      </c>
      <c r="O95" s="237">
        <f t="shared" si="27"/>
        <v>-4.3844025535539242</v>
      </c>
      <c r="P95" s="238">
        <f t="shared" si="28"/>
        <v>-0.64245954413557738</v>
      </c>
      <c r="R95" s="208"/>
      <c r="S95" s="154"/>
      <c r="T95" s="104"/>
    </row>
    <row r="96" spans="1:20" s="3" customFormat="1">
      <c r="A96" s="233" t="s">
        <v>150</v>
      </c>
      <c r="B96" s="234">
        <f>VLOOKUP($A96,'IODA iTunes data'!$A$138:$Z$249,2,FALSE)</f>
        <v>3.66</v>
      </c>
      <c r="C96" s="234">
        <f>VLOOKUP($A96,'IODA iTunes data'!$A$138:$Z$249,8,FALSE)</f>
        <v>0</v>
      </c>
      <c r="D96" s="234">
        <f>VLOOKUP($A96,'IODA iTunes data'!$A$138:$Z$249,14,FALSE)</f>
        <v>0</v>
      </c>
      <c r="E96" s="234">
        <f>VLOOKUP($A96,'IODA iTunes data'!$A$138:$Z$249,20,FALSE)</f>
        <v>0</v>
      </c>
      <c r="F96" s="234">
        <f>VLOOKUP($A96,'IODA iTunes data'!$A$138:$Z$249,26,FALSE)</f>
        <v>0</v>
      </c>
      <c r="G96" s="235">
        <f t="shared" si="24"/>
        <v>3.66</v>
      </c>
      <c r="H96" s="217">
        <f t="shared" si="20"/>
        <v>14.64</v>
      </c>
      <c r="I96" s="304"/>
      <c r="J96" s="237">
        <f t="shared" si="25"/>
        <v>14.64</v>
      </c>
      <c r="K96" s="238" t="e">
        <f t="shared" si="26"/>
        <v>#DIV/0!</v>
      </c>
      <c r="L96" s="259">
        <v>0</v>
      </c>
      <c r="M96" s="236">
        <f t="shared" si="21"/>
        <v>14.64</v>
      </c>
      <c r="N96" s="236">
        <v>0</v>
      </c>
      <c r="O96" s="237">
        <f t="shared" si="27"/>
        <v>14.64</v>
      </c>
      <c r="P96" s="238" t="e">
        <f t="shared" si="28"/>
        <v>#DIV/0!</v>
      </c>
      <c r="R96" s="208"/>
      <c r="S96" s="154"/>
      <c r="T96" s="104"/>
    </row>
    <row r="97" spans="1:20" s="3" customFormat="1">
      <c r="A97" s="233" t="s">
        <v>151</v>
      </c>
      <c r="B97" s="234">
        <f>VLOOKUP($A97,'IODA iTunes data'!$A$138:$Z$249,2,FALSE)</f>
        <v>28.06</v>
      </c>
      <c r="C97" s="234">
        <f>VLOOKUP($A97,'IODA iTunes data'!$A$138:$Z$249,8,FALSE)</f>
        <v>13.42</v>
      </c>
      <c r="D97" s="234">
        <f>VLOOKUP($A97,'IODA iTunes data'!$A$138:$Z$249,14,FALSE)</f>
        <v>0</v>
      </c>
      <c r="E97" s="234">
        <f>VLOOKUP($A97,'IODA iTunes data'!$A$138:$Z$249,20,FALSE)</f>
        <v>0</v>
      </c>
      <c r="F97" s="234">
        <f>VLOOKUP($A97,'IODA iTunes data'!$A$138:$Z$249,26,FALSE)</f>
        <v>0</v>
      </c>
      <c r="G97" s="235">
        <f t="shared" si="24"/>
        <v>41.48</v>
      </c>
      <c r="H97" s="217">
        <f t="shared" si="20"/>
        <v>82.96</v>
      </c>
      <c r="I97" s="304">
        <f>VLOOKUP($A97,[6]IODA!$D:$P,13,FALSE)</f>
        <v>80.113265151271236</v>
      </c>
      <c r="J97" s="237">
        <f t="shared" si="25"/>
        <v>2.846734848728758</v>
      </c>
      <c r="K97" s="238">
        <f t="shared" si="26"/>
        <v>3.5533876235770749E-2</v>
      </c>
      <c r="L97" s="259">
        <v>122.8849999308587</v>
      </c>
      <c r="M97" s="236">
        <f t="shared" si="21"/>
        <v>205.84499993085871</v>
      </c>
      <c r="N97" s="236">
        <v>197.80978327195797</v>
      </c>
      <c r="O97" s="237">
        <f t="shared" si="27"/>
        <v>8.0352166589007368</v>
      </c>
      <c r="P97" s="238">
        <f t="shared" si="28"/>
        <v>4.0620926457684614E-2</v>
      </c>
      <c r="R97" s="208"/>
      <c r="S97" s="154"/>
      <c r="T97" s="104"/>
    </row>
    <row r="98" spans="1:20" s="3" customFormat="1">
      <c r="A98" s="233" t="s">
        <v>152</v>
      </c>
      <c r="B98" s="234">
        <f>VLOOKUP($A98,'IODA iTunes data'!$A$138:$Z$249,2,FALSE)</f>
        <v>0</v>
      </c>
      <c r="C98" s="234">
        <f>VLOOKUP($A98,'IODA iTunes data'!$A$138:$Z$249,8,FALSE)</f>
        <v>7.32</v>
      </c>
      <c r="D98" s="234">
        <f>VLOOKUP($A98,'IODA iTunes data'!$A$138:$Z$249,14,FALSE)</f>
        <v>0</v>
      </c>
      <c r="E98" s="234">
        <f>VLOOKUP($A98,'IODA iTunes data'!$A$138:$Z$249,20,FALSE)</f>
        <v>0</v>
      </c>
      <c r="F98" s="234">
        <f>VLOOKUP($A98,'IODA iTunes data'!$A$138:$Z$249,26,FALSE)</f>
        <v>0</v>
      </c>
      <c r="G98" s="235">
        <f t="shared" si="24"/>
        <v>7.32</v>
      </c>
      <c r="H98" s="217">
        <f t="shared" si="20"/>
        <v>29.28</v>
      </c>
      <c r="I98" s="304">
        <f>VLOOKUP($A98,[6]IODA!$D:$P,13,FALSE)</f>
        <v>6.9097337127180385</v>
      </c>
      <c r="J98" s="237">
        <f t="shared" si="25"/>
        <v>22.370266287281964</v>
      </c>
      <c r="K98" s="238">
        <f t="shared" si="26"/>
        <v>3.237500490953408</v>
      </c>
      <c r="L98" s="259">
        <v>33.549999594688401</v>
      </c>
      <c r="M98" s="236">
        <f t="shared" si="21"/>
        <v>62.829999594688402</v>
      </c>
      <c r="N98" s="236">
        <v>17.06100638388483</v>
      </c>
      <c r="O98" s="237">
        <f t="shared" si="27"/>
        <v>45.768993210803572</v>
      </c>
      <c r="P98" s="238">
        <f t="shared" si="28"/>
        <v>2.6826666716469436</v>
      </c>
      <c r="R98" s="208"/>
      <c r="S98" s="154"/>
      <c r="T98" s="104"/>
    </row>
    <row r="99" spans="1:20" s="3" customFormat="1">
      <c r="A99" s="233" t="s">
        <v>154</v>
      </c>
      <c r="B99" s="234">
        <f>VLOOKUP($A99,'IODA iTunes data'!$A$138:$Z$249,2,FALSE)</f>
        <v>0</v>
      </c>
      <c r="C99" s="234">
        <f>VLOOKUP($A99,'IODA iTunes data'!$A$138:$Z$249,8,FALSE)</f>
        <v>0</v>
      </c>
      <c r="D99" s="234">
        <f>VLOOKUP($A99,'IODA iTunes data'!$A$138:$Z$249,14,FALSE)</f>
        <v>0</v>
      </c>
      <c r="E99" s="234">
        <f>VLOOKUP($A99,'IODA iTunes data'!$A$138:$Z$249,20,FALSE)</f>
        <v>0</v>
      </c>
      <c r="F99" s="234">
        <f>VLOOKUP($A99,'IODA iTunes data'!$A$138:$Z$249,26,FALSE)</f>
        <v>0</v>
      </c>
      <c r="G99" s="235">
        <f t="shared" si="24"/>
        <v>0</v>
      </c>
      <c r="H99" s="217">
        <f t="shared" si="20"/>
        <v>0</v>
      </c>
      <c r="I99" s="304">
        <f>VLOOKUP($A99,[6]IODA!$D:$P,13,FALSE)</f>
        <v>8.6371673518874176E-2</v>
      </c>
      <c r="J99" s="237">
        <f t="shared" si="25"/>
        <v>-8.6371673518874176E-2</v>
      </c>
      <c r="K99" s="238">
        <f t="shared" si="26"/>
        <v>-1</v>
      </c>
      <c r="L99" s="259">
        <v>0</v>
      </c>
      <c r="M99" s="236">
        <f t="shared" si="21"/>
        <v>0</v>
      </c>
      <c r="N99" s="236">
        <v>0.21326258500816708</v>
      </c>
      <c r="O99" s="237">
        <f t="shared" si="27"/>
        <v>-0.21326258500816708</v>
      </c>
      <c r="P99" s="238">
        <f t="shared" si="28"/>
        <v>-1</v>
      </c>
      <c r="R99" s="208"/>
      <c r="S99" s="154"/>
      <c r="T99" s="104"/>
    </row>
    <row r="100" spans="1:20" s="3" customFormat="1">
      <c r="A100" s="233" t="s">
        <v>157</v>
      </c>
      <c r="B100" s="234">
        <f>VLOOKUP($A100,'IODA iTunes data'!$A$138:$Z$249,2,FALSE)</f>
        <v>507.96718299999998</v>
      </c>
      <c r="C100" s="234">
        <f>VLOOKUP($A100,'IODA iTunes data'!$A$138:$Z$249,8,FALSE)</f>
        <v>1387.7029239999999</v>
      </c>
      <c r="D100" s="234">
        <f>VLOOKUP($A100,'IODA iTunes data'!$A$138:$Z$249,14,FALSE)</f>
        <v>0</v>
      </c>
      <c r="E100" s="234">
        <f>VLOOKUP($A100,'IODA iTunes data'!$A$138:$Z$249,20,FALSE)</f>
        <v>0</v>
      </c>
      <c r="F100" s="234">
        <f>VLOOKUP($A100,'IODA iTunes data'!$A$138:$Z$249,26,FALSE)</f>
        <v>0</v>
      </c>
      <c r="G100" s="235">
        <f t="shared" si="24"/>
        <v>1895.6701069999999</v>
      </c>
      <c r="H100" s="217">
        <f t="shared" si="20"/>
        <v>3791.3402139999998</v>
      </c>
      <c r="I100" s="304">
        <f>VLOOKUP($A100,[6]IODA!$D:$P,13,FALSE)</f>
        <v>2243.6435717589898</v>
      </c>
      <c r="J100" s="237">
        <f t="shared" si="25"/>
        <v>1547.6966422410101</v>
      </c>
      <c r="K100" s="238">
        <f t="shared" si="26"/>
        <v>0.6898139533935127</v>
      </c>
      <c r="L100" s="259">
        <v>4641.9720434024921</v>
      </c>
      <c r="M100" s="236">
        <f t="shared" si="21"/>
        <v>8433.3122574024928</v>
      </c>
      <c r="N100" s="236">
        <v>5539.8397235607499</v>
      </c>
      <c r="O100" s="237">
        <f t="shared" si="27"/>
        <v>2893.4725338417429</v>
      </c>
      <c r="P100" s="238">
        <f t="shared" si="28"/>
        <v>0.52230257159533022</v>
      </c>
      <c r="R100" s="208"/>
      <c r="S100" s="154"/>
      <c r="T100" s="104"/>
    </row>
    <row r="101" spans="1:20" s="3" customFormat="1">
      <c r="A101" s="233" t="s">
        <v>158</v>
      </c>
      <c r="B101" s="234">
        <f>VLOOKUP($A101,'IODA iTunes data'!$A$138:$Z$249,2,FALSE)</f>
        <v>579.46600000000001</v>
      </c>
      <c r="C101" s="234">
        <f>VLOOKUP($A101,'IODA iTunes data'!$A$138:$Z$249,8,FALSE)</f>
        <v>879.85799999999995</v>
      </c>
      <c r="D101" s="234">
        <f>VLOOKUP($A101,'IODA iTunes data'!$A$138:$Z$249,14,FALSE)</f>
        <v>0</v>
      </c>
      <c r="E101" s="234">
        <f>VLOOKUP($A101,'IODA iTunes data'!$A$138:$Z$249,20,FALSE)</f>
        <v>0</v>
      </c>
      <c r="F101" s="234">
        <f>VLOOKUP($A101,'IODA iTunes data'!$A$138:$Z$249,26,FALSE)</f>
        <v>0</v>
      </c>
      <c r="G101" s="235">
        <f t="shared" si="24"/>
        <v>1459.3240000000001</v>
      </c>
      <c r="H101" s="217">
        <f t="shared" si="20"/>
        <v>2918.6480000000001</v>
      </c>
      <c r="I101" s="304">
        <f>VLOOKUP($A101,[6]IODA!$D:$P,13,FALSE)</f>
        <v>2827.8076116351726</v>
      </c>
      <c r="J101" s="237">
        <f t="shared" si="25"/>
        <v>90.840388364827504</v>
      </c>
      <c r="K101" s="238">
        <f t="shared" si="26"/>
        <v>3.212396345177785E-2</v>
      </c>
      <c r="L101" s="259">
        <v>5403.5068628937006</v>
      </c>
      <c r="M101" s="236">
        <f t="shared" si="21"/>
        <v>8322.1548628937016</v>
      </c>
      <c r="N101" s="236">
        <v>6982.2146149721702</v>
      </c>
      <c r="O101" s="237">
        <f t="shared" si="27"/>
        <v>1339.9402479215314</v>
      </c>
      <c r="P101" s="238">
        <f t="shared" si="28"/>
        <v>0.19190762842612397</v>
      </c>
      <c r="R101" s="208"/>
      <c r="S101" s="154"/>
      <c r="T101" s="104"/>
    </row>
    <row r="102" spans="1:20" s="3" customFormat="1">
      <c r="A102" s="233" t="s">
        <v>159</v>
      </c>
      <c r="B102" s="234">
        <f>VLOOKUP($A102,'IODA iTunes data'!$A$138:$Z$249,2,FALSE)</f>
        <v>434.69919700000003</v>
      </c>
      <c r="C102" s="234">
        <f>VLOOKUP($A102,'IODA iTunes data'!$A$138:$Z$249,8,FALSE)</f>
        <v>1037.779456</v>
      </c>
      <c r="D102" s="234">
        <f>VLOOKUP($A102,'IODA iTunes data'!$A$138:$Z$249,14,FALSE)</f>
        <v>0</v>
      </c>
      <c r="E102" s="234">
        <f>VLOOKUP($A102,'IODA iTunes data'!$A$138:$Z$249,20,FALSE)</f>
        <v>0</v>
      </c>
      <c r="F102" s="234">
        <f>VLOOKUP($A102,'IODA iTunes data'!$A$138:$Z$249,26,FALSE)</f>
        <v>0</v>
      </c>
      <c r="G102" s="235">
        <f t="shared" si="24"/>
        <v>1472.4786530000001</v>
      </c>
      <c r="H102" s="217">
        <f t="shared" si="20"/>
        <v>2944.9573060000002</v>
      </c>
      <c r="I102" s="304">
        <f>VLOOKUP($A102,[6]IODA!$D:$P,13,FALSE)</f>
        <v>2553.7236914635887</v>
      </c>
      <c r="J102" s="237">
        <f t="shared" si="25"/>
        <v>391.23361453641155</v>
      </c>
      <c r="K102" s="238">
        <f t="shared" si="26"/>
        <v>0.15320123153659901</v>
      </c>
      <c r="L102" s="259">
        <v>4699.9920402765274</v>
      </c>
      <c r="M102" s="236">
        <f t="shared" si="21"/>
        <v>7644.9493462765276</v>
      </c>
      <c r="N102" s="236">
        <v>6305.4667537397354</v>
      </c>
      <c r="O102" s="237">
        <f t="shared" si="27"/>
        <v>1339.4825925367923</v>
      </c>
      <c r="P102" s="238">
        <f t="shared" si="28"/>
        <v>0.21243194910866084</v>
      </c>
      <c r="R102" s="208"/>
      <c r="S102" s="154"/>
      <c r="T102" s="104"/>
    </row>
    <row r="103" spans="1:20" s="3" customFormat="1">
      <c r="A103" s="233" t="s">
        <v>160</v>
      </c>
      <c r="B103" s="234">
        <f>VLOOKUP($A103,'IODA iTunes data'!$A$138:$Z$249,2,FALSE)</f>
        <v>64.98</v>
      </c>
      <c r="C103" s="234">
        <f>VLOOKUP($A103,'IODA iTunes data'!$A$138:$Z$249,8,FALSE)</f>
        <v>460.56</v>
      </c>
      <c r="D103" s="234">
        <f>VLOOKUP($A103,'IODA iTunes data'!$A$138:$Z$249,14,FALSE)</f>
        <v>0</v>
      </c>
      <c r="E103" s="234">
        <f>VLOOKUP($A103,'IODA iTunes data'!$A$138:$Z$249,20,FALSE)</f>
        <v>0</v>
      </c>
      <c r="F103" s="234">
        <f>VLOOKUP($A103,'IODA iTunes data'!$A$138:$Z$249,26,FALSE)</f>
        <v>0</v>
      </c>
      <c r="G103" s="235">
        <f t="shared" si="24"/>
        <v>525.54</v>
      </c>
      <c r="H103" s="217">
        <f t="shared" si="20"/>
        <v>1051.08</v>
      </c>
      <c r="I103" s="304">
        <f>VLOOKUP($A103,[6]IODA!$D:$P,13,FALSE)</f>
        <v>349.56173487612631</v>
      </c>
      <c r="J103" s="237">
        <f t="shared" si="25"/>
        <v>701.51826512387356</v>
      </c>
      <c r="K103" s="238">
        <f t="shared" si="26"/>
        <v>2.0068508510305616</v>
      </c>
      <c r="L103" s="259">
        <v>520.13000571727798</v>
      </c>
      <c r="M103" s="236">
        <f t="shared" si="21"/>
        <v>1571.2100057172779</v>
      </c>
      <c r="N103" s="236">
        <v>863.11213112400469</v>
      </c>
      <c r="O103" s="237">
        <f t="shared" si="27"/>
        <v>708.09787459327322</v>
      </c>
      <c r="P103" s="238">
        <f t="shared" si="28"/>
        <v>0.82040079041773972</v>
      </c>
      <c r="R103" s="208"/>
      <c r="S103" s="154"/>
      <c r="T103" s="104"/>
    </row>
    <row r="104" spans="1:20" s="3" customFormat="1">
      <c r="A104" s="233" t="s">
        <v>161</v>
      </c>
      <c r="B104" s="234">
        <f>VLOOKUP($A104,'IODA iTunes data'!$A$138:$Z$249,2,FALSE)</f>
        <v>76.25</v>
      </c>
      <c r="C104" s="234">
        <f>VLOOKUP($A104,'IODA iTunes data'!$A$138:$Z$249,8,FALSE)</f>
        <v>159.82</v>
      </c>
      <c r="D104" s="234">
        <f>VLOOKUP($A104,'IODA iTunes data'!$A$138:$Z$249,14,FALSE)</f>
        <v>0</v>
      </c>
      <c r="E104" s="234">
        <f>VLOOKUP($A104,'IODA iTunes data'!$A$138:$Z$249,20,FALSE)</f>
        <v>0</v>
      </c>
      <c r="F104" s="234">
        <f>VLOOKUP($A104,'IODA iTunes data'!$A$138:$Z$249,26,FALSE)</f>
        <v>0</v>
      </c>
      <c r="G104" s="235">
        <f t="shared" si="24"/>
        <v>236.07</v>
      </c>
      <c r="H104" s="217">
        <f t="shared" si="20"/>
        <v>472.14</v>
      </c>
      <c r="I104" s="304">
        <f>VLOOKUP($A104,[6]IODA!$D:$P,13,FALSE)</f>
        <v>353.47819050103743</v>
      </c>
      <c r="J104" s="237">
        <f t="shared" si="25"/>
        <v>118.66180949896255</v>
      </c>
      <c r="K104" s="238">
        <f t="shared" si="26"/>
        <v>0.33569768287759266</v>
      </c>
      <c r="L104" s="259">
        <v>814.70000171661343</v>
      </c>
      <c r="M104" s="236">
        <f t="shared" si="21"/>
        <v>1286.8400017166134</v>
      </c>
      <c r="N104" s="236">
        <v>872.78235536084094</v>
      </c>
      <c r="O104" s="237">
        <f t="shared" si="27"/>
        <v>414.05764635577248</v>
      </c>
      <c r="P104" s="238">
        <f t="shared" si="28"/>
        <v>0.47441111041318601</v>
      </c>
      <c r="R104" s="208"/>
      <c r="S104" s="154"/>
      <c r="T104" s="104"/>
    </row>
    <row r="105" spans="1:20" s="3" customFormat="1">
      <c r="A105" s="233" t="s">
        <v>162</v>
      </c>
      <c r="B105" s="234">
        <f>VLOOKUP($A105,'IODA iTunes data'!$A$138:$Z$249,2,FALSE)</f>
        <v>0</v>
      </c>
      <c r="C105" s="234">
        <f>VLOOKUP($A105,'IODA iTunes data'!$A$138:$Z$249,8,FALSE)</f>
        <v>7.2</v>
      </c>
      <c r="D105" s="234">
        <f>VLOOKUP($A105,'IODA iTunes data'!$A$138:$Z$249,14,FALSE)</f>
        <v>0</v>
      </c>
      <c r="E105" s="234">
        <f>VLOOKUP($A105,'IODA iTunes data'!$A$138:$Z$249,20,FALSE)</f>
        <v>0</v>
      </c>
      <c r="F105" s="234">
        <f>VLOOKUP($A105,'IODA iTunes data'!$A$138:$Z$249,26,FALSE)</f>
        <v>0</v>
      </c>
      <c r="G105" s="235">
        <f t="shared" si="24"/>
        <v>7.2</v>
      </c>
      <c r="H105" s="217">
        <f t="shared" si="20"/>
        <v>28.8</v>
      </c>
      <c r="I105" s="304">
        <f>VLOOKUP($A105,[6]IODA!$D:$P,13,FALSE)</f>
        <v>7.4293797659177709</v>
      </c>
      <c r="J105" s="237">
        <f t="shared" si="25"/>
        <v>21.370620234082232</v>
      </c>
      <c r="K105" s="238">
        <f t="shared" si="26"/>
        <v>2.8765012568235919</v>
      </c>
      <c r="L105" s="259">
        <v>9.6000003814697266</v>
      </c>
      <c r="M105" s="236">
        <f t="shared" si="21"/>
        <v>38.400000381469724</v>
      </c>
      <c r="N105" s="236">
        <v>18.34407820685292</v>
      </c>
      <c r="O105" s="237">
        <f t="shared" si="27"/>
        <v>20.055922174616803</v>
      </c>
      <c r="P105" s="238">
        <f t="shared" si="28"/>
        <v>1.0933186147845999</v>
      </c>
      <c r="R105" s="208"/>
      <c r="S105" s="154"/>
      <c r="T105" s="104"/>
    </row>
    <row r="106" spans="1:20" s="3" customFormat="1">
      <c r="A106" s="233" t="s">
        <v>165</v>
      </c>
      <c r="B106" s="234">
        <f>VLOOKUP($A106,'IODA iTunes data'!$A$138:$Z$249,2,FALSE)</f>
        <v>21.62</v>
      </c>
      <c r="C106" s="234">
        <f>VLOOKUP($A106,'IODA iTunes data'!$A$138:$Z$249,8,FALSE)</f>
        <v>55.51</v>
      </c>
      <c r="D106" s="234">
        <f>VLOOKUP($A106,'IODA iTunes data'!$A$138:$Z$249,14,FALSE)</f>
        <v>0</v>
      </c>
      <c r="E106" s="234">
        <f>VLOOKUP($A106,'IODA iTunes data'!$A$138:$Z$249,20,FALSE)</f>
        <v>0</v>
      </c>
      <c r="F106" s="234">
        <f>VLOOKUP($A106,'IODA iTunes data'!$A$138:$Z$249,26,FALSE)</f>
        <v>0</v>
      </c>
      <c r="G106" s="235">
        <f t="shared" si="24"/>
        <v>77.13</v>
      </c>
      <c r="H106" s="217">
        <f t="shared" si="20"/>
        <v>154.26</v>
      </c>
      <c r="I106" s="304">
        <f>VLOOKUP($A106,[6]IODA!$D:$P,13,FALSE)</f>
        <v>59.221232269627869</v>
      </c>
      <c r="J106" s="237">
        <f t="shared" si="25"/>
        <v>95.038767730372115</v>
      </c>
      <c r="K106" s="238">
        <f t="shared" si="26"/>
        <v>1.6048090201445131</v>
      </c>
      <c r="L106" s="259">
        <v>103.28999996185286</v>
      </c>
      <c r="M106" s="236">
        <f t="shared" si="21"/>
        <v>257.54999996185285</v>
      </c>
      <c r="N106" s="236">
        <v>146.22471195293039</v>
      </c>
      <c r="O106" s="237">
        <f t="shared" si="27"/>
        <v>111.32528800892246</v>
      </c>
      <c r="P106" s="238">
        <f t="shared" si="28"/>
        <v>0.7613301918813693</v>
      </c>
      <c r="R106" s="208"/>
      <c r="S106" s="154"/>
      <c r="T106" s="104"/>
    </row>
    <row r="107" spans="1:20" s="3" customFormat="1">
      <c r="A107" s="233" t="s">
        <v>166</v>
      </c>
      <c r="B107" s="234">
        <f>VLOOKUP($A107,'IODA iTunes data'!$A$138:$Z$249,2,FALSE)</f>
        <v>0</v>
      </c>
      <c r="C107" s="234">
        <f>VLOOKUP($A107,'IODA iTunes data'!$A$138:$Z$249,8,FALSE)</f>
        <v>1.22</v>
      </c>
      <c r="D107" s="234">
        <f>VLOOKUP($A107,'IODA iTunes data'!$A$138:$Z$249,14,FALSE)</f>
        <v>0</v>
      </c>
      <c r="E107" s="234">
        <f>VLOOKUP($A107,'IODA iTunes data'!$A$138:$Z$249,20,FALSE)</f>
        <v>0</v>
      </c>
      <c r="F107" s="234">
        <f>VLOOKUP($A107,'IODA iTunes data'!$A$138:$Z$249,26,FALSE)</f>
        <v>0</v>
      </c>
      <c r="G107" s="235">
        <f t="shared" si="24"/>
        <v>1.22</v>
      </c>
      <c r="H107" s="217">
        <f t="shared" si="20"/>
        <v>4.88</v>
      </c>
      <c r="I107" s="304">
        <f>VLOOKUP($A107,[6]IODA!$D:$P,13,FALSE)</f>
        <v>0.8637167014303625</v>
      </c>
      <c r="J107" s="237">
        <f t="shared" si="25"/>
        <v>4.0162832985696371</v>
      </c>
      <c r="K107" s="238">
        <f t="shared" si="26"/>
        <v>4.650000737415926</v>
      </c>
      <c r="L107" s="259">
        <v>0</v>
      </c>
      <c r="M107" s="236">
        <f t="shared" si="21"/>
        <v>4.88</v>
      </c>
      <c r="N107" s="236">
        <v>2.1326257667279629</v>
      </c>
      <c r="O107" s="237">
        <f t="shared" si="27"/>
        <v>2.747374233272037</v>
      </c>
      <c r="P107" s="238">
        <f t="shared" si="28"/>
        <v>1.2882589510710396</v>
      </c>
      <c r="R107" s="208"/>
      <c r="S107" s="154"/>
      <c r="T107" s="104"/>
    </row>
    <row r="108" spans="1:20" s="3" customFormat="1">
      <c r="A108" s="233" t="s">
        <v>167</v>
      </c>
      <c r="B108" s="234">
        <f>VLOOKUP($A108,'IODA iTunes data'!$A$138:$Z$249,2,FALSE)</f>
        <v>1.8</v>
      </c>
      <c r="C108" s="234">
        <f>VLOOKUP($A108,'IODA iTunes data'!$A$138:$Z$249,8,FALSE)</f>
        <v>13.8</v>
      </c>
      <c r="D108" s="234">
        <f>VLOOKUP($A108,'IODA iTunes data'!$A$138:$Z$249,14,FALSE)</f>
        <v>0</v>
      </c>
      <c r="E108" s="234">
        <f>VLOOKUP($A108,'IODA iTunes data'!$A$138:$Z$249,20,FALSE)</f>
        <v>0</v>
      </c>
      <c r="F108" s="234">
        <f>VLOOKUP($A108,'IODA iTunes data'!$A$138:$Z$249,26,FALSE)</f>
        <v>0</v>
      </c>
      <c r="G108" s="235">
        <f t="shared" si="24"/>
        <v>15.600000000000001</v>
      </c>
      <c r="H108" s="217">
        <f t="shared" si="20"/>
        <v>31.200000000000003</v>
      </c>
      <c r="I108" s="304">
        <f>VLOOKUP($A108,[6]IODA!$D:$P,13,FALSE)</f>
        <v>21.132741205125576</v>
      </c>
      <c r="J108" s="237">
        <f t="shared" si="25"/>
        <v>10.067258794874427</v>
      </c>
      <c r="K108" s="238">
        <f t="shared" si="26"/>
        <v>0.4763820602900628</v>
      </c>
      <c r="L108" s="259">
        <v>66.735000113646137</v>
      </c>
      <c r="M108" s="236">
        <f t="shared" si="21"/>
        <v>97.93500011364614</v>
      </c>
      <c r="N108" s="236">
        <v>52.17941061115188</v>
      </c>
      <c r="O108" s="237">
        <f t="shared" si="27"/>
        <v>45.75558950249426</v>
      </c>
      <c r="P108" s="238">
        <f t="shared" si="28"/>
        <v>0.87688973421856342</v>
      </c>
      <c r="R108" s="208"/>
      <c r="S108" s="154"/>
      <c r="T108" s="104"/>
    </row>
    <row r="109" spans="1:20" s="3" customFormat="1">
      <c r="A109" s="233" t="s">
        <v>169</v>
      </c>
      <c r="B109" s="234">
        <f>VLOOKUP($A109,'IODA iTunes data'!$A$138:$Z$249,2,FALSE)</f>
        <v>38.25</v>
      </c>
      <c r="C109" s="234">
        <f>VLOOKUP($A109,'IODA iTunes data'!$A$138:$Z$249,8,FALSE)</f>
        <v>47.58</v>
      </c>
      <c r="D109" s="234">
        <f>VLOOKUP($A109,'IODA iTunes data'!$A$138:$Z$249,14,FALSE)</f>
        <v>0</v>
      </c>
      <c r="E109" s="234">
        <f>VLOOKUP($A109,'IODA iTunes data'!$A$138:$Z$249,20,FALSE)</f>
        <v>0</v>
      </c>
      <c r="F109" s="234">
        <f>VLOOKUP($A109,'IODA iTunes data'!$A$138:$Z$249,26,FALSE)</f>
        <v>0</v>
      </c>
      <c r="G109" s="235">
        <f t="shared" si="24"/>
        <v>85.83</v>
      </c>
      <c r="H109" s="217">
        <f t="shared" si="20"/>
        <v>171.66</v>
      </c>
      <c r="I109" s="304">
        <f>VLOOKUP($A109,[6]IODA!$D:$P,13,FALSE)</f>
        <v>132.51538319853006</v>
      </c>
      <c r="J109" s="237">
        <f t="shared" si="25"/>
        <v>39.144616801469937</v>
      </c>
      <c r="K109" s="238">
        <f t="shared" si="26"/>
        <v>0.29539677474897236</v>
      </c>
      <c r="L109" s="259">
        <v>283.39999914169312</v>
      </c>
      <c r="M109" s="236">
        <f t="shared" si="21"/>
        <v>455.05999914169308</v>
      </c>
      <c r="N109" s="236">
        <v>327.19723982297018</v>
      </c>
      <c r="O109" s="237">
        <f t="shared" si="27"/>
        <v>127.86275931872291</v>
      </c>
      <c r="P109" s="238">
        <f t="shared" si="28"/>
        <v>0.39078190081280317</v>
      </c>
      <c r="R109" s="208"/>
      <c r="S109" s="154"/>
      <c r="T109" s="104"/>
    </row>
    <row r="110" spans="1:20" s="3" customFormat="1">
      <c r="A110" s="233" t="s">
        <v>170</v>
      </c>
      <c r="B110" s="234">
        <f>VLOOKUP($A110,'IODA iTunes data'!$A$138:$Z$249,2,FALSE)</f>
        <v>17.690000000000001</v>
      </c>
      <c r="C110" s="234">
        <f>VLOOKUP($A110,'IODA iTunes data'!$A$138:$Z$249,8,FALSE)</f>
        <v>103.09</v>
      </c>
      <c r="D110" s="234">
        <f>VLOOKUP($A110,'IODA iTunes data'!$A$138:$Z$249,14,FALSE)</f>
        <v>0</v>
      </c>
      <c r="E110" s="234">
        <f>VLOOKUP($A110,'IODA iTunes data'!$A$138:$Z$249,20,FALSE)</f>
        <v>0</v>
      </c>
      <c r="F110" s="234">
        <f>VLOOKUP($A110,'IODA iTunes data'!$A$138:$Z$249,26,FALSE)</f>
        <v>0</v>
      </c>
      <c r="G110" s="235">
        <f t="shared" si="24"/>
        <v>120.78</v>
      </c>
      <c r="H110" s="217">
        <f t="shared" si="20"/>
        <v>241.56</v>
      </c>
      <c r="I110" s="304">
        <f>VLOOKUP($A110,[6]IODA!$D:$P,13,FALSE)</f>
        <v>62.391497626430031</v>
      </c>
      <c r="J110" s="237">
        <f t="shared" si="25"/>
        <v>179.16850237356996</v>
      </c>
      <c r="K110" s="238">
        <f t="shared" si="26"/>
        <v>2.8716813859212658</v>
      </c>
      <c r="L110" s="259">
        <v>134.22000098228452</v>
      </c>
      <c r="M110" s="236">
        <f t="shared" si="21"/>
        <v>375.78000098228449</v>
      </c>
      <c r="N110" s="236">
        <v>154.05249805002072</v>
      </c>
      <c r="O110" s="237">
        <f t="shared" si="27"/>
        <v>221.72750293226377</v>
      </c>
      <c r="P110" s="238">
        <f t="shared" si="28"/>
        <v>1.4392983284196341</v>
      </c>
      <c r="R110" s="208"/>
      <c r="S110" s="154"/>
      <c r="T110" s="104"/>
    </row>
    <row r="111" spans="1:20" s="3" customFormat="1">
      <c r="A111" s="233" t="s">
        <v>171</v>
      </c>
      <c r="B111" s="234">
        <f>VLOOKUP($A111,'IODA iTunes data'!$A$138:$Z$249,2,FALSE)</f>
        <v>0</v>
      </c>
      <c r="C111" s="234">
        <f>VLOOKUP($A111,'IODA iTunes data'!$A$138:$Z$249,8,FALSE)</f>
        <v>0</v>
      </c>
      <c r="D111" s="234">
        <f>VLOOKUP($A111,'IODA iTunes data'!$A$138:$Z$249,14,FALSE)</f>
        <v>0</v>
      </c>
      <c r="E111" s="234">
        <f>VLOOKUP($A111,'IODA iTunes data'!$A$138:$Z$249,20,FALSE)</f>
        <v>0</v>
      </c>
      <c r="F111" s="234">
        <f>VLOOKUP($A111,'IODA iTunes data'!$A$138:$Z$249,26,FALSE)</f>
        <v>0</v>
      </c>
      <c r="G111" s="235">
        <f t="shared" si="24"/>
        <v>0</v>
      </c>
      <c r="H111" s="217">
        <f t="shared" si="20"/>
        <v>0</v>
      </c>
      <c r="I111" s="304">
        <f>VLOOKUP($A111,[6]IODA!$D:$P,13,FALSE)</f>
        <v>8.7787601209413979E-2</v>
      </c>
      <c r="J111" s="237">
        <f t="shared" si="25"/>
        <v>-8.7787601209413979E-2</v>
      </c>
      <c r="K111" s="238">
        <f t="shared" si="26"/>
        <v>-1</v>
      </c>
      <c r="L111" s="259">
        <v>0</v>
      </c>
      <c r="M111" s="236">
        <f t="shared" si="21"/>
        <v>0</v>
      </c>
      <c r="N111" s="236">
        <v>0.21675868954298522</v>
      </c>
      <c r="O111" s="237">
        <f t="shared" si="27"/>
        <v>-0.21675868954298522</v>
      </c>
      <c r="P111" s="238">
        <f t="shared" si="28"/>
        <v>-1</v>
      </c>
      <c r="R111" s="208"/>
      <c r="S111" s="154"/>
      <c r="T111" s="104"/>
    </row>
    <row r="112" spans="1:20" s="3" customFormat="1">
      <c r="A112" s="233" t="s">
        <v>173</v>
      </c>
      <c r="B112" s="234">
        <f>VLOOKUP($A112,'IODA iTunes data'!$A$138:$Z$249,2,FALSE)</f>
        <v>0</v>
      </c>
      <c r="C112" s="234">
        <f>VLOOKUP($A112,'IODA iTunes data'!$A$138:$Z$249,8,FALSE)</f>
        <v>3.05</v>
      </c>
      <c r="D112" s="234">
        <f>VLOOKUP($A112,'IODA iTunes data'!$A$138:$Z$249,14,FALSE)</f>
        <v>0</v>
      </c>
      <c r="E112" s="234">
        <f>VLOOKUP($A112,'IODA iTunes data'!$A$138:$Z$249,20,FALSE)</f>
        <v>0</v>
      </c>
      <c r="F112" s="234">
        <f>VLOOKUP($A112,'IODA iTunes data'!$A$138:$Z$249,26,FALSE)</f>
        <v>0</v>
      </c>
      <c r="G112" s="235">
        <f t="shared" si="24"/>
        <v>3.05</v>
      </c>
      <c r="H112" s="217">
        <f t="shared" si="20"/>
        <v>12.2</v>
      </c>
      <c r="I112" s="304">
        <f>VLOOKUP($A112,[6]IODA!$D:$P,13,FALSE)</f>
        <v>11.56389253826589</v>
      </c>
      <c r="J112" s="237">
        <f t="shared" si="25"/>
        <v>0.63610746173410959</v>
      </c>
      <c r="K112" s="238">
        <f t="shared" si="26"/>
        <v>5.5008074454962003E-2</v>
      </c>
      <c r="L112" s="259">
        <v>51.85000026226043</v>
      </c>
      <c r="M112" s="236">
        <f t="shared" si="21"/>
        <v>64.050000262260426</v>
      </c>
      <c r="N112" s="236">
        <v>28.552713117551548</v>
      </c>
      <c r="O112" s="237">
        <f t="shared" si="27"/>
        <v>35.497287144708878</v>
      </c>
      <c r="P112" s="238">
        <f t="shared" si="28"/>
        <v>1.2432194096079945</v>
      </c>
      <c r="R112" s="208"/>
      <c r="S112" s="154"/>
      <c r="T112" s="104"/>
    </row>
    <row r="113" spans="1:20" s="3" customFormat="1">
      <c r="A113" s="233" t="s">
        <v>174</v>
      </c>
      <c r="B113" s="234">
        <f>VLOOKUP($A113,'IODA iTunes data'!$A$138:$Z$249,2,FALSE)</f>
        <v>246.03</v>
      </c>
      <c r="C113" s="234">
        <f>VLOOKUP($A113,'IODA iTunes data'!$A$138:$Z$249,8,FALSE)</f>
        <v>562.02</v>
      </c>
      <c r="D113" s="234">
        <f>VLOOKUP($A113,'IODA iTunes data'!$A$138:$Z$249,14,FALSE)</f>
        <v>0</v>
      </c>
      <c r="E113" s="234">
        <f>VLOOKUP($A113,'IODA iTunes data'!$A$138:$Z$249,20,FALSE)</f>
        <v>0</v>
      </c>
      <c r="F113" s="234">
        <f>VLOOKUP($A113,'IODA iTunes data'!$A$138:$Z$249,26,FALSE)</f>
        <v>0</v>
      </c>
      <c r="G113" s="235">
        <f t="shared" si="24"/>
        <v>808.05</v>
      </c>
      <c r="H113" s="217">
        <f t="shared" si="20"/>
        <v>1616.1</v>
      </c>
      <c r="I113" s="304">
        <f>VLOOKUP($A113,[6]IODA!$D:$P,13,FALSE)</f>
        <v>768.79141886045068</v>
      </c>
      <c r="J113" s="237">
        <f t="shared" si="25"/>
        <v>847.30858113954923</v>
      </c>
      <c r="K113" s="238">
        <f t="shared" si="26"/>
        <v>1.1021306434396489</v>
      </c>
      <c r="L113" s="259">
        <v>1957.0200098752971</v>
      </c>
      <c r="M113" s="236">
        <f t="shared" si="21"/>
        <v>3573.120009875297</v>
      </c>
      <c r="N113" s="236">
        <v>1898.2432392310711</v>
      </c>
      <c r="O113" s="237">
        <f t="shared" si="27"/>
        <v>1674.8767706442259</v>
      </c>
      <c r="P113" s="238">
        <f t="shared" si="28"/>
        <v>0.88232990168460956</v>
      </c>
      <c r="R113" s="208"/>
      <c r="S113" s="154"/>
      <c r="T113" s="104"/>
    </row>
    <row r="114" spans="1:20" s="3" customFormat="1">
      <c r="A114" s="233" t="s">
        <v>176</v>
      </c>
      <c r="B114" s="234">
        <f>VLOOKUP($A114,'IODA iTunes data'!$A$138:$Z$249,2,FALSE)</f>
        <v>6.71</v>
      </c>
      <c r="C114" s="234">
        <f>VLOOKUP($A114,'IODA iTunes data'!$A$138:$Z$249,8,FALSE)</f>
        <v>8.5399999999999991</v>
      </c>
      <c r="D114" s="234">
        <f>VLOOKUP($A114,'IODA iTunes data'!$A$138:$Z$249,14,FALSE)</f>
        <v>0</v>
      </c>
      <c r="E114" s="234">
        <f>VLOOKUP($A114,'IODA iTunes data'!$A$138:$Z$249,20,FALSE)</f>
        <v>0</v>
      </c>
      <c r="F114" s="234">
        <f>VLOOKUP($A114,'IODA iTunes data'!$A$138:$Z$249,26,FALSE)</f>
        <v>0</v>
      </c>
      <c r="G114" s="235">
        <f t="shared" si="24"/>
        <v>15.25</v>
      </c>
      <c r="H114" s="217">
        <f t="shared" si="20"/>
        <v>30.5</v>
      </c>
      <c r="I114" s="304">
        <f>VLOOKUP($A114,[6]IODA!$D:$P,13,FALSE)</f>
        <v>14.462299288987895</v>
      </c>
      <c r="J114" s="237">
        <f t="shared" si="25"/>
        <v>16.037700711012107</v>
      </c>
      <c r="K114" s="238">
        <f t="shared" si="26"/>
        <v>1.1089316014379387</v>
      </c>
      <c r="L114" s="259">
        <v>78.145000219345093</v>
      </c>
      <c r="M114" s="236">
        <f t="shared" si="21"/>
        <v>108.64500021934509</v>
      </c>
      <c r="N114" s="236">
        <v>35.709245935328006</v>
      </c>
      <c r="O114" s="237">
        <f t="shared" si="27"/>
        <v>72.935754284017094</v>
      </c>
      <c r="P114" s="238">
        <f t="shared" si="28"/>
        <v>2.0424893434072775</v>
      </c>
      <c r="R114" s="208"/>
      <c r="S114" s="154"/>
      <c r="T114" s="104"/>
    </row>
    <row r="115" spans="1:20" s="3" customFormat="1">
      <c r="A115" s="233" t="s">
        <v>181</v>
      </c>
      <c r="B115" s="234">
        <f>VLOOKUP($A115,'IODA iTunes data'!$A$138:$Z$249,2,FALSE)</f>
        <v>3.66</v>
      </c>
      <c r="C115" s="234">
        <f>VLOOKUP($A115,'IODA iTunes data'!$A$138:$Z$249,8,FALSE)</f>
        <v>1.83</v>
      </c>
      <c r="D115" s="234">
        <f>VLOOKUP($A115,'IODA iTunes data'!$A$138:$Z$249,14,FALSE)</f>
        <v>0</v>
      </c>
      <c r="E115" s="234">
        <f>VLOOKUP($A115,'IODA iTunes data'!$A$138:$Z$249,20,FALSE)</f>
        <v>0</v>
      </c>
      <c r="F115" s="234">
        <f>VLOOKUP($A115,'IODA iTunes data'!$A$138:$Z$249,26,FALSE)</f>
        <v>0</v>
      </c>
      <c r="G115" s="235">
        <f t="shared" si="24"/>
        <v>5.49</v>
      </c>
      <c r="H115" s="217">
        <f t="shared" si="20"/>
        <v>10.98</v>
      </c>
      <c r="I115" s="304">
        <f>VLOOKUP($A115,[6]IODA!$D:$P,13,FALSE)</f>
        <v>14.509025037809254</v>
      </c>
      <c r="J115" s="237">
        <f t="shared" si="25"/>
        <v>-3.5290250378092534</v>
      </c>
      <c r="K115" s="238">
        <f t="shared" si="26"/>
        <v>-0.24322964696889846</v>
      </c>
      <c r="L115" s="259">
        <v>36.835000067949309</v>
      </c>
      <c r="M115" s="236">
        <f t="shared" si="21"/>
        <v>47.815000067949313</v>
      </c>
      <c r="N115" s="236">
        <v>35.824617718391906</v>
      </c>
      <c r="O115" s="237">
        <f t="shared" si="27"/>
        <v>11.990382349557407</v>
      </c>
      <c r="P115" s="238">
        <f t="shared" si="28"/>
        <v>0.33469672848460563</v>
      </c>
      <c r="R115" s="208"/>
      <c r="S115" s="154"/>
      <c r="T115" s="104"/>
    </row>
    <row r="116" spans="1:20" s="3" customFormat="1">
      <c r="A116" s="233" t="s">
        <v>183</v>
      </c>
      <c r="B116" s="234">
        <f>VLOOKUP($A116,'IODA iTunes data'!$A$138:$Z$249,2,FALSE)</f>
        <v>2233.366</v>
      </c>
      <c r="C116" s="234">
        <f>VLOOKUP($A116,'IODA iTunes data'!$A$138:$Z$249,8,FALSE)</f>
        <v>4904.7120000000004</v>
      </c>
      <c r="D116" s="234">
        <f>VLOOKUP($A116,'IODA iTunes data'!$A$138:$Z$249,14,FALSE)</f>
        <v>0</v>
      </c>
      <c r="E116" s="234">
        <f>VLOOKUP($A116,'IODA iTunes data'!$A$138:$Z$249,20,FALSE)</f>
        <v>0</v>
      </c>
      <c r="F116" s="234">
        <f>VLOOKUP($A116,'IODA iTunes data'!$A$138:$Z$249,26,FALSE)</f>
        <v>0</v>
      </c>
      <c r="G116" s="235">
        <f t="shared" si="24"/>
        <v>7138.0780000000004</v>
      </c>
      <c r="H116" s="217">
        <f t="shared" si="20"/>
        <v>14276.156000000001</v>
      </c>
      <c r="I116" s="304">
        <f>VLOOKUP($A116,[6]IODA!$D:$P,13,FALSE)</f>
        <v>7589.5728758639607</v>
      </c>
      <c r="J116" s="237">
        <f t="shared" si="25"/>
        <v>6686.5831241360402</v>
      </c>
      <c r="K116" s="238">
        <f t="shared" si="26"/>
        <v>0.88102232279769388</v>
      </c>
      <c r="L116" s="259">
        <v>16955.21293351052</v>
      </c>
      <c r="M116" s="236">
        <f t="shared" si="21"/>
        <v>31231.368933510523</v>
      </c>
      <c r="N116" s="236">
        <v>18739.615254310454</v>
      </c>
      <c r="O116" s="237">
        <f t="shared" si="27"/>
        <v>12491.753679200068</v>
      </c>
      <c r="P116" s="238">
        <f t="shared" si="28"/>
        <v>0.66659605918679343</v>
      </c>
      <c r="R116" s="208"/>
      <c r="S116" s="154"/>
      <c r="T116" s="104"/>
    </row>
    <row r="117" spans="1:20" s="3" customFormat="1">
      <c r="A117" s="233" t="s">
        <v>185</v>
      </c>
      <c r="B117" s="234">
        <f>VLOOKUP($A117,'IODA iTunes data'!$A$138:$Z$249,2,FALSE)</f>
        <v>0</v>
      </c>
      <c r="C117" s="234">
        <f>VLOOKUP($A117,'IODA iTunes data'!$A$138:$Z$249,8,FALSE)</f>
        <v>0</v>
      </c>
      <c r="D117" s="234">
        <f>VLOOKUP($A117,'IODA iTunes data'!$A$138:$Z$249,14,FALSE)</f>
        <v>0</v>
      </c>
      <c r="E117" s="234">
        <f>VLOOKUP($A117,'IODA iTunes data'!$A$138:$Z$249,20,FALSE)</f>
        <v>0</v>
      </c>
      <c r="F117" s="234">
        <f>VLOOKUP($A117,'IODA iTunes data'!$A$138:$Z$249,26,FALSE)</f>
        <v>0</v>
      </c>
      <c r="G117" s="235">
        <f t="shared" si="24"/>
        <v>0</v>
      </c>
      <c r="H117" s="217">
        <f t="shared" si="20"/>
        <v>0</v>
      </c>
      <c r="I117" s="304">
        <f>VLOOKUP($A117,[6]IODA!$D:$P,13,FALSE)</f>
        <v>2.3320351512512203</v>
      </c>
      <c r="J117" s="237">
        <f t="shared" si="25"/>
        <v>-2.3320351512512203</v>
      </c>
      <c r="K117" s="238">
        <f t="shared" si="26"/>
        <v>-1</v>
      </c>
      <c r="L117" s="259">
        <v>3.0500000715255746</v>
      </c>
      <c r="M117" s="236">
        <f t="shared" si="21"/>
        <v>3.0500000715255746</v>
      </c>
      <c r="N117" s="236">
        <v>5.7580897118667957</v>
      </c>
      <c r="O117" s="237">
        <f t="shared" si="27"/>
        <v>-2.7080896403412211</v>
      </c>
      <c r="P117" s="238">
        <f t="shared" si="28"/>
        <v>-0.47031042860623434</v>
      </c>
      <c r="R117" s="208"/>
      <c r="S117" s="154"/>
      <c r="T117" s="104"/>
    </row>
    <row r="118" spans="1:20" s="3" customFormat="1">
      <c r="A118" s="233" t="s">
        <v>187</v>
      </c>
      <c r="B118" s="234">
        <f>VLOOKUP($A118,'IODA iTunes data'!$A$138:$Z$249,2,FALSE)</f>
        <v>2.4</v>
      </c>
      <c r="C118" s="234">
        <f>VLOOKUP($A118,'IODA iTunes data'!$A$138:$Z$249,8,FALSE)</f>
        <v>2.4</v>
      </c>
      <c r="D118" s="234">
        <f>VLOOKUP($A118,'IODA iTunes data'!$A$138:$Z$249,14,FALSE)</f>
        <v>0</v>
      </c>
      <c r="E118" s="234">
        <f>VLOOKUP($A118,'IODA iTunes data'!$A$138:$Z$249,20,FALSE)</f>
        <v>0</v>
      </c>
      <c r="F118" s="234">
        <f>VLOOKUP($A118,'IODA iTunes data'!$A$138:$Z$249,26,FALSE)</f>
        <v>0</v>
      </c>
      <c r="G118" s="235">
        <f t="shared" si="24"/>
        <v>4.8</v>
      </c>
      <c r="H118" s="217">
        <f t="shared" si="20"/>
        <v>9.6</v>
      </c>
      <c r="I118" s="304">
        <f>VLOOKUP($A118,[6]IODA!$D:$P,13,FALSE)</f>
        <v>6.2272560257437943</v>
      </c>
      <c r="J118" s="237">
        <f t="shared" si="25"/>
        <v>3.3727439742562053</v>
      </c>
      <c r="K118" s="238">
        <f t="shared" si="26"/>
        <v>0.54160997400991862</v>
      </c>
      <c r="L118" s="259">
        <v>24.450000226497647</v>
      </c>
      <c r="M118" s="236">
        <f t="shared" si="21"/>
        <v>34.050000226497644</v>
      </c>
      <c r="N118" s="236">
        <v>15.375882664443218</v>
      </c>
      <c r="O118" s="237">
        <f t="shared" si="27"/>
        <v>18.674117562054427</v>
      </c>
      <c r="P118" s="238">
        <f t="shared" si="28"/>
        <v>1.2145070282851722</v>
      </c>
      <c r="R118" s="208"/>
      <c r="S118" s="154"/>
      <c r="T118" s="104"/>
    </row>
    <row r="119" spans="1:20" s="3" customFormat="1">
      <c r="A119" s="233" t="s">
        <v>189</v>
      </c>
      <c r="B119" s="234">
        <f>VLOOKUP($A119,'IODA iTunes data'!$A$138:$Z$249,2,FALSE)</f>
        <v>40.17</v>
      </c>
      <c r="C119" s="234">
        <f>VLOOKUP($A119,'IODA iTunes data'!$A$138:$Z$249,8,FALSE)</f>
        <v>42.09</v>
      </c>
      <c r="D119" s="234">
        <f>VLOOKUP($A119,'IODA iTunes data'!$A$138:$Z$249,14,FALSE)</f>
        <v>0</v>
      </c>
      <c r="E119" s="234">
        <f>VLOOKUP($A119,'IODA iTunes data'!$A$138:$Z$249,20,FALSE)</f>
        <v>0</v>
      </c>
      <c r="F119" s="234">
        <f>VLOOKUP($A119,'IODA iTunes data'!$A$138:$Z$249,26,FALSE)</f>
        <v>0</v>
      </c>
      <c r="G119" s="235">
        <f t="shared" si="24"/>
        <v>82.26</v>
      </c>
      <c r="H119" s="217">
        <f t="shared" si="20"/>
        <v>164.52</v>
      </c>
      <c r="I119" s="304">
        <f>VLOOKUP($A119,[6]IODA!$D:$P,13,FALSE)</f>
        <v>220.11749798175799</v>
      </c>
      <c r="J119" s="237">
        <f t="shared" si="25"/>
        <v>-55.597497981757982</v>
      </c>
      <c r="K119" s="238">
        <f t="shared" si="26"/>
        <v>-0.25258100101776354</v>
      </c>
      <c r="L119" s="259">
        <v>390.01000273227703</v>
      </c>
      <c r="M119" s="236">
        <f t="shared" si="21"/>
        <v>554.53000273227701</v>
      </c>
      <c r="N119" s="236">
        <v>543.49793992195418</v>
      </c>
      <c r="O119" s="237">
        <f t="shared" si="27"/>
        <v>11.032062810322827</v>
      </c>
      <c r="P119" s="238">
        <f t="shared" si="28"/>
        <v>2.0298260582012548E-2</v>
      </c>
      <c r="R119" s="208"/>
      <c r="S119" s="154"/>
      <c r="T119" s="104"/>
    </row>
    <row r="120" spans="1:20" s="3" customFormat="1">
      <c r="A120" s="233" t="s">
        <v>191</v>
      </c>
      <c r="B120" s="234">
        <f>VLOOKUP($A120,'IODA iTunes data'!$A$138:$Z$249,2,FALSE)</f>
        <v>1.47</v>
      </c>
      <c r="C120" s="234">
        <f>VLOOKUP($A120,'IODA iTunes data'!$A$138:$Z$249,8,FALSE)</f>
        <v>25.2</v>
      </c>
      <c r="D120" s="234">
        <f>VLOOKUP($A120,'IODA iTunes data'!$A$138:$Z$249,14,FALSE)</f>
        <v>0</v>
      </c>
      <c r="E120" s="234">
        <f>VLOOKUP($A120,'IODA iTunes data'!$A$138:$Z$249,20,FALSE)</f>
        <v>0</v>
      </c>
      <c r="F120" s="234">
        <f>VLOOKUP($A120,'IODA iTunes data'!$A$138:$Z$249,26,FALSE)</f>
        <v>0</v>
      </c>
      <c r="G120" s="235">
        <f t="shared" si="24"/>
        <v>26.669999999999998</v>
      </c>
      <c r="H120" s="217">
        <f t="shared" si="20"/>
        <v>53.339999999999996</v>
      </c>
      <c r="I120" s="304">
        <f>VLOOKUP($A120,[6]IODA!$D:$P,13,FALSE)</f>
        <v>1.7373449642112622</v>
      </c>
      <c r="J120" s="237">
        <f t="shared" si="25"/>
        <v>51.602655035788736</v>
      </c>
      <c r="K120" s="238">
        <f t="shared" si="26"/>
        <v>29.702020093180426</v>
      </c>
      <c r="L120" s="259">
        <v>26.400000572204583</v>
      </c>
      <c r="M120" s="236">
        <f t="shared" si="21"/>
        <v>79.740000572204579</v>
      </c>
      <c r="N120" s="236">
        <v>4.289724431907068</v>
      </c>
      <c r="O120" s="237">
        <f t="shared" si="27"/>
        <v>75.450276140297518</v>
      </c>
      <c r="P120" s="238">
        <f t="shared" si="28"/>
        <v>17.588606759701545</v>
      </c>
      <c r="R120" s="208"/>
      <c r="S120" s="154"/>
      <c r="T120" s="104"/>
    </row>
    <row r="121" spans="1:20" s="3" customFormat="1">
      <c r="A121" s="233" t="s">
        <v>192</v>
      </c>
      <c r="B121" s="234">
        <f>VLOOKUP($A121,'IODA iTunes data'!$A$138:$Z$249,2,FALSE)</f>
        <v>2.44</v>
      </c>
      <c r="C121" s="234">
        <f>VLOOKUP($A121,'IODA iTunes data'!$A$138:$Z$249,8,FALSE)</f>
        <v>9.76</v>
      </c>
      <c r="D121" s="234">
        <f>VLOOKUP($A121,'IODA iTunes data'!$A$138:$Z$249,14,FALSE)</f>
        <v>0</v>
      </c>
      <c r="E121" s="234">
        <f>VLOOKUP($A121,'IODA iTunes data'!$A$138:$Z$249,20,FALSE)</f>
        <v>0</v>
      </c>
      <c r="F121" s="234">
        <f>VLOOKUP($A121,'IODA iTunes data'!$A$138:$Z$249,26,FALSE)</f>
        <v>0</v>
      </c>
      <c r="G121" s="235">
        <f t="shared" si="24"/>
        <v>12.2</v>
      </c>
      <c r="H121" s="217">
        <f t="shared" si="20"/>
        <v>24.4</v>
      </c>
      <c r="I121" s="304">
        <f>VLOOKUP($A121,[6]IODA!$D:$P,13,FALSE)</f>
        <v>15.633272670607605</v>
      </c>
      <c r="J121" s="237">
        <f t="shared" si="25"/>
        <v>8.7667273293923937</v>
      </c>
      <c r="K121" s="238">
        <f t="shared" si="26"/>
        <v>0.56077364695844356</v>
      </c>
      <c r="L121" s="259">
        <v>59.100000143051169</v>
      </c>
      <c r="M121" s="236">
        <f t="shared" si="21"/>
        <v>83.500000143051167</v>
      </c>
      <c r="N121" s="236">
        <v>38.600527303002373</v>
      </c>
      <c r="O121" s="237">
        <f t="shared" si="27"/>
        <v>44.899472840048794</v>
      </c>
      <c r="P121" s="238">
        <f t="shared" si="28"/>
        <v>1.1631828883476545</v>
      </c>
      <c r="R121" s="208"/>
      <c r="S121" s="154"/>
      <c r="T121" s="104"/>
    </row>
    <row r="122" spans="1:20" s="3" customFormat="1">
      <c r="A122" s="233" t="s">
        <v>193</v>
      </c>
      <c r="B122" s="234">
        <f>VLOOKUP($A122,'IODA iTunes data'!$A$138:$Z$249,2,FALSE)</f>
        <v>67.680000000000007</v>
      </c>
      <c r="C122" s="234">
        <f>VLOOKUP($A122,'IODA iTunes data'!$A$138:$Z$249,8,FALSE)</f>
        <v>531.29999999999995</v>
      </c>
      <c r="D122" s="234">
        <f>VLOOKUP($A122,'IODA iTunes data'!$A$138:$Z$249,14,FALSE)</f>
        <v>0</v>
      </c>
      <c r="E122" s="234">
        <f>VLOOKUP($A122,'IODA iTunes data'!$A$138:$Z$249,20,FALSE)</f>
        <v>0</v>
      </c>
      <c r="F122" s="234">
        <f>VLOOKUP($A122,'IODA iTunes data'!$A$138:$Z$249,26,FALSE)</f>
        <v>0</v>
      </c>
      <c r="G122" s="235">
        <f t="shared" si="24"/>
        <v>598.98</v>
      </c>
      <c r="H122" s="217">
        <f t="shared" si="20"/>
        <v>1197.96</v>
      </c>
      <c r="I122" s="304">
        <f>VLOOKUP($A122,[6]IODA!$D:$P,13,FALSE)</f>
        <v>322.36032163943321</v>
      </c>
      <c r="J122" s="237">
        <f t="shared" si="25"/>
        <v>875.59967836056683</v>
      </c>
      <c r="K122" s="238">
        <f t="shared" si="26"/>
        <v>2.716214185131455</v>
      </c>
      <c r="L122" s="259">
        <v>714.39000880718265</v>
      </c>
      <c r="M122" s="236">
        <f t="shared" si="21"/>
        <v>1912.3500088071828</v>
      </c>
      <c r="N122" s="236">
        <v>795.94840178553261</v>
      </c>
      <c r="O122" s="237">
        <f t="shared" si="27"/>
        <v>1116.4016070216503</v>
      </c>
      <c r="P122" s="238">
        <f t="shared" si="28"/>
        <v>1.4026055012074305</v>
      </c>
      <c r="R122" s="208"/>
      <c r="S122" s="154"/>
      <c r="T122" s="104"/>
    </row>
    <row r="123" spans="1:20" s="3" customFormat="1">
      <c r="A123" s="233" t="s">
        <v>194</v>
      </c>
      <c r="B123" s="234">
        <f>VLOOKUP($A123,'IODA iTunes data'!$A$138:$Z$249,2,FALSE)</f>
        <v>0</v>
      </c>
      <c r="C123" s="234">
        <f>VLOOKUP($A123,'IODA iTunes data'!$A$138:$Z$249,8,FALSE)</f>
        <v>13.8</v>
      </c>
      <c r="D123" s="234">
        <f>VLOOKUP($A123,'IODA iTunes data'!$A$138:$Z$249,14,FALSE)</f>
        <v>0</v>
      </c>
      <c r="E123" s="234">
        <f>VLOOKUP($A123,'IODA iTunes data'!$A$138:$Z$249,20,FALSE)</f>
        <v>0</v>
      </c>
      <c r="F123" s="234">
        <f>VLOOKUP($A123,'IODA iTunes data'!$A$138:$Z$249,26,FALSE)</f>
        <v>0</v>
      </c>
      <c r="G123" s="235">
        <f t="shared" si="24"/>
        <v>13.8</v>
      </c>
      <c r="H123" s="217">
        <f t="shared" si="20"/>
        <v>55.2</v>
      </c>
      <c r="I123" s="304">
        <f>VLOOKUP($A123,[6]IODA!$D:$P,13,FALSE)</f>
        <v>3.69132715202133</v>
      </c>
      <c r="J123" s="237">
        <f t="shared" si="25"/>
        <v>51.508672847978673</v>
      </c>
      <c r="K123" s="238">
        <f t="shared" si="26"/>
        <v>13.953971221373076</v>
      </c>
      <c r="L123" s="259">
        <v>9.2900001605351754</v>
      </c>
      <c r="M123" s="236">
        <f t="shared" si="21"/>
        <v>64.490000160535175</v>
      </c>
      <c r="N123" s="236">
        <v>9.1143535661477983</v>
      </c>
      <c r="O123" s="237">
        <f t="shared" si="27"/>
        <v>55.375646594387376</v>
      </c>
      <c r="P123" s="238">
        <f t="shared" si="28"/>
        <v>6.0756526716345078</v>
      </c>
      <c r="R123" s="208"/>
      <c r="S123" s="154"/>
      <c r="T123" s="104"/>
    </row>
    <row r="124" spans="1:20" s="3" customFormat="1">
      <c r="A124" s="233" t="s">
        <v>197</v>
      </c>
      <c r="B124" s="234">
        <f>VLOOKUP($A124,'IODA iTunes data'!$A$138:$Z$249,2,FALSE)</f>
        <v>5.67</v>
      </c>
      <c r="C124" s="234">
        <f>VLOOKUP($A124,'IODA iTunes data'!$A$138:$Z$249,8,FALSE)</f>
        <v>15.86</v>
      </c>
      <c r="D124" s="234">
        <f>VLOOKUP($A124,'IODA iTunes data'!$A$138:$Z$249,14,FALSE)</f>
        <v>0</v>
      </c>
      <c r="E124" s="234">
        <f>VLOOKUP($A124,'IODA iTunes data'!$A$138:$Z$249,20,FALSE)</f>
        <v>0</v>
      </c>
      <c r="F124" s="234">
        <f>VLOOKUP($A124,'IODA iTunes data'!$A$138:$Z$249,26,FALSE)</f>
        <v>0</v>
      </c>
      <c r="G124" s="235">
        <f t="shared" si="24"/>
        <v>21.53</v>
      </c>
      <c r="H124" s="217">
        <f t="shared" si="20"/>
        <v>43.06</v>
      </c>
      <c r="I124" s="304">
        <f>VLOOKUP($A124,[6]IODA!$D:$P,13,FALSE)</f>
        <v>19.064068764666981</v>
      </c>
      <c r="J124" s="237">
        <f t="shared" si="25"/>
        <v>23.995931235333021</v>
      </c>
      <c r="K124" s="238">
        <f t="shared" si="26"/>
        <v>1.2586993643144357</v>
      </c>
      <c r="L124" s="259">
        <v>28.606666902701058</v>
      </c>
      <c r="M124" s="236">
        <f t="shared" si="21"/>
        <v>71.666666902701053</v>
      </c>
      <c r="N124" s="236">
        <v>47.071596738691156</v>
      </c>
      <c r="O124" s="237">
        <f t="shared" si="27"/>
        <v>24.595070164009897</v>
      </c>
      <c r="P124" s="238">
        <f t="shared" si="28"/>
        <v>0.52250341751831064</v>
      </c>
      <c r="R124" s="208"/>
      <c r="S124" s="154"/>
      <c r="T124" s="104"/>
    </row>
    <row r="125" spans="1:20" s="3" customFormat="1">
      <c r="A125" s="233" t="s">
        <v>198</v>
      </c>
      <c r="B125" s="234">
        <f>VLOOKUP($A125,'IODA iTunes data'!$A$138:$Z$249,2,FALSE)</f>
        <v>6.1</v>
      </c>
      <c r="C125" s="234">
        <f>VLOOKUP($A125,'IODA iTunes data'!$A$138:$Z$249,8,FALSE)</f>
        <v>7.32</v>
      </c>
      <c r="D125" s="234">
        <f>VLOOKUP($A125,'IODA iTunes data'!$A$138:$Z$249,14,FALSE)</f>
        <v>0</v>
      </c>
      <c r="E125" s="234">
        <f>VLOOKUP($A125,'IODA iTunes data'!$A$138:$Z$249,20,FALSE)</f>
        <v>0</v>
      </c>
      <c r="F125" s="234">
        <f>VLOOKUP($A125,'IODA iTunes data'!$A$138:$Z$249,26,FALSE)</f>
        <v>0</v>
      </c>
      <c r="G125" s="235">
        <f>SUM(B125:F125)</f>
        <v>13.42</v>
      </c>
      <c r="H125" s="217">
        <f t="shared" si="20"/>
        <v>26.84</v>
      </c>
      <c r="I125" s="304">
        <f>VLOOKUP($A125,[6]IODA!$D:$P,13,FALSE)</f>
        <v>18.972033304429587</v>
      </c>
      <c r="J125" s="237">
        <f t="shared" si="25"/>
        <v>7.8679666955704128</v>
      </c>
      <c r="K125" s="238">
        <f t="shared" si="26"/>
        <v>0.41471394074210283</v>
      </c>
      <c r="L125" s="259">
        <v>67.980000376701341</v>
      </c>
      <c r="M125" s="236">
        <f t="shared" si="21"/>
        <v>94.820000376701344</v>
      </c>
      <c r="N125" s="236">
        <v>46.844349547997858</v>
      </c>
      <c r="O125" s="237">
        <f>M125-N125</f>
        <v>47.975650828703486</v>
      </c>
      <c r="P125" s="238">
        <f t="shared" si="28"/>
        <v>1.0241502185775142</v>
      </c>
      <c r="R125" s="208"/>
      <c r="S125" s="154"/>
      <c r="T125" s="104"/>
    </row>
    <row r="126" spans="1:20" ht="13" thickBot="1">
      <c r="A126" s="28"/>
      <c r="B126" s="33"/>
      <c r="C126" s="33" t="s">
        <v>91</v>
      </c>
      <c r="D126" s="29"/>
      <c r="E126" s="29"/>
      <c r="F126" s="29"/>
      <c r="G126" s="29"/>
      <c r="H126" s="53"/>
      <c r="I126" s="74"/>
      <c r="J126" s="50"/>
      <c r="K126" s="110"/>
      <c r="L126" s="260"/>
      <c r="M126" s="257"/>
      <c r="N126" s="29"/>
      <c r="O126" s="29"/>
      <c r="P126" s="78"/>
    </row>
    <row r="127" spans="1:20" ht="13" thickBot="1">
      <c r="A127" s="30" t="s">
        <v>15</v>
      </c>
      <c r="B127" s="35">
        <f t="shared" ref="B127:G127" si="29">SUM(B4,B8:B9,B14,B18,B22,B27,B30:B31,B34:B36,B49,B67,B81)</f>
        <v>654667.34217399999</v>
      </c>
      <c r="C127" s="35">
        <f t="shared" si="29"/>
        <v>813315.4795309999</v>
      </c>
      <c r="D127" s="35">
        <f t="shared" si="29"/>
        <v>0</v>
      </c>
      <c r="E127" s="35">
        <f t="shared" si="29"/>
        <v>0</v>
      </c>
      <c r="F127" s="35">
        <f t="shared" si="29"/>
        <v>0</v>
      </c>
      <c r="G127" s="35">
        <f t="shared" si="29"/>
        <v>1467982.821705</v>
      </c>
      <c r="H127" s="35">
        <f>SUM(H4,H8:H9,H14,H18,H22,H27,H30:H31,H34:H36,H49,H67,H81)</f>
        <v>2935965.64341</v>
      </c>
      <c r="I127" s="35">
        <f>SUM(I4,I8:I9,I14,I18,I22,I27,I30:I31,I34:I36,I49,I67,I81)</f>
        <v>3774704.8691016478</v>
      </c>
      <c r="J127" s="51">
        <f>H127-I127</f>
        <v>-838739.22569164773</v>
      </c>
      <c r="K127" s="111">
        <f>J127/I127</f>
        <v>-0.22219994801640255</v>
      </c>
      <c r="L127" s="79">
        <f>SUM(L4,L8:L9,L14,L18,L22,L27,L30:L31,L34:L36,L49,L67,L81)</f>
        <v>6139474.6192332581</v>
      </c>
      <c r="M127" s="35">
        <f>SUM(M4,M8:M9,M14,M18,M22,M27,M30:M31,M34:M36,M49,M67,M81)</f>
        <v>9075440.2626432572</v>
      </c>
      <c r="N127" s="35">
        <f>SUM(N4,N8:N9,N14,N18,N22,N27,N30:N31,N34:N36,N49,N67,N81)</f>
        <v>9239335.0402169991</v>
      </c>
      <c r="O127" s="51">
        <f>M127-N127</f>
        <v>-163894.77757374197</v>
      </c>
      <c r="P127" s="36">
        <f>O127/N127</f>
        <v>-1.7738806619777333E-2</v>
      </c>
      <c r="S127" s="104">
        <f>I127-100000</f>
        <v>3674704.8691016478</v>
      </c>
    </row>
    <row r="129" spans="1:11" ht="14">
      <c r="A129" s="339" t="s">
        <v>9</v>
      </c>
      <c r="B129" s="247">
        <f>B$4</f>
        <v>365707.10651800002</v>
      </c>
      <c r="C129" s="247">
        <f t="shared" ref="C129:K129" si="30">C$4</f>
        <v>465307.237349</v>
      </c>
      <c r="D129" s="247">
        <f t="shared" si="30"/>
        <v>0</v>
      </c>
      <c r="E129" s="247">
        <f t="shared" si="30"/>
        <v>0</v>
      </c>
      <c r="F129" s="247">
        <f t="shared" si="30"/>
        <v>0</v>
      </c>
      <c r="G129" s="247">
        <f t="shared" si="30"/>
        <v>831014.34386699996</v>
      </c>
      <c r="H129" s="247">
        <f t="shared" si="30"/>
        <v>1662028.6877339999</v>
      </c>
      <c r="I129" s="247">
        <f t="shared" si="30"/>
        <v>2095573.0249192272</v>
      </c>
      <c r="J129" s="247">
        <f t="shared" si="30"/>
        <v>-433544.33718522731</v>
      </c>
      <c r="K129" s="247">
        <f t="shared" si="30"/>
        <v>-0.20688581692443672</v>
      </c>
    </row>
    <row r="130" spans="1:11" ht="14">
      <c r="A130" s="340" t="s">
        <v>24</v>
      </c>
      <c r="B130" s="247">
        <f>B$8+B$9+B$14+B$18+B$22+B$27+B$36</f>
        <v>156668.17839199997</v>
      </c>
      <c r="C130" s="247">
        <f t="shared" ref="C130:K130" si="31">C$8+C$9+C$14+C$18+C$22+C$27+C$36</f>
        <v>212394.32572800003</v>
      </c>
      <c r="D130" s="247">
        <f t="shared" si="31"/>
        <v>0</v>
      </c>
      <c r="E130" s="247">
        <f t="shared" si="31"/>
        <v>0</v>
      </c>
      <c r="F130" s="247">
        <f t="shared" si="31"/>
        <v>0</v>
      </c>
      <c r="G130" s="247">
        <f t="shared" si="31"/>
        <v>369062.50411999994</v>
      </c>
      <c r="H130" s="247">
        <f t="shared" si="31"/>
        <v>738125.00823999988</v>
      </c>
      <c r="I130" s="247">
        <f t="shared" si="31"/>
        <v>927681.31559025764</v>
      </c>
      <c r="J130" s="247">
        <f t="shared" si="31"/>
        <v>-189556.3073502575</v>
      </c>
      <c r="K130" s="247">
        <f t="shared" si="31"/>
        <v>-0.83191533755844793</v>
      </c>
    </row>
    <row r="131" spans="1:11" ht="14">
      <c r="A131" s="340" t="s">
        <v>26</v>
      </c>
      <c r="B131" s="247">
        <f>B$30+B$31+B$34+B$35+B$49+B$67+B$81</f>
        <v>132292.05726399997</v>
      </c>
      <c r="C131" s="247">
        <f t="shared" ref="C131:K131" si="32">C$30+C$31+C$34+C$35+C$49+C$67+C$81</f>
        <v>135613.91645399999</v>
      </c>
      <c r="D131" s="247">
        <f t="shared" si="32"/>
        <v>0</v>
      </c>
      <c r="E131" s="247">
        <f t="shared" si="32"/>
        <v>0</v>
      </c>
      <c r="F131" s="247">
        <f t="shared" si="32"/>
        <v>0</v>
      </c>
      <c r="G131" s="247">
        <f t="shared" si="32"/>
        <v>267905.97371799999</v>
      </c>
      <c r="H131" s="247">
        <f t="shared" si="32"/>
        <v>535811.94743599999</v>
      </c>
      <c r="I131" s="247">
        <f t="shared" si="32"/>
        <v>751450.52859216277</v>
      </c>
      <c r="J131" s="247">
        <f t="shared" si="32"/>
        <v>-215638.58115616266</v>
      </c>
      <c r="K131" s="247">
        <f t="shared" si="32"/>
        <v>5.8517435782466514</v>
      </c>
    </row>
  </sheetData>
  <mergeCells count="2">
    <mergeCell ref="A1:K1"/>
    <mergeCell ref="M1:P1"/>
  </mergeCells>
  <pageMargins left="0" right="0" top="0.25" bottom="0.25" header="0.3" footer="0.3"/>
  <pageSetup scale="85"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</sheetPr>
  <dimension ref="A1:U131"/>
  <sheetViews>
    <sheetView workbookViewId="0">
      <pane ySplit="2" topLeftCell="A3" activePane="bottomLeft" state="frozen"/>
      <selection pane="bottomLeft" sqref="A1:K1"/>
    </sheetView>
  </sheetViews>
  <sheetFormatPr baseColWidth="10" defaultColWidth="8.83203125" defaultRowHeight="12" x14ac:dyDescent="0"/>
  <cols>
    <col min="1" max="1" width="15.83203125" customWidth="1"/>
    <col min="2" max="2" width="9.6640625" bestFit="1" customWidth="1"/>
    <col min="3" max="3" width="9.33203125" customWidth="1"/>
    <col min="4" max="4" width="9.83203125" customWidth="1"/>
    <col min="5" max="5" width="8.6640625" bestFit="1" customWidth="1"/>
    <col min="6" max="6" width="9" customWidth="1"/>
    <col min="7" max="7" width="12" customWidth="1"/>
    <col min="8" max="8" width="11" customWidth="1"/>
    <col min="9" max="9" width="10" bestFit="1" customWidth="1"/>
    <col min="10" max="10" width="10.33203125" bestFit="1" customWidth="1"/>
    <col min="11" max="11" width="9.5" bestFit="1" customWidth="1"/>
    <col min="12" max="12" width="12.33203125" style="73" hidden="1" customWidth="1"/>
    <col min="13" max="14" width="9.6640625" hidden="1" customWidth="1"/>
    <col min="15" max="16" width="10.33203125" hidden="1" customWidth="1"/>
    <col min="18" max="18" width="0" hidden="1" customWidth="1"/>
    <col min="19" max="19" width="12.33203125" hidden="1" customWidth="1"/>
    <col min="20" max="21" width="9.6640625" bestFit="1" customWidth="1"/>
  </cols>
  <sheetData>
    <row r="1" spans="1:21" ht="14" thickBot="1">
      <c r="A1" s="942" t="s">
        <v>988</v>
      </c>
      <c r="B1" s="943"/>
      <c r="C1" s="943"/>
      <c r="D1" s="943"/>
      <c r="E1" s="943"/>
      <c r="F1" s="943"/>
      <c r="G1" s="943"/>
      <c r="H1" s="943"/>
      <c r="I1" s="943"/>
      <c r="J1" s="943"/>
      <c r="K1" s="944"/>
      <c r="L1" s="249"/>
      <c r="M1" s="942" t="s">
        <v>724</v>
      </c>
      <c r="N1" s="943"/>
      <c r="O1" s="943"/>
      <c r="P1" s="944"/>
    </row>
    <row r="2" spans="1:21" ht="45" thickBot="1">
      <c r="A2" s="32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7" t="s">
        <v>6</v>
      </c>
      <c r="H2" s="27" t="s">
        <v>7</v>
      </c>
      <c r="I2" s="105" t="s">
        <v>82</v>
      </c>
      <c r="J2" s="66" t="s">
        <v>80</v>
      </c>
      <c r="K2" s="67" t="s">
        <v>81</v>
      </c>
      <c r="L2" s="250" t="s">
        <v>725</v>
      </c>
      <c r="M2" s="138" t="s">
        <v>730</v>
      </c>
      <c r="N2" s="139" t="s">
        <v>731</v>
      </c>
      <c r="O2" s="139" t="s">
        <v>732</v>
      </c>
      <c r="P2" s="140" t="s">
        <v>734</v>
      </c>
    </row>
    <row r="3" spans="1:21">
      <c r="A3" s="97" t="s">
        <v>8</v>
      </c>
      <c r="B3" s="98"/>
      <c r="C3" s="98"/>
      <c r="D3" s="98"/>
      <c r="E3" s="59"/>
      <c r="F3" s="99"/>
      <c r="G3" s="59"/>
      <c r="H3" s="59"/>
      <c r="I3" s="94"/>
      <c r="J3" s="63"/>
      <c r="K3" s="108"/>
      <c r="L3" s="251"/>
      <c r="M3" s="75"/>
      <c r="N3" s="76"/>
      <c r="O3" s="76"/>
      <c r="P3" s="77"/>
    </row>
    <row r="4" spans="1:21">
      <c r="A4" s="213" t="s">
        <v>9</v>
      </c>
      <c r="B4" s="226">
        <f>'IRIS iTunes data'!B116</f>
        <v>24704.017657502442</v>
      </c>
      <c r="C4" s="226">
        <f>'IRIS iTunes data'!H116</f>
        <v>23964.451456902465</v>
      </c>
      <c r="D4" s="226">
        <f>'IRIS iTunes data'!N116</f>
        <v>0</v>
      </c>
      <c r="E4" s="226">
        <f>'IRIS iTunes data'!T116</f>
        <v>0</v>
      </c>
      <c r="F4" s="226">
        <f>'IRIS iTunes data'!Z116</f>
        <v>0</v>
      </c>
      <c r="G4" s="227">
        <f>SUM(B4:F4)</f>
        <v>48668.469114404907</v>
      </c>
      <c r="H4" s="215">
        <f>IFERROR((((B4+C4+D4+E4+F4))/COUNTIF(B4:F4, "&gt;0")*4),0)</f>
        <v>97336.938228809813</v>
      </c>
      <c r="I4" s="305">
        <f>SUM(I5:I7)</f>
        <v>162263.99078923994</v>
      </c>
      <c r="J4" s="219">
        <f>H4-I4</f>
        <v>-64927.052560430122</v>
      </c>
      <c r="K4" s="220">
        <f>J4/I4</f>
        <v>-0.40013223047596563</v>
      </c>
      <c r="L4" s="258">
        <v>269547.05999622523</v>
      </c>
      <c r="M4" s="228">
        <f>L4+H4</f>
        <v>366883.99822503503</v>
      </c>
      <c r="N4" s="228">
        <v>417613.54776231229</v>
      </c>
      <c r="O4" s="219">
        <f>M4-N4</f>
        <v>-50729.549537277257</v>
      </c>
      <c r="P4" s="220">
        <f>O4/N4</f>
        <v>-0.12147486548053833</v>
      </c>
      <c r="R4">
        <f>I4/$I$127</f>
        <v>0.58749172478943712</v>
      </c>
      <c r="S4" s="148">
        <f>R4*$S$127</f>
        <v>147576.69766950401</v>
      </c>
      <c r="T4" s="104"/>
      <c r="U4" s="104"/>
    </row>
    <row r="5" spans="1:21" s="3" customFormat="1">
      <c r="A5" s="240" t="s">
        <v>199</v>
      </c>
      <c r="B5" s="234">
        <f>VLOOKUP($A5,'IRIS iTunes data'!$A$138:$B$249,2,FALSE)</f>
        <v>21946.500000002448</v>
      </c>
      <c r="C5" s="234">
        <f>VLOOKUP($A5,'IRIS iTunes data'!$G$138:$H$249,2,FALSE)</f>
        <v>21346.620000002466</v>
      </c>
      <c r="D5" s="234">
        <f>VLOOKUP($A5,'IRIS iTunes data'!$M$138:$N$249,2,FALSE)</f>
        <v>0</v>
      </c>
      <c r="E5" s="234">
        <f>VLOOKUP($A5,'IRIS iTunes data'!$S$138:$T$249,2,FALSE)</f>
        <v>0</v>
      </c>
      <c r="F5" s="234">
        <f>VLOOKUP($A5,'IRIS iTunes data'!$Y$138:$Z$249,2,FALSE)</f>
        <v>0</v>
      </c>
      <c r="G5" s="235">
        <f t="shared" ref="G5:G7" si="0">SUM(B5:F5)</f>
        <v>43293.120000004914</v>
      </c>
      <c r="H5" s="215">
        <f t="shared" ref="H5:H68" si="1">IFERROR((((B5+C5+D5+E5+F5))/COUNTIF(B5:F5, "&gt;0")*4),0)</f>
        <v>86586.240000009828</v>
      </c>
      <c r="I5" s="304">
        <f>VLOOKUP($A5,[6]IRIS!$J:$U,12,FALSE)</f>
        <v>138045.20340652048</v>
      </c>
      <c r="J5" s="237">
        <f t="shared" ref="J5:J7" si="2">H5-I5</f>
        <v>-51458.963406510651</v>
      </c>
      <c r="K5" s="238">
        <f t="shared" ref="K5:K7" si="3">J5/I5</f>
        <v>-0.37276893464362137</v>
      </c>
      <c r="L5" s="259">
        <v>238125.98000002562</v>
      </c>
      <c r="M5" s="236">
        <f t="shared" ref="M5:M68" si="4">L5+H5</f>
        <v>324712.22000003548</v>
      </c>
      <c r="N5" s="236">
        <v>355282.44354008528</v>
      </c>
      <c r="O5" s="237">
        <f t="shared" ref="O5:O68" si="5">M5-N5</f>
        <v>-30570.223540049803</v>
      </c>
      <c r="P5" s="238">
        <f t="shared" ref="P5:P68" si="6">O5/N5</f>
        <v>-8.6044847123442708E-2</v>
      </c>
      <c r="R5" s="208"/>
      <c r="S5" s="154"/>
      <c r="T5" s="104"/>
      <c r="U5" s="104"/>
    </row>
    <row r="6" spans="1:21" s="3" customFormat="1">
      <c r="A6" s="240" t="s">
        <v>36</v>
      </c>
      <c r="B6" s="234">
        <f>VLOOKUP($A6,'IRIS iTunes data'!$A$138:$B$249,2,FALSE)</f>
        <v>2446.3237184999907</v>
      </c>
      <c r="C6" s="234">
        <f>VLOOKUP($A6,'IRIS iTunes data'!$G$138:$H$249,2,FALSE)</f>
        <v>2287.6427718999998</v>
      </c>
      <c r="D6" s="234">
        <f>VLOOKUP($A6,'IRIS iTunes data'!$M$138:$N$249,2,FALSE)</f>
        <v>0</v>
      </c>
      <c r="E6" s="234">
        <f>VLOOKUP($A6,'IRIS iTunes data'!$S$138:$T$249,2,FALSE)</f>
        <v>0</v>
      </c>
      <c r="F6" s="234">
        <f>VLOOKUP($A6,'IRIS iTunes data'!$Y$138:$Z$249,2,FALSE)</f>
        <v>0</v>
      </c>
      <c r="G6" s="235">
        <f t="shared" si="0"/>
        <v>4733.966490399991</v>
      </c>
      <c r="H6" s="215">
        <f t="shared" si="1"/>
        <v>9467.932980799982</v>
      </c>
      <c r="I6" s="304">
        <f>VLOOKUP($A6,[6]IRIS!$J:$U,12,FALSE)</f>
        <v>19446.062243062006</v>
      </c>
      <c r="J6" s="237">
        <f t="shared" si="2"/>
        <v>-9978.129262262024</v>
      </c>
      <c r="K6" s="238">
        <f t="shared" si="3"/>
        <v>-0.51311824150012864</v>
      </c>
      <c r="L6" s="259">
        <v>27628.949014199607</v>
      </c>
      <c r="M6" s="236">
        <f t="shared" si="4"/>
        <v>37096.881994999589</v>
      </c>
      <c r="N6" s="236">
        <v>50047.696989530654</v>
      </c>
      <c r="O6" s="237">
        <f t="shared" si="5"/>
        <v>-12950.814994531065</v>
      </c>
      <c r="P6" s="238">
        <f t="shared" si="6"/>
        <v>-0.25876944941622815</v>
      </c>
      <c r="R6" s="208"/>
      <c r="S6" s="154"/>
      <c r="T6" s="104"/>
      <c r="U6" s="104"/>
    </row>
    <row r="7" spans="1:21" s="3" customFormat="1">
      <c r="A7" s="240" t="s">
        <v>73</v>
      </c>
      <c r="B7" s="234">
        <f>VLOOKUP($A7,'IRIS iTunes data'!$A$138:$B$249,2,FALSE)</f>
        <v>311.19393900000108</v>
      </c>
      <c r="C7" s="234">
        <f>VLOOKUP($A7,'IRIS iTunes data'!$G$138:$H$249,2,FALSE)</f>
        <v>330.18868500000042</v>
      </c>
      <c r="D7" s="234">
        <f>VLOOKUP($A7,'IRIS iTunes data'!$M$138:$N$249,2,FALSE)</f>
        <v>0</v>
      </c>
      <c r="E7" s="234">
        <f>VLOOKUP($A7,'IRIS iTunes data'!$S$138:$T$249,2,FALSE)</f>
        <v>0</v>
      </c>
      <c r="F7" s="234">
        <f>VLOOKUP($A7,'IRIS iTunes data'!$Y$138:$Z$249,2,FALSE)</f>
        <v>0</v>
      </c>
      <c r="G7" s="235">
        <f t="shared" si="0"/>
        <v>641.38262400000144</v>
      </c>
      <c r="H7" s="215">
        <f t="shared" si="1"/>
        <v>1282.7652480000029</v>
      </c>
      <c r="I7" s="304">
        <f>VLOOKUP($A7,[6]IRIS!$J:$U,12,FALSE)</f>
        <v>4772.7251396574338</v>
      </c>
      <c r="J7" s="237">
        <f t="shared" si="2"/>
        <v>-3489.9598916574309</v>
      </c>
      <c r="K7" s="238">
        <f t="shared" si="3"/>
        <v>-0.73123001839320789</v>
      </c>
      <c r="L7" s="259">
        <v>3792.130981999996</v>
      </c>
      <c r="M7" s="236">
        <f t="shared" si="4"/>
        <v>5074.8962299999985</v>
      </c>
      <c r="N7" s="236">
        <v>12283.407232696318</v>
      </c>
      <c r="O7" s="237">
        <f t="shared" si="5"/>
        <v>-7208.5110026963193</v>
      </c>
      <c r="P7" s="238">
        <f t="shared" si="6"/>
        <v>-0.58684946824106776</v>
      </c>
      <c r="R7" s="208"/>
      <c r="S7" s="154"/>
      <c r="T7" s="104"/>
      <c r="U7" s="104"/>
    </row>
    <row r="8" spans="1:21">
      <c r="A8" s="211" t="s">
        <v>72</v>
      </c>
      <c r="B8" s="226">
        <f>'IRIS iTunes data'!B118</f>
        <v>3611.5797120000543</v>
      </c>
      <c r="C8" s="226">
        <f>'IRIS iTunes data'!H118</f>
        <v>2886.6783270000433</v>
      </c>
      <c r="D8" s="226">
        <f>'IRIS iTunes data'!N118</f>
        <v>0</v>
      </c>
      <c r="E8" s="226">
        <f>'IRIS iTunes data'!T118</f>
        <v>0</v>
      </c>
      <c r="F8" s="226">
        <f>'IRIS iTunes data'!Z118</f>
        <v>0</v>
      </c>
      <c r="G8" s="227">
        <f t="shared" ref="G8:G30" si="7">SUM(B8:F8)</f>
        <v>6498.2580390000976</v>
      </c>
      <c r="H8" s="215">
        <f t="shared" si="1"/>
        <v>12996.516078000195</v>
      </c>
      <c r="I8" s="302">
        <f>VLOOKUP($A8,[6]IRIS!$J:$U,12,FALSE)</f>
        <v>27718.167004306186</v>
      </c>
      <c r="J8" s="219">
        <f t="shared" ref="J8:J71" si="8">H8-I8</f>
        <v>-14721.650926305991</v>
      </c>
      <c r="K8" s="220">
        <f t="shared" ref="K8:K81" si="9">J8/I8</f>
        <v>-0.53111920871314799</v>
      </c>
      <c r="L8" s="258">
        <v>32588.744243600519</v>
      </c>
      <c r="M8" s="228">
        <f t="shared" si="4"/>
        <v>45585.260321600712</v>
      </c>
      <c r="N8" s="228">
        <v>71337.343571018355</v>
      </c>
      <c r="O8" s="219">
        <f t="shared" si="5"/>
        <v>-25752.083249417643</v>
      </c>
      <c r="P8" s="220">
        <f t="shared" si="6"/>
        <v>-0.36099021859120267</v>
      </c>
      <c r="R8">
        <f>I8/$I$127</f>
        <v>0.10035617675959037</v>
      </c>
      <c r="S8" s="148">
        <f>R8*$S$127</f>
        <v>25209.262585316425</v>
      </c>
      <c r="T8" s="104"/>
      <c r="U8" s="104"/>
    </row>
    <row r="9" spans="1:21">
      <c r="A9" s="213" t="s">
        <v>92</v>
      </c>
      <c r="B9" s="226">
        <f>'IRIS iTunes data'!B119</f>
        <v>1126.4297069999957</v>
      </c>
      <c r="C9" s="226">
        <f>'IRIS iTunes data'!H119</f>
        <v>1244.7157709999979</v>
      </c>
      <c r="D9" s="226">
        <f>'IRIS iTunes data'!N119</f>
        <v>0</v>
      </c>
      <c r="E9" s="226">
        <f>'IRIS iTunes data'!T119</f>
        <v>0</v>
      </c>
      <c r="F9" s="226">
        <f>'IRIS iTunes data'!Z119</f>
        <v>0</v>
      </c>
      <c r="G9" s="227">
        <f t="shared" si="7"/>
        <v>2371.1454779999935</v>
      </c>
      <c r="H9" s="215">
        <f t="shared" si="1"/>
        <v>4742.2909559999871</v>
      </c>
      <c r="I9" s="305">
        <f>SUM(I10:I13)</f>
        <v>12314.472081577333</v>
      </c>
      <c r="J9" s="219">
        <f t="shared" si="8"/>
        <v>-7572.1811255773455</v>
      </c>
      <c r="K9" s="220">
        <f t="shared" si="9"/>
        <v>-0.61490099416486255</v>
      </c>
      <c r="L9" s="258">
        <v>12032.503179099984</v>
      </c>
      <c r="M9" s="228">
        <f t="shared" si="4"/>
        <v>16774.794135099972</v>
      </c>
      <c r="N9" s="228">
        <v>31693.355684115704</v>
      </c>
      <c r="O9" s="219">
        <f t="shared" si="5"/>
        <v>-14918.561549015732</v>
      </c>
      <c r="P9" s="220">
        <f t="shared" si="6"/>
        <v>-0.47071574552431256</v>
      </c>
      <c r="R9">
        <f>I9/$I$127</f>
        <v>4.4585680457435058E-2</v>
      </c>
      <c r="S9" s="148">
        <f>R9*$S$127</f>
        <v>11199.830070141456</v>
      </c>
      <c r="T9" s="104"/>
      <c r="U9" s="104"/>
    </row>
    <row r="10" spans="1:21" s="3" customFormat="1">
      <c r="A10" s="240" t="s">
        <v>39</v>
      </c>
      <c r="B10" s="234">
        <f>VLOOKUP($A10,'IRIS iTunes data'!$A$138:$B$249,2,FALSE)</f>
        <v>630.18442499999583</v>
      </c>
      <c r="C10" s="234">
        <f>VLOOKUP($A10,'IRIS iTunes data'!$G$138:$H$249,2,FALSE)</f>
        <v>673.78451399999744</v>
      </c>
      <c r="D10" s="234">
        <f>VLOOKUP($A10,'IRIS iTunes data'!$M$138:$N$249,2,FALSE)</f>
        <v>0</v>
      </c>
      <c r="E10" s="234">
        <f>VLOOKUP($A10,'IRIS iTunes data'!$S$138:$T$249,2,FALSE)</f>
        <v>0</v>
      </c>
      <c r="F10" s="234">
        <f>VLOOKUP($A10,'IRIS iTunes data'!$Y$138:$Z$249,2,FALSE)</f>
        <v>0</v>
      </c>
      <c r="G10" s="235">
        <f>SUM(B10:F10)</f>
        <v>1303.9689389999933</v>
      </c>
      <c r="H10" s="215">
        <f t="shared" si="1"/>
        <v>2607.9378779999865</v>
      </c>
      <c r="I10" s="304">
        <f>VLOOKUP($A10,[6]IRIS!$J:$U,12,FALSE)</f>
        <v>6231.0125791124728</v>
      </c>
      <c r="J10" s="237">
        <f t="shared" si="8"/>
        <v>-3623.0747011124863</v>
      </c>
      <c r="K10" s="238">
        <f t="shared" si="9"/>
        <v>-0.58145841548414057</v>
      </c>
      <c r="L10" s="259">
        <v>6922.2922820999829</v>
      </c>
      <c r="M10" s="236">
        <f t="shared" si="4"/>
        <v>9530.230160099969</v>
      </c>
      <c r="N10" s="236">
        <v>16036.554115660943</v>
      </c>
      <c r="O10" s="237">
        <f t="shared" si="5"/>
        <v>-6506.3239555609744</v>
      </c>
      <c r="P10" s="238">
        <f t="shared" si="6"/>
        <v>-0.40571833004991031</v>
      </c>
      <c r="R10" s="208"/>
      <c r="S10" s="154"/>
      <c r="T10" s="104"/>
      <c r="U10" s="104"/>
    </row>
    <row r="11" spans="1:21" s="3" customFormat="1">
      <c r="A11" s="240" t="s">
        <v>35</v>
      </c>
      <c r="B11" s="234">
        <f>VLOOKUP($A11,'IRIS iTunes data'!$A$138:$B$249,2,FALSE)</f>
        <v>210.19455599999978</v>
      </c>
      <c r="C11" s="234">
        <f>VLOOKUP($A11,'IRIS iTunes data'!$G$138:$H$249,2,FALSE)</f>
        <v>305.39336100000031</v>
      </c>
      <c r="D11" s="234">
        <f>VLOOKUP($A11,'IRIS iTunes data'!$M$138:$N$249,2,FALSE)</f>
        <v>0</v>
      </c>
      <c r="E11" s="234">
        <f>VLOOKUP($A11,'IRIS iTunes data'!$S$138:$T$249,2,FALSE)</f>
        <v>0</v>
      </c>
      <c r="F11" s="234">
        <f>VLOOKUP($A11,'IRIS iTunes data'!$Y$138:$Z$249,2,FALSE)</f>
        <v>0</v>
      </c>
      <c r="G11" s="235">
        <f t="shared" ref="G11:G13" si="10">SUM(B11:F11)</f>
        <v>515.58791700000006</v>
      </c>
      <c r="H11" s="215">
        <f t="shared" si="1"/>
        <v>1031.1758340000001</v>
      </c>
      <c r="I11" s="304">
        <f>VLOOKUP($A11,[6]IRIS!$J:$U,12,FALSE)</f>
        <v>2213.9443652666446</v>
      </c>
      <c r="J11" s="237">
        <f t="shared" si="8"/>
        <v>-1182.7685312666445</v>
      </c>
      <c r="K11" s="238">
        <f t="shared" si="9"/>
        <v>-0.53423588678308698</v>
      </c>
      <c r="L11" s="259">
        <v>3011.7649336000013</v>
      </c>
      <c r="M11" s="236">
        <f t="shared" si="4"/>
        <v>4042.9407676000014</v>
      </c>
      <c r="N11" s="236">
        <v>5697.9564993460899</v>
      </c>
      <c r="O11" s="237">
        <f t="shared" si="5"/>
        <v>-1655.0157317460885</v>
      </c>
      <c r="P11" s="238">
        <f t="shared" si="6"/>
        <v>-0.29045776883976243</v>
      </c>
      <c r="R11" s="208"/>
      <c r="S11" s="154"/>
      <c r="T11" s="104"/>
      <c r="U11" s="104"/>
    </row>
    <row r="12" spans="1:21" s="3" customFormat="1">
      <c r="A12" s="240" t="s">
        <v>43</v>
      </c>
      <c r="B12" s="234">
        <f>VLOOKUP($A12,'IRIS iTunes data'!$A$138:$B$249,2,FALSE)</f>
        <v>64.801269000000019</v>
      </c>
      <c r="C12" s="234">
        <f>VLOOKUP($A12,'IRIS iTunes data'!$G$138:$H$249,2,FALSE)</f>
        <v>20.361393000000003</v>
      </c>
      <c r="D12" s="234">
        <f>VLOOKUP($A12,'IRIS iTunes data'!$M$138:$N$249,2,FALSE)</f>
        <v>0</v>
      </c>
      <c r="E12" s="234">
        <f>VLOOKUP($A12,'IRIS iTunes data'!$S$138:$T$249,2,FALSE)</f>
        <v>0</v>
      </c>
      <c r="F12" s="234">
        <f>VLOOKUP($A12,'IRIS iTunes data'!$Y$138:$Z$249,2,FALSE)</f>
        <v>0</v>
      </c>
      <c r="G12" s="235">
        <f t="shared" si="10"/>
        <v>85.162662000000026</v>
      </c>
      <c r="H12" s="215">
        <f t="shared" si="1"/>
        <v>170.32532400000005</v>
      </c>
      <c r="I12" s="304">
        <f>VLOOKUP($A12,[6]IRIS!$J:$U,12,FALSE)</f>
        <v>283.12911568494081</v>
      </c>
      <c r="J12" s="237">
        <f t="shared" si="8"/>
        <v>-112.80379168494076</v>
      </c>
      <c r="K12" s="238">
        <f t="shared" si="9"/>
        <v>-0.3984181966310596</v>
      </c>
      <c r="L12" s="259">
        <v>258.34383990000003</v>
      </c>
      <c r="M12" s="236">
        <f t="shared" si="4"/>
        <v>428.66916390000006</v>
      </c>
      <c r="N12" s="236">
        <v>728.68018283594995</v>
      </c>
      <c r="O12" s="237">
        <f t="shared" si="5"/>
        <v>-300.01101893594989</v>
      </c>
      <c r="P12" s="238">
        <f t="shared" si="6"/>
        <v>-0.41171837248041687</v>
      </c>
      <c r="R12" s="208"/>
      <c r="S12" s="154"/>
      <c r="T12" s="104"/>
      <c r="U12" s="104"/>
    </row>
    <row r="13" spans="1:21" s="3" customFormat="1">
      <c r="A13" s="240" t="s">
        <v>44</v>
      </c>
      <c r="B13" s="234">
        <f>VLOOKUP($A13,'IRIS iTunes data'!$A$138:$B$249,2,FALSE)</f>
        <v>221.24945699999995</v>
      </c>
      <c r="C13" s="234">
        <f>VLOOKUP($A13,'IRIS iTunes data'!$G$138:$H$249,2,FALSE)</f>
        <v>245.17650300000014</v>
      </c>
      <c r="D13" s="234">
        <f>VLOOKUP($A13,'IRIS iTunes data'!$M$138:$N$249,2,FALSE)</f>
        <v>0</v>
      </c>
      <c r="E13" s="234">
        <f>VLOOKUP($A13,'IRIS iTunes data'!$S$138:$T$249,2,FALSE)</f>
        <v>0</v>
      </c>
      <c r="F13" s="234">
        <f>VLOOKUP($A13,'IRIS iTunes data'!$Y$138:$Z$249,2,FALSE)</f>
        <v>0</v>
      </c>
      <c r="G13" s="235">
        <f t="shared" si="10"/>
        <v>466.42596000000009</v>
      </c>
      <c r="H13" s="215">
        <f t="shared" si="1"/>
        <v>932.85192000000018</v>
      </c>
      <c r="I13" s="304">
        <f>VLOOKUP($A13,[6]IRIS!$J:$U,12,FALSE)</f>
        <v>3586.3860215132759</v>
      </c>
      <c r="J13" s="237">
        <f t="shared" si="8"/>
        <v>-2653.5341015132758</v>
      </c>
      <c r="K13" s="238">
        <f t="shared" si="9"/>
        <v>-0.73989082201296807</v>
      </c>
      <c r="L13" s="259">
        <v>1840.1021234999994</v>
      </c>
      <c r="M13" s="236">
        <f t="shared" si="4"/>
        <v>2772.9540434999994</v>
      </c>
      <c r="N13" s="236">
        <v>9230.1648862727252</v>
      </c>
      <c r="O13" s="237">
        <f t="shared" si="5"/>
        <v>-6457.2108427727253</v>
      </c>
      <c r="P13" s="238">
        <f t="shared" si="6"/>
        <v>-0.69957697639573169</v>
      </c>
      <c r="R13" s="208"/>
      <c r="S13" s="154"/>
      <c r="T13" s="104"/>
      <c r="U13" s="104"/>
    </row>
    <row r="14" spans="1:21">
      <c r="A14" s="213" t="s">
        <v>85</v>
      </c>
      <c r="B14" s="226">
        <f>'IRIS iTunes data'!B120</f>
        <v>1519.257285000002</v>
      </c>
      <c r="C14" s="226">
        <f>'IRIS iTunes data'!H120</f>
        <v>1862.3997600000075</v>
      </c>
      <c r="D14" s="226">
        <f>'IRIS iTunes data'!N120</f>
        <v>0</v>
      </c>
      <c r="E14" s="226">
        <f>'IRIS iTunes data'!T120</f>
        <v>0</v>
      </c>
      <c r="F14" s="226">
        <f>'IRIS iTunes data'!Z120</f>
        <v>0</v>
      </c>
      <c r="G14" s="227">
        <f>SUM(B14:F14)</f>
        <v>3381.6570450000095</v>
      </c>
      <c r="H14" s="215">
        <f t="shared" si="1"/>
        <v>6763.314090000019</v>
      </c>
      <c r="I14" s="305">
        <f>SUM(I15:I17)</f>
        <v>16405.120033726223</v>
      </c>
      <c r="J14" s="219">
        <f t="shared" si="8"/>
        <v>-9641.8059437262054</v>
      </c>
      <c r="K14" s="220">
        <f t="shared" si="9"/>
        <v>-0.58773150845005961</v>
      </c>
      <c r="L14" s="258">
        <v>17857.28864580005</v>
      </c>
      <c r="M14" s="228">
        <f t="shared" si="4"/>
        <v>24620.602735800068</v>
      </c>
      <c r="N14" s="228">
        <v>42221.323076230517</v>
      </c>
      <c r="O14" s="219">
        <f t="shared" si="5"/>
        <v>-17600.720340430449</v>
      </c>
      <c r="P14" s="220">
        <f t="shared" si="6"/>
        <v>-0.41686804339722805</v>
      </c>
      <c r="R14">
        <f>I14/$I$127</f>
        <v>5.9396248157793215E-2</v>
      </c>
      <c r="S14" s="148">
        <f>R14*$S$127</f>
        <v>14920.213829781393</v>
      </c>
      <c r="T14" s="104"/>
      <c r="U14" s="104"/>
    </row>
    <row r="15" spans="1:21" s="3" customFormat="1">
      <c r="A15" s="240" t="s">
        <v>40</v>
      </c>
      <c r="B15" s="234">
        <f>VLOOKUP($A15,'IRIS iTunes data'!$A$138:$B$249,2,FALSE)</f>
        <v>1018.4138250000022</v>
      </c>
      <c r="C15" s="234">
        <f>VLOOKUP($A15,'IRIS iTunes data'!$G$138:$H$249,2,FALSE)</f>
        <v>1384.7123940000076</v>
      </c>
      <c r="D15" s="234">
        <f>VLOOKUP($A15,'IRIS iTunes data'!$M$138:$N$249,2,FALSE)</f>
        <v>0</v>
      </c>
      <c r="E15" s="234">
        <f>VLOOKUP($A15,'IRIS iTunes data'!$S$138:$T$249,2,FALSE)</f>
        <v>0</v>
      </c>
      <c r="F15" s="234">
        <f>VLOOKUP($A15,'IRIS iTunes data'!$Y$138:$Z$249,2,FALSE)</f>
        <v>0</v>
      </c>
      <c r="G15" s="235">
        <f t="shared" ref="G15:G17" si="11">SUM(B15:F15)</f>
        <v>2403.1262190000098</v>
      </c>
      <c r="H15" s="215">
        <f t="shared" si="1"/>
        <v>4806.2524380000195</v>
      </c>
      <c r="I15" s="304">
        <f>VLOOKUP($A15,[6]IRIS!$J:$U,12,FALSE)</f>
        <v>10540.699579158365</v>
      </c>
      <c r="J15" s="237">
        <f t="shared" si="8"/>
        <v>-5734.4471411583454</v>
      </c>
      <c r="K15" s="238">
        <f t="shared" si="9"/>
        <v>-0.54402908441644626</v>
      </c>
      <c r="L15" s="259">
        <v>12470.065777300057</v>
      </c>
      <c r="M15" s="236">
        <f t="shared" si="4"/>
        <v>17276.318215300074</v>
      </c>
      <c r="N15" s="236">
        <v>27128.255170714918</v>
      </c>
      <c r="O15" s="237">
        <f t="shared" si="5"/>
        <v>-9851.9369554148434</v>
      </c>
      <c r="P15" s="238">
        <f t="shared" si="6"/>
        <v>-0.36316146738585892</v>
      </c>
      <c r="R15" s="208"/>
      <c r="S15" s="154"/>
      <c r="T15" s="104"/>
      <c r="U15" s="104"/>
    </row>
    <row r="16" spans="1:21" s="3" customFormat="1">
      <c r="A16" s="240" t="s">
        <v>34</v>
      </c>
      <c r="B16" s="234">
        <f>VLOOKUP($A16,'IRIS iTunes data'!$A$138:$B$249,2,FALSE)</f>
        <v>90.917268000000007</v>
      </c>
      <c r="C16" s="234">
        <f>VLOOKUP($A16,'IRIS iTunes data'!$G$138:$H$249,2,FALSE)</f>
        <v>70.610943000000034</v>
      </c>
      <c r="D16" s="234">
        <f>VLOOKUP($A16,'IRIS iTunes data'!$M$138:$N$249,2,FALSE)</f>
        <v>0</v>
      </c>
      <c r="E16" s="234">
        <f>VLOOKUP($A16,'IRIS iTunes data'!$S$138:$T$249,2,FALSE)</f>
        <v>0</v>
      </c>
      <c r="F16" s="234">
        <f>VLOOKUP($A16,'IRIS iTunes data'!$Y$138:$Z$249,2,FALSE)</f>
        <v>0</v>
      </c>
      <c r="G16" s="235">
        <f t="shared" si="11"/>
        <v>161.52821100000006</v>
      </c>
      <c r="H16" s="215">
        <f t="shared" si="1"/>
        <v>323.05642200000011</v>
      </c>
      <c r="I16" s="304">
        <f>VLOOKUP($A16,[6]IRIS!$J:$U,12,FALSE)</f>
        <v>1323.5163665815112</v>
      </c>
      <c r="J16" s="237">
        <f t="shared" si="8"/>
        <v>-1000.4599445815111</v>
      </c>
      <c r="K16" s="238">
        <f t="shared" si="9"/>
        <v>-0.75591051976605528</v>
      </c>
      <c r="L16" s="259">
        <v>1490.6544259999991</v>
      </c>
      <c r="M16" s="236">
        <f t="shared" si="4"/>
        <v>1813.7108479999993</v>
      </c>
      <c r="N16" s="236">
        <v>3406.2909625309289</v>
      </c>
      <c r="O16" s="237">
        <f t="shared" si="5"/>
        <v>-1592.5801145309297</v>
      </c>
      <c r="P16" s="238">
        <f t="shared" si="6"/>
        <v>-0.46754083313764161</v>
      </c>
      <c r="R16" s="208"/>
      <c r="S16" s="154"/>
      <c r="T16" s="104"/>
      <c r="U16" s="104"/>
    </row>
    <row r="17" spans="1:21" s="3" customFormat="1">
      <c r="A17" s="240" t="s">
        <v>50</v>
      </c>
      <c r="B17" s="234">
        <f>VLOOKUP($A17,'IRIS iTunes data'!$A$138:$B$249,2,FALSE)</f>
        <v>409.92619199999979</v>
      </c>
      <c r="C17" s="234">
        <f>VLOOKUP($A17,'IRIS iTunes data'!$G$138:$H$249,2,FALSE)</f>
        <v>407.07642299999975</v>
      </c>
      <c r="D17" s="234">
        <f>VLOOKUP($A17,'IRIS iTunes data'!$M$138:$N$249,2,FALSE)</f>
        <v>0</v>
      </c>
      <c r="E17" s="234">
        <f>VLOOKUP($A17,'IRIS iTunes data'!$S$138:$T$249,2,FALSE)</f>
        <v>0</v>
      </c>
      <c r="F17" s="234">
        <f>VLOOKUP($A17,'IRIS iTunes data'!$Y$138:$Z$249,2,FALSE)</f>
        <v>0</v>
      </c>
      <c r="G17" s="235">
        <f t="shared" si="11"/>
        <v>817.00261499999954</v>
      </c>
      <c r="H17" s="215">
        <f t="shared" si="1"/>
        <v>1634.0052299999991</v>
      </c>
      <c r="I17" s="304">
        <f>VLOOKUP($A17,[6]IRIS!$J:$U,12,FALSE)</f>
        <v>4540.9040879863478</v>
      </c>
      <c r="J17" s="237">
        <f t="shared" si="8"/>
        <v>-2906.898857986349</v>
      </c>
      <c r="K17" s="238">
        <f t="shared" si="9"/>
        <v>-0.64015861195504919</v>
      </c>
      <c r="L17" s="259">
        <v>3896.5684424999927</v>
      </c>
      <c r="M17" s="236">
        <f t="shared" si="4"/>
        <v>5530.5736724999915</v>
      </c>
      <c r="N17" s="236">
        <v>11686.776942984667</v>
      </c>
      <c r="O17" s="237">
        <f t="shared" si="5"/>
        <v>-6156.2032704846752</v>
      </c>
      <c r="P17" s="238">
        <f t="shared" si="6"/>
        <v>-0.52676655852323062</v>
      </c>
      <c r="R17" s="208"/>
      <c r="S17" s="154"/>
      <c r="T17" s="104"/>
      <c r="U17" s="104"/>
    </row>
    <row r="18" spans="1:21">
      <c r="A18" s="213" t="s">
        <v>76</v>
      </c>
      <c r="B18" s="226">
        <f>'IRIS iTunes data'!B121</f>
        <v>418.98487800000032</v>
      </c>
      <c r="C18" s="226">
        <f>'IRIS iTunes data'!H121</f>
        <v>457.93172100000004</v>
      </c>
      <c r="D18" s="226">
        <f>'IRIS iTunes data'!N121</f>
        <v>0</v>
      </c>
      <c r="E18" s="226">
        <f>'IRIS iTunes data'!T121</f>
        <v>0</v>
      </c>
      <c r="F18" s="226">
        <f>'IRIS iTunes data'!Z121</f>
        <v>0</v>
      </c>
      <c r="G18" s="227">
        <f>SUM(B18:F18)</f>
        <v>876.91659900000036</v>
      </c>
      <c r="H18" s="215">
        <f t="shared" si="1"/>
        <v>1753.8331980000007</v>
      </c>
      <c r="I18" s="305">
        <f>SUM(I19:I21)</f>
        <v>8468.499253692029</v>
      </c>
      <c r="J18" s="219">
        <f t="shared" si="8"/>
        <v>-6714.6660556920287</v>
      </c>
      <c r="K18" s="220">
        <f t="shared" si="9"/>
        <v>-0.79289917310491842</v>
      </c>
      <c r="L18" s="258">
        <v>4934.6376760999983</v>
      </c>
      <c r="M18" s="228">
        <f t="shared" si="4"/>
        <v>6688.4708740999995</v>
      </c>
      <c r="N18" s="228">
        <v>21795.100689655523</v>
      </c>
      <c r="O18" s="219">
        <f t="shared" si="5"/>
        <v>-15106.629815555523</v>
      </c>
      <c r="P18" s="220">
        <f t="shared" si="6"/>
        <v>-0.69312044163785358</v>
      </c>
      <c r="R18">
        <f>I18/$I$127</f>
        <v>3.0660981581500123E-2</v>
      </c>
      <c r="S18" s="148">
        <f>R18*$S$127</f>
        <v>7701.9747141545258</v>
      </c>
      <c r="T18" s="104"/>
      <c r="U18" s="104"/>
    </row>
    <row r="19" spans="1:21" s="3" customFormat="1">
      <c r="A19" s="240" t="s">
        <v>11</v>
      </c>
      <c r="B19" s="234">
        <f>VLOOKUP($A19,'IRIS iTunes data'!$A$138:$B$249,2,FALSE)</f>
        <v>289.36857300000031</v>
      </c>
      <c r="C19" s="234">
        <f>VLOOKUP($A19,'IRIS iTunes data'!$G$138:$H$249,2,FALSE)</f>
        <v>289.54754400000013</v>
      </c>
      <c r="D19" s="234">
        <f>VLOOKUP($A19,'IRIS iTunes data'!$M$138:$N$249,2,FALSE)</f>
        <v>0</v>
      </c>
      <c r="E19" s="234">
        <f>VLOOKUP($A19,'IRIS iTunes data'!$S$138:$T$249,2,FALSE)</f>
        <v>0</v>
      </c>
      <c r="F19" s="234">
        <f>VLOOKUP($A19,'IRIS iTunes data'!$Y$138:$Z$249,2,FALSE)</f>
        <v>0</v>
      </c>
      <c r="G19" s="235">
        <f t="shared" ref="G19:G21" si="12">SUM(B19:F19)</f>
        <v>578.91611700000044</v>
      </c>
      <c r="H19" s="215">
        <f t="shared" si="1"/>
        <v>1157.8322340000009</v>
      </c>
      <c r="I19" s="304">
        <f>VLOOKUP($A19,[6]IRIS!$J:$U,12,FALSE)</f>
        <v>4172.6692241072542</v>
      </c>
      <c r="J19" s="237">
        <f t="shared" si="8"/>
        <v>-3014.8369901072533</v>
      </c>
      <c r="K19" s="238">
        <f t="shared" si="9"/>
        <v>-0.72252000534556626</v>
      </c>
      <c r="L19" s="259">
        <v>3302.7294283999995</v>
      </c>
      <c r="M19" s="236">
        <f t="shared" si="4"/>
        <v>4460.5616624000004</v>
      </c>
      <c r="N19" s="236">
        <v>10739.062868122173</v>
      </c>
      <c r="O19" s="237">
        <f t="shared" si="5"/>
        <v>-6278.5012057221729</v>
      </c>
      <c r="P19" s="238">
        <f t="shared" si="6"/>
        <v>-0.58464144244459837</v>
      </c>
      <c r="R19" s="208"/>
      <c r="S19" s="154"/>
      <c r="T19" s="104"/>
      <c r="U19" s="104"/>
    </row>
    <row r="20" spans="1:21" s="3" customFormat="1">
      <c r="A20" s="240" t="s">
        <v>47</v>
      </c>
      <c r="B20" s="234">
        <f>VLOOKUP($A20,'IRIS iTunes data'!$A$138:$B$249,2,FALSE)</f>
        <v>36.413715000000018</v>
      </c>
      <c r="C20" s="234">
        <f>VLOOKUP($A20,'IRIS iTunes data'!$G$138:$H$249,2,FALSE)</f>
        <v>34.01825700000002</v>
      </c>
      <c r="D20" s="234">
        <f>VLOOKUP($A20,'IRIS iTunes data'!$M$138:$N$249,2,FALSE)</f>
        <v>0</v>
      </c>
      <c r="E20" s="234">
        <f>VLOOKUP($A20,'IRIS iTunes data'!$S$138:$T$249,2,FALSE)</f>
        <v>0</v>
      </c>
      <c r="F20" s="234">
        <f>VLOOKUP($A20,'IRIS iTunes data'!$Y$138:$Z$249,2,FALSE)</f>
        <v>0</v>
      </c>
      <c r="G20" s="235">
        <f t="shared" si="12"/>
        <v>70.43197200000003</v>
      </c>
      <c r="H20" s="215">
        <f t="shared" si="1"/>
        <v>140.86394400000006</v>
      </c>
      <c r="I20" s="304">
        <f>VLOOKUP($A20,[6]IRIS!$J:$U,12,FALSE)</f>
        <v>698.84359757769619</v>
      </c>
      <c r="J20" s="237">
        <f t="shared" si="8"/>
        <v>-557.97965357769613</v>
      </c>
      <c r="K20" s="238">
        <f t="shared" si="9"/>
        <v>-0.79843280458137267</v>
      </c>
      <c r="L20" s="259">
        <v>216.82096680000006</v>
      </c>
      <c r="M20" s="236">
        <f t="shared" si="4"/>
        <v>357.68491080000013</v>
      </c>
      <c r="N20" s="236">
        <v>1798.5910040538229</v>
      </c>
      <c r="O20" s="237">
        <f t="shared" si="5"/>
        <v>-1440.9060932538227</v>
      </c>
      <c r="P20" s="238">
        <f t="shared" si="6"/>
        <v>-0.80113049048181695</v>
      </c>
      <c r="R20" s="208"/>
      <c r="S20" s="154"/>
      <c r="T20" s="104"/>
      <c r="U20" s="104"/>
    </row>
    <row r="21" spans="1:21" s="3" customFormat="1">
      <c r="A21" s="240" t="s">
        <v>48</v>
      </c>
      <c r="B21" s="234">
        <f>VLOOKUP($A21,'IRIS iTunes data'!$A$138:$B$249,2,FALSE)</f>
        <v>93.202589999999987</v>
      </c>
      <c r="C21" s="234">
        <f>VLOOKUP($A21,'IRIS iTunes data'!$G$138:$H$249,2,FALSE)</f>
        <v>134.36591999999987</v>
      </c>
      <c r="D21" s="234">
        <f>VLOOKUP($A21,'IRIS iTunes data'!$M$138:$N$249,2,FALSE)</f>
        <v>0</v>
      </c>
      <c r="E21" s="234">
        <f>VLOOKUP($A21,'IRIS iTunes data'!$S$138:$T$249,2,FALSE)</f>
        <v>0</v>
      </c>
      <c r="F21" s="234">
        <f>VLOOKUP($A21,'IRIS iTunes data'!$Y$138:$Z$249,2,FALSE)</f>
        <v>0</v>
      </c>
      <c r="G21" s="235">
        <f t="shared" si="12"/>
        <v>227.56850999999986</v>
      </c>
      <c r="H21" s="215">
        <f t="shared" si="1"/>
        <v>455.13701999999972</v>
      </c>
      <c r="I21" s="304">
        <f>VLOOKUP($A21,[6]IRIS!$J:$U,12,FALSE)</f>
        <v>3596.9864320070774</v>
      </c>
      <c r="J21" s="237">
        <f t="shared" si="8"/>
        <v>-3141.8494120070777</v>
      </c>
      <c r="K21" s="238">
        <f t="shared" si="9"/>
        <v>-0.87346712905279478</v>
      </c>
      <c r="L21" s="259">
        <v>1415.0872808999993</v>
      </c>
      <c r="M21" s="236">
        <f t="shared" si="4"/>
        <v>1870.224300899999</v>
      </c>
      <c r="N21" s="236">
        <v>9257.4468174795275</v>
      </c>
      <c r="O21" s="237">
        <f t="shared" si="5"/>
        <v>-7387.222516579528</v>
      </c>
      <c r="P21" s="238">
        <f t="shared" si="6"/>
        <v>-0.79797623062022682</v>
      </c>
      <c r="R21" s="208"/>
      <c r="S21" s="154"/>
      <c r="T21" s="104"/>
      <c r="U21" s="104"/>
    </row>
    <row r="22" spans="1:21">
      <c r="A22" s="213" t="s">
        <v>86</v>
      </c>
      <c r="B22" s="226">
        <f>'IRIS iTunes data'!B122</f>
        <v>410.62830899999989</v>
      </c>
      <c r="C22" s="226">
        <f>'IRIS iTunes data'!H122</f>
        <v>391.60231499999992</v>
      </c>
      <c r="D22" s="226">
        <f>'IRIS iTunes data'!N122</f>
        <v>0</v>
      </c>
      <c r="E22" s="226">
        <f>'IRIS iTunes data'!T122</f>
        <v>0</v>
      </c>
      <c r="F22" s="226">
        <f>'IRIS iTunes data'!Z122</f>
        <v>0</v>
      </c>
      <c r="G22" s="227">
        <f>SUM(B22:F22)</f>
        <v>802.23062399999981</v>
      </c>
      <c r="H22" s="215">
        <f t="shared" si="1"/>
        <v>1604.4612479999996</v>
      </c>
      <c r="I22" s="305">
        <f>SUM(I23:I26)</f>
        <v>4435.9901299446965</v>
      </c>
      <c r="J22" s="219">
        <f t="shared" si="8"/>
        <v>-2831.5288819446969</v>
      </c>
      <c r="K22" s="220">
        <f t="shared" si="9"/>
        <v>-0.63830820155138568</v>
      </c>
      <c r="L22" s="258">
        <v>4070.0772071999982</v>
      </c>
      <c r="M22" s="228">
        <f t="shared" si="4"/>
        <v>5674.5384551999978</v>
      </c>
      <c r="N22" s="228">
        <v>11416.763306475083</v>
      </c>
      <c r="O22" s="219">
        <f t="shared" si="5"/>
        <v>-5742.2248512750848</v>
      </c>
      <c r="P22" s="220">
        <f t="shared" si="6"/>
        <v>-0.50296434261874812</v>
      </c>
      <c r="R22">
        <f>I22/$I$127</f>
        <v>1.6060910864537578E-2</v>
      </c>
      <c r="S22" s="148">
        <f>R22*$S$127</f>
        <v>4034.4673583312569</v>
      </c>
      <c r="T22" s="104"/>
      <c r="U22" s="104"/>
    </row>
    <row r="23" spans="1:21" s="3" customFormat="1">
      <c r="A23" s="240" t="s">
        <v>37</v>
      </c>
      <c r="B23" s="234">
        <f>VLOOKUP($A23,'IRIS iTunes data'!$A$138:$B$249,2,FALSE)</f>
        <v>107.50650299999997</v>
      </c>
      <c r="C23" s="234">
        <f>VLOOKUP($A23,'IRIS iTunes data'!$G$138:$H$249,2,FALSE)</f>
        <v>188.64920099999989</v>
      </c>
      <c r="D23" s="234">
        <f>VLOOKUP($A23,'IRIS iTunes data'!$M$138:$N$249,2,FALSE)</f>
        <v>0</v>
      </c>
      <c r="E23" s="234">
        <f>VLOOKUP($A23,'IRIS iTunes data'!$S$138:$T$249,2,FALSE)</f>
        <v>0</v>
      </c>
      <c r="F23" s="234">
        <f>VLOOKUP($A23,'IRIS iTunes data'!$Y$138:$Z$249,2,FALSE)</f>
        <v>0</v>
      </c>
      <c r="G23" s="235">
        <f t="shared" ref="G23:G26" si="13">SUM(B23:F23)</f>
        <v>296.15570399999984</v>
      </c>
      <c r="H23" s="215">
        <f t="shared" si="1"/>
        <v>592.31140799999969</v>
      </c>
      <c r="I23" s="304">
        <f>VLOOKUP($A23,[6]IRIS!$J:$U,12,FALSE)</f>
        <v>1277.4334318146114</v>
      </c>
      <c r="J23" s="237">
        <f t="shared" si="8"/>
        <v>-685.12202381461168</v>
      </c>
      <c r="K23" s="238">
        <f t="shared" si="9"/>
        <v>-0.53632698718506733</v>
      </c>
      <c r="L23" s="259">
        <v>1607.2063550999992</v>
      </c>
      <c r="M23" s="236">
        <f t="shared" si="4"/>
        <v>2199.5177630999988</v>
      </c>
      <c r="N23" s="236">
        <v>3287.6888143543756</v>
      </c>
      <c r="O23" s="237">
        <f t="shared" si="5"/>
        <v>-1088.1710512543768</v>
      </c>
      <c r="P23" s="238">
        <f t="shared" si="6"/>
        <v>-0.3309835914224345</v>
      </c>
      <c r="R23" s="208"/>
      <c r="S23" s="154"/>
      <c r="T23" s="104"/>
      <c r="U23" s="104"/>
    </row>
    <row r="24" spans="1:21" s="3" customFormat="1">
      <c r="A24" s="240" t="s">
        <v>38</v>
      </c>
      <c r="B24" s="234">
        <f>VLOOKUP($A24,'IRIS iTunes data'!$A$138:$B$249,2,FALSE)</f>
        <v>56.623671000000016</v>
      </c>
      <c r="C24" s="234">
        <f>VLOOKUP($A24,'IRIS iTunes data'!$G$138:$H$249,2,FALSE)</f>
        <v>16.520400000000006</v>
      </c>
      <c r="D24" s="234">
        <f>VLOOKUP($A24,'IRIS iTunes data'!$M$138:$N$249,2,FALSE)</f>
        <v>0</v>
      </c>
      <c r="E24" s="234">
        <f>VLOOKUP($A24,'IRIS iTunes data'!$S$138:$T$249,2,FALSE)</f>
        <v>0</v>
      </c>
      <c r="F24" s="234">
        <f>VLOOKUP($A24,'IRIS iTunes data'!$Y$138:$Z$249,2,FALSE)</f>
        <v>0</v>
      </c>
      <c r="G24" s="235">
        <f t="shared" si="13"/>
        <v>73.144071000000025</v>
      </c>
      <c r="H24" s="215">
        <f t="shared" si="1"/>
        <v>146.28814200000005</v>
      </c>
      <c r="I24" s="304">
        <f>VLOOKUP($A24,[6]IRIS!$J:$U,12,FALSE)</f>
        <v>400.275643259361</v>
      </c>
      <c r="J24" s="237">
        <f t="shared" si="8"/>
        <v>-253.98750125936095</v>
      </c>
      <c r="K24" s="238">
        <f t="shared" si="9"/>
        <v>-0.63453149232662209</v>
      </c>
      <c r="L24" s="259">
        <v>356.32028050000014</v>
      </c>
      <c r="M24" s="236">
        <f t="shared" si="4"/>
        <v>502.60842250000019</v>
      </c>
      <c r="N24" s="236">
        <v>1030.1763851075464</v>
      </c>
      <c r="O24" s="237">
        <f t="shared" si="5"/>
        <v>-527.56796260754618</v>
      </c>
      <c r="P24" s="238">
        <f t="shared" si="6"/>
        <v>-0.51211420707578159</v>
      </c>
      <c r="R24" s="208"/>
      <c r="S24" s="154"/>
      <c r="T24" s="104"/>
      <c r="U24" s="104"/>
    </row>
    <row r="25" spans="1:21" s="3" customFormat="1">
      <c r="A25" s="240" t="s">
        <v>46</v>
      </c>
      <c r="B25" s="234">
        <f>VLOOKUP($A25,'IRIS iTunes data'!$A$138:$B$249,2,FALSE)</f>
        <v>110.92071899999998</v>
      </c>
      <c r="C25" s="234">
        <f>VLOOKUP($A25,'IRIS iTunes data'!$G$138:$H$249,2,FALSE)</f>
        <v>109.58531999999995</v>
      </c>
      <c r="D25" s="234">
        <f>VLOOKUP($A25,'IRIS iTunes data'!$M$138:$N$249,2,FALSE)</f>
        <v>0</v>
      </c>
      <c r="E25" s="234">
        <f>VLOOKUP($A25,'IRIS iTunes data'!$S$138:$T$249,2,FALSE)</f>
        <v>0</v>
      </c>
      <c r="F25" s="234">
        <f>VLOOKUP($A25,'IRIS iTunes data'!$Y$138:$Z$249,2,FALSE)</f>
        <v>0</v>
      </c>
      <c r="G25" s="235">
        <f t="shared" si="13"/>
        <v>220.50603899999993</v>
      </c>
      <c r="H25" s="215">
        <f t="shared" si="1"/>
        <v>441.01207799999986</v>
      </c>
      <c r="I25" s="304">
        <f>VLOOKUP($A25,[6]IRIS!$J:$U,12,FALSE)</f>
        <v>1660.1138835649347</v>
      </c>
      <c r="J25" s="237">
        <f t="shared" si="8"/>
        <v>-1219.1018055649347</v>
      </c>
      <c r="K25" s="238">
        <f t="shared" si="9"/>
        <v>-0.73434829841133009</v>
      </c>
      <c r="L25" s="259">
        <v>1250.6666255999985</v>
      </c>
      <c r="M25" s="236">
        <f t="shared" si="4"/>
        <v>1691.6787035999982</v>
      </c>
      <c r="N25" s="236">
        <v>4272.5810281931981</v>
      </c>
      <c r="O25" s="237">
        <f t="shared" si="5"/>
        <v>-2580.9023245931999</v>
      </c>
      <c r="P25" s="238">
        <f t="shared" si="6"/>
        <v>-0.60406164507185944</v>
      </c>
      <c r="R25" s="208"/>
      <c r="S25" s="154"/>
      <c r="T25" s="104"/>
      <c r="U25" s="104"/>
    </row>
    <row r="26" spans="1:21" s="3" customFormat="1">
      <c r="A26" s="240" t="s">
        <v>49</v>
      </c>
      <c r="B26" s="234">
        <f>VLOOKUP($A26,'IRIS iTunes data'!$A$138:$B$249,2,FALSE)</f>
        <v>135.57741599999994</v>
      </c>
      <c r="C26" s="234">
        <f>VLOOKUP($A26,'IRIS iTunes data'!$G$138:$H$249,2,FALSE)</f>
        <v>76.847394000000037</v>
      </c>
      <c r="D26" s="234">
        <f>VLOOKUP($A26,'IRIS iTunes data'!$M$138:$N$249,2,FALSE)</f>
        <v>0</v>
      </c>
      <c r="E26" s="234">
        <f>VLOOKUP($A26,'IRIS iTunes data'!$S$138:$T$249,2,FALSE)</f>
        <v>0</v>
      </c>
      <c r="F26" s="234">
        <f>VLOOKUP($A26,'IRIS iTunes data'!$Y$138:$Z$249,2,FALSE)</f>
        <v>0</v>
      </c>
      <c r="G26" s="235">
        <f t="shared" si="13"/>
        <v>212.42480999999998</v>
      </c>
      <c r="H26" s="215">
        <f t="shared" si="1"/>
        <v>424.84961999999996</v>
      </c>
      <c r="I26" s="304">
        <f>VLOOKUP($A26,[6]IRIS!$J:$U,12,FALSE)</f>
        <v>1098.1671713057895</v>
      </c>
      <c r="J26" s="237">
        <f t="shared" si="8"/>
        <v>-673.31755130578949</v>
      </c>
      <c r="K26" s="238">
        <f t="shared" si="9"/>
        <v>-0.61312846431675139</v>
      </c>
      <c r="L26" s="259">
        <v>855.8839459999997</v>
      </c>
      <c r="M26" s="236">
        <f t="shared" si="4"/>
        <v>1280.7335659999997</v>
      </c>
      <c r="N26" s="236">
        <v>2826.3170788199609</v>
      </c>
      <c r="O26" s="237">
        <f t="shared" si="5"/>
        <v>-1545.5835128199612</v>
      </c>
      <c r="P26" s="238">
        <f t="shared" si="6"/>
        <v>-0.54685425227139439</v>
      </c>
      <c r="R26" s="208"/>
      <c r="S26" s="154"/>
      <c r="T26" s="104"/>
      <c r="U26" s="104"/>
    </row>
    <row r="27" spans="1:21">
      <c r="A27" s="213" t="s">
        <v>12</v>
      </c>
      <c r="B27" s="226">
        <f>'IRIS iTunes data'!B123</f>
        <v>228.4908989999999</v>
      </c>
      <c r="C27" s="226">
        <f>'IRIS iTunes data'!H123</f>
        <v>172.19763599999987</v>
      </c>
      <c r="D27" s="226">
        <f>'IRIS iTunes data'!N123</f>
        <v>0</v>
      </c>
      <c r="E27" s="226">
        <f>'IRIS iTunes data'!T123</f>
        <v>0</v>
      </c>
      <c r="F27" s="226">
        <f>'IRIS iTunes data'!Z123</f>
        <v>0</v>
      </c>
      <c r="G27" s="227">
        <f t="shared" si="7"/>
        <v>400.68853499999977</v>
      </c>
      <c r="H27" s="215">
        <f t="shared" si="1"/>
        <v>801.37706999999955</v>
      </c>
      <c r="I27" s="305">
        <f>SUM(I28:I29)</f>
        <v>1913.9321882434103</v>
      </c>
      <c r="J27" s="219">
        <f t="shared" si="8"/>
        <v>-1112.5551182434108</v>
      </c>
      <c r="K27" s="220">
        <f t="shared" si="9"/>
        <v>-0.5812928614072288</v>
      </c>
      <c r="L27" s="258">
        <v>1654.0726753999993</v>
      </c>
      <c r="M27" s="228">
        <f t="shared" si="4"/>
        <v>2455.4497453999988</v>
      </c>
      <c r="N27" s="228">
        <v>4925.8249314660543</v>
      </c>
      <c r="O27" s="219">
        <f t="shared" si="5"/>
        <v>-2470.3751860660554</v>
      </c>
      <c r="P27" s="220">
        <f t="shared" si="6"/>
        <v>-0.50151501940017329</v>
      </c>
      <c r="R27">
        <f>I27/$I$127</f>
        <v>6.9295677798385897E-3</v>
      </c>
      <c r="S27" s="148">
        <f>R27*$S$127</f>
        <v>1740.6929937474454</v>
      </c>
      <c r="T27" s="104"/>
      <c r="U27" s="104"/>
    </row>
    <row r="28" spans="1:21" s="3" customFormat="1">
      <c r="A28" s="240" t="s">
        <v>42</v>
      </c>
      <c r="B28" s="234">
        <f>VLOOKUP($A28,'IRIS iTunes data'!$A$138:$B$249,2,FALSE)</f>
        <v>206.1057569999999</v>
      </c>
      <c r="C28" s="234">
        <f>VLOOKUP($A28,'IRIS iTunes data'!$G$138:$H$249,2,FALSE)</f>
        <v>154.01142899999988</v>
      </c>
      <c r="D28" s="234">
        <f>VLOOKUP($A28,'IRIS iTunes data'!$M$138:$N$249,2,FALSE)</f>
        <v>0</v>
      </c>
      <c r="E28" s="234">
        <f>VLOOKUP($A28,'IRIS iTunes data'!$S$138:$T$249,2,FALSE)</f>
        <v>0</v>
      </c>
      <c r="F28" s="234">
        <f>VLOOKUP($A28,'IRIS iTunes data'!$Y$138:$Z$249,2,FALSE)</f>
        <v>0</v>
      </c>
      <c r="G28" s="235">
        <f t="shared" si="7"/>
        <v>360.11718599999978</v>
      </c>
      <c r="H28" s="215">
        <f t="shared" si="1"/>
        <v>720.23437199999955</v>
      </c>
      <c r="I28" s="304">
        <f>VLOOKUP($A28,[6]IRIS!$J:$U,12,FALSE)</f>
        <v>1690.5647524221442</v>
      </c>
      <c r="J28" s="237">
        <f t="shared" si="8"/>
        <v>-970.33038042214469</v>
      </c>
      <c r="K28" s="238">
        <f t="shared" si="9"/>
        <v>-0.57396818372789982</v>
      </c>
      <c r="L28" s="259">
        <v>1487.5178718999996</v>
      </c>
      <c r="M28" s="236">
        <f t="shared" si="4"/>
        <v>2207.752243899999</v>
      </c>
      <c r="N28" s="236">
        <v>4350.9514375123035</v>
      </c>
      <c r="O28" s="237">
        <f t="shared" si="5"/>
        <v>-2143.1991936123045</v>
      </c>
      <c r="P28" s="238">
        <f t="shared" si="6"/>
        <v>-0.49258173169537794</v>
      </c>
      <c r="R28" s="208"/>
      <c r="S28" s="154"/>
      <c r="T28" s="104"/>
      <c r="U28" s="104"/>
    </row>
    <row r="29" spans="1:21" s="3" customFormat="1">
      <c r="A29" s="240" t="s">
        <v>41</v>
      </c>
      <c r="B29" s="234">
        <f>VLOOKUP($A29,'IRIS iTunes data'!$A$138:$B$249,2,FALSE)</f>
        <v>22.385142000000009</v>
      </c>
      <c r="C29" s="234">
        <f>VLOOKUP($A29,'IRIS iTunes data'!$G$138:$H$249,2,FALSE)</f>
        <v>18.186207000000007</v>
      </c>
      <c r="D29" s="234">
        <f>VLOOKUP($A29,'IRIS iTunes data'!$M$138:$N$249,2,FALSE)</f>
        <v>0</v>
      </c>
      <c r="E29" s="234">
        <f>VLOOKUP($A29,'IRIS iTunes data'!$S$138:$T$249,2,FALSE)</f>
        <v>0</v>
      </c>
      <c r="F29" s="234">
        <f>VLOOKUP($A29,'IRIS iTunes data'!$Y$138:$Z$249,2,FALSE)</f>
        <v>0</v>
      </c>
      <c r="G29" s="235">
        <f t="shared" si="7"/>
        <v>40.571349000000012</v>
      </c>
      <c r="H29" s="215">
        <f t="shared" si="1"/>
        <v>81.142698000000024</v>
      </c>
      <c r="I29" s="304">
        <f>VLOOKUP($A29,[6]IRIS!$J:$U,12,FALSE)</f>
        <v>223.36743582126607</v>
      </c>
      <c r="J29" s="237">
        <f t="shared" si="8"/>
        <v>-142.22473782126605</v>
      </c>
      <c r="K29" s="238">
        <f t="shared" si="9"/>
        <v>-0.63672995706979996</v>
      </c>
      <c r="L29" s="259">
        <v>166.55480350000002</v>
      </c>
      <c r="M29" s="236">
        <f t="shared" si="4"/>
        <v>247.69750150000004</v>
      </c>
      <c r="N29" s="236">
        <v>574.87349395375031</v>
      </c>
      <c r="O29" s="237">
        <f t="shared" si="5"/>
        <v>-327.17599245375027</v>
      </c>
      <c r="P29" s="238">
        <f t="shared" si="6"/>
        <v>-0.56912693991779728</v>
      </c>
      <c r="R29" s="208"/>
      <c r="S29" s="154"/>
      <c r="T29" s="104"/>
      <c r="U29" s="104"/>
    </row>
    <row r="30" spans="1:21">
      <c r="A30" s="213" t="s">
        <v>13</v>
      </c>
      <c r="B30" s="226">
        <f>'IRIS iTunes data'!B128</f>
        <v>1055.7092</v>
      </c>
      <c r="C30" s="226">
        <f>'IRIS iTunes data'!H128</f>
        <v>1215.992</v>
      </c>
      <c r="D30" s="226">
        <f>'IRIS iTunes data'!N128</f>
        <v>0</v>
      </c>
      <c r="E30" s="226">
        <f>'IRIS iTunes data'!T128</f>
        <v>0</v>
      </c>
      <c r="F30" s="226">
        <f>'IRIS iTunes data'!Z128</f>
        <v>0</v>
      </c>
      <c r="G30" s="227">
        <f t="shared" si="7"/>
        <v>2271.7012</v>
      </c>
      <c r="H30" s="215">
        <f t="shared" si="1"/>
        <v>4543.4023999999999</v>
      </c>
      <c r="I30" s="302">
        <f>VLOOKUP($A30,[6]IRIS!$J:$U,12,FALSE)</f>
        <v>5999.8578713150528</v>
      </c>
      <c r="J30" s="219">
        <f t="shared" si="8"/>
        <v>-1456.4554713150528</v>
      </c>
      <c r="K30" s="220">
        <f t="shared" si="9"/>
        <v>-0.24274832880263311</v>
      </c>
      <c r="L30" s="258">
        <v>10699.551360000001</v>
      </c>
      <c r="M30" s="228">
        <f t="shared" si="4"/>
        <v>15242.95376</v>
      </c>
      <c r="N30" s="228">
        <v>15441.63877347251</v>
      </c>
      <c r="O30" s="219">
        <f t="shared" si="5"/>
        <v>-198.68501347251004</v>
      </c>
      <c r="P30" s="220">
        <f t="shared" si="6"/>
        <v>-1.2866834692042846E-2</v>
      </c>
      <c r="R30">
        <f>I30/$I$127</f>
        <v>2.1723038070034343E-2</v>
      </c>
      <c r="S30" s="148">
        <f>R30*$S$127</f>
        <v>5456.7819195641941</v>
      </c>
      <c r="T30" s="104"/>
      <c r="U30" s="104"/>
    </row>
    <row r="31" spans="1:21">
      <c r="A31" s="213" t="s">
        <v>14</v>
      </c>
      <c r="B31" s="226">
        <f>'IRIS iTunes data'!B127</f>
        <v>3739.2430392999408</v>
      </c>
      <c r="C31" s="226">
        <f>'IRIS iTunes data'!H127</f>
        <v>3123.730162299953</v>
      </c>
      <c r="D31" s="226">
        <f>'IRIS iTunes data'!N127</f>
        <v>0</v>
      </c>
      <c r="E31" s="226">
        <f>'IRIS iTunes data'!T127</f>
        <v>0</v>
      </c>
      <c r="F31" s="226">
        <f>'IRIS iTunes data'!Z127</f>
        <v>0</v>
      </c>
      <c r="G31" s="227">
        <f>SUM(B31:F31)</f>
        <v>6862.9732015998943</v>
      </c>
      <c r="H31" s="215">
        <f t="shared" si="1"/>
        <v>13725.946403199789</v>
      </c>
      <c r="I31" s="305">
        <f>SUM(I32:I33)</f>
        <v>20797.601133536707</v>
      </c>
      <c r="J31" s="219">
        <f t="shared" si="8"/>
        <v>-7071.6547303369189</v>
      </c>
      <c r="K31" s="220">
        <f t="shared" si="9"/>
        <v>-0.34002261534546308</v>
      </c>
      <c r="L31" s="258">
        <v>37871.260779599092</v>
      </c>
      <c r="M31" s="228">
        <f t="shared" si="4"/>
        <v>51597.207182798884</v>
      </c>
      <c r="N31" s="228">
        <v>53526.108609043877</v>
      </c>
      <c r="O31" s="219">
        <f t="shared" si="5"/>
        <v>-1928.9014262449928</v>
      </c>
      <c r="P31" s="220">
        <f t="shared" si="6"/>
        <v>-3.6036645972785733E-2</v>
      </c>
      <c r="R31">
        <f>I31/$I$127</f>
        <v>7.5299630571112899E-2</v>
      </c>
      <c r="S31" s="148">
        <f>R31*$S$127</f>
        <v>18915.110369258884</v>
      </c>
      <c r="T31" s="104"/>
      <c r="U31" s="104"/>
    </row>
    <row r="32" spans="1:21" s="3" customFormat="1">
      <c r="A32" s="233" t="s">
        <v>33</v>
      </c>
      <c r="B32" s="234">
        <f>VLOOKUP($A32,'IRIS iTunes data'!$A$138:$B$249,2,FALSE)</f>
        <v>3500.8323507999403</v>
      </c>
      <c r="C32" s="234">
        <f>VLOOKUP($A32,'IRIS iTunes data'!$G$138:$H$249,2,FALSE)</f>
        <v>2858.3948305999525</v>
      </c>
      <c r="D32" s="234">
        <f>VLOOKUP($A32,'IRIS iTunes data'!$M$138:$N$249,2,FALSE)</f>
        <v>0</v>
      </c>
      <c r="E32" s="234">
        <f>VLOOKUP($A32,'IRIS iTunes data'!$S$138:$T$249,2,FALSE)</f>
        <v>0</v>
      </c>
      <c r="F32" s="234">
        <f>VLOOKUP($A32,'IRIS iTunes data'!$Y$138:$Z$249,2,FALSE)</f>
        <v>0</v>
      </c>
      <c r="G32" s="235">
        <f t="shared" ref="G32:G33" si="14">SUM(B32:F32)</f>
        <v>6359.2271813998923</v>
      </c>
      <c r="H32" s="215">
        <f t="shared" si="1"/>
        <v>12718.454362799785</v>
      </c>
      <c r="I32" s="304">
        <f>VLOOKUP($A32,[6]IRIS!$J:$U,12,FALSE)</f>
        <v>19712.853138877967</v>
      </c>
      <c r="J32" s="237">
        <f t="shared" si="8"/>
        <v>-6994.398776078182</v>
      </c>
      <c r="K32" s="238">
        <f t="shared" si="9"/>
        <v>-0.35481412694561854</v>
      </c>
      <c r="L32" s="259">
        <v>35302.893476999088</v>
      </c>
      <c r="M32" s="236">
        <f t="shared" si="4"/>
        <v>48021.347839798873</v>
      </c>
      <c r="N32" s="236">
        <v>50734.328028065276</v>
      </c>
      <c r="O32" s="237">
        <f t="shared" si="5"/>
        <v>-2712.9801882664033</v>
      </c>
      <c r="P32" s="238">
        <f t="shared" si="6"/>
        <v>-5.3474250940421124E-2</v>
      </c>
      <c r="R32" s="208"/>
      <c r="S32" s="154"/>
      <c r="T32" s="104"/>
      <c r="U32" s="104"/>
    </row>
    <row r="33" spans="1:21" s="3" customFormat="1">
      <c r="A33" s="233" t="s">
        <v>45</v>
      </c>
      <c r="B33" s="234">
        <f>VLOOKUP($A33,'IRIS iTunes data'!$A$138:$B$249,2,FALSE)</f>
        <v>238.41068850000036</v>
      </c>
      <c r="C33" s="234">
        <f>VLOOKUP($A33,'IRIS iTunes data'!$G$138:$H$249,2,FALSE)</f>
        <v>265.33533170000044</v>
      </c>
      <c r="D33" s="234">
        <f>VLOOKUP($A33,'IRIS iTunes data'!$M$138:$N$249,2,FALSE)</f>
        <v>0</v>
      </c>
      <c r="E33" s="234">
        <f>VLOOKUP($A33,'IRIS iTunes data'!$S$138:$T$249,2,FALSE)</f>
        <v>0</v>
      </c>
      <c r="F33" s="234">
        <f>VLOOKUP($A33,'IRIS iTunes data'!$Y$138:$Z$249,2,FALSE)</f>
        <v>0</v>
      </c>
      <c r="G33" s="235">
        <f t="shared" si="14"/>
        <v>503.74602020000077</v>
      </c>
      <c r="H33" s="215">
        <f t="shared" si="1"/>
        <v>1007.4920404000015</v>
      </c>
      <c r="I33" s="304">
        <f>VLOOKUP($A33,[6]IRIS!$J:$U,12,FALSE)</f>
        <v>1084.7479946587412</v>
      </c>
      <c r="J33" s="237">
        <f t="shared" si="8"/>
        <v>-77.255954258739621</v>
      </c>
      <c r="K33" s="238">
        <f t="shared" si="9"/>
        <v>-7.1220186291327633E-2</v>
      </c>
      <c r="L33" s="259">
        <v>2568.3673026000056</v>
      </c>
      <c r="M33" s="236">
        <f t="shared" si="4"/>
        <v>3575.8593430000074</v>
      </c>
      <c r="N33" s="236">
        <v>2791.7805809786014</v>
      </c>
      <c r="O33" s="237">
        <f t="shared" si="5"/>
        <v>784.07876202140596</v>
      </c>
      <c r="P33" s="238">
        <f t="shared" si="6"/>
        <v>0.28085257393206858</v>
      </c>
      <c r="R33" s="208"/>
      <c r="S33" s="154"/>
      <c r="T33" s="104"/>
      <c r="U33" s="104"/>
    </row>
    <row r="34" spans="1:21">
      <c r="A34" s="214" t="s">
        <v>180</v>
      </c>
      <c r="B34" s="226">
        <f>'IRIS iTunes data'!B132</f>
        <v>153.45859199999995</v>
      </c>
      <c r="C34" s="226">
        <f>'IRIS iTunes data'!H132</f>
        <v>138.57765599999999</v>
      </c>
      <c r="D34" s="226">
        <f>'IRIS iTunes data'!N132</f>
        <v>0</v>
      </c>
      <c r="E34" s="226">
        <f>'IRIS iTunes data'!T132</f>
        <v>0</v>
      </c>
      <c r="F34" s="226">
        <f>'IRIS iTunes data'!Z132</f>
        <v>0</v>
      </c>
      <c r="G34" s="227">
        <f t="shared" ref="G34:G35" si="15">SUM(B34:F34)</f>
        <v>292.03624799999994</v>
      </c>
      <c r="H34" s="215">
        <f t="shared" si="1"/>
        <v>584.07249599999989</v>
      </c>
      <c r="I34" s="302">
        <f>VLOOKUP($A34,[6]IRIS!$J:$U,12,FALSE)</f>
        <v>2538.6513003842761</v>
      </c>
      <c r="J34" s="219">
        <f t="shared" ref="J34:J35" si="16">H34-I34</f>
        <v>-1954.5788043842763</v>
      </c>
      <c r="K34" s="220">
        <f t="shared" ref="K34:K35" si="17">J34/I34</f>
        <v>-0.76992803386916953</v>
      </c>
      <c r="L34" s="258">
        <v>1588.1012099999991</v>
      </c>
      <c r="M34" s="228">
        <f t="shared" si="4"/>
        <v>2172.1737059999991</v>
      </c>
      <c r="N34" s="228">
        <v>6533.64416176548</v>
      </c>
      <c r="O34" s="219">
        <f t="shared" si="5"/>
        <v>-4361.4704557654804</v>
      </c>
      <c r="P34" s="220">
        <f t="shared" si="6"/>
        <v>-0.6675402497871803</v>
      </c>
      <c r="S34" s="148"/>
      <c r="T34" s="104"/>
      <c r="U34" s="104"/>
    </row>
    <row r="35" spans="1:21">
      <c r="A35" s="214" t="s">
        <v>190</v>
      </c>
      <c r="B35" s="226">
        <f>'IRIS iTunes data'!B133</f>
        <v>45.558325499999938</v>
      </c>
      <c r="C35" s="226">
        <f>'IRIS iTunes data'!H133</f>
        <v>39.457962499999972</v>
      </c>
      <c r="D35" s="226">
        <f>'IRIS iTunes data'!N133</f>
        <v>0</v>
      </c>
      <c r="E35" s="226">
        <f>'IRIS iTunes data'!T133</f>
        <v>0</v>
      </c>
      <c r="F35" s="226">
        <f>'IRIS iTunes data'!Z133</f>
        <v>0</v>
      </c>
      <c r="G35" s="227">
        <f t="shared" si="15"/>
        <v>85.016287999999918</v>
      </c>
      <c r="H35" s="215">
        <f t="shared" si="1"/>
        <v>170.03257599999984</v>
      </c>
      <c r="I35" s="302">
        <f>VLOOKUP($A35,[6]IRIS!$J:$U,12,FALSE)</f>
        <v>1282.8759100204461</v>
      </c>
      <c r="J35" s="219">
        <f t="shared" si="16"/>
        <v>-1112.8433340204463</v>
      </c>
      <c r="K35" s="220">
        <f t="shared" si="17"/>
        <v>-0.867459841850729</v>
      </c>
      <c r="L35" s="258">
        <v>694.26115380000033</v>
      </c>
      <c r="M35" s="228">
        <f t="shared" si="4"/>
        <v>864.29372980000016</v>
      </c>
      <c r="N35" s="228">
        <v>3301.6959432380108</v>
      </c>
      <c r="O35" s="219">
        <f t="shared" si="5"/>
        <v>-2437.4022134380107</v>
      </c>
      <c r="P35" s="220">
        <f t="shared" si="6"/>
        <v>-0.73822733993113321</v>
      </c>
      <c r="S35" s="148"/>
      <c r="T35" s="104"/>
      <c r="U35" s="104"/>
    </row>
    <row r="36" spans="1:21">
      <c r="A36" s="214" t="s">
        <v>88</v>
      </c>
      <c r="B36" s="226">
        <f>'IRIS iTunes data'!B124</f>
        <v>134.28331800000004</v>
      </c>
      <c r="C36" s="226">
        <f>'IRIS iTunes data'!H124</f>
        <v>140.93277899999998</v>
      </c>
      <c r="D36" s="226">
        <f>'IRIS iTunes data'!N124</f>
        <v>0</v>
      </c>
      <c r="E36" s="226">
        <f>'IRIS iTunes data'!T124</f>
        <v>0</v>
      </c>
      <c r="F36" s="226">
        <f>'IRIS iTunes data'!Z124</f>
        <v>0</v>
      </c>
      <c r="G36" s="227">
        <f>SUM(B36:F36)</f>
        <v>275.21609699999999</v>
      </c>
      <c r="H36" s="215">
        <f t="shared" si="1"/>
        <v>550.43219399999998</v>
      </c>
      <c r="I36" s="305">
        <f>SUM(I37:I48)</f>
        <v>904.16527816445114</v>
      </c>
      <c r="J36" s="219">
        <f t="shared" si="8"/>
        <v>-353.73308416445116</v>
      </c>
      <c r="K36" s="220">
        <f t="shared" si="9"/>
        <v>-0.39122613166761483</v>
      </c>
      <c r="L36" s="258">
        <v>1132.0105787000002</v>
      </c>
      <c r="M36" s="228">
        <f t="shared" si="4"/>
        <v>1682.4427727000002</v>
      </c>
      <c r="N36" s="228">
        <v>2327.0207255545529</v>
      </c>
      <c r="O36" s="219">
        <f t="shared" si="5"/>
        <v>-644.57795285455268</v>
      </c>
      <c r="P36" s="220">
        <f t="shared" si="6"/>
        <v>-0.27699708291207553</v>
      </c>
      <c r="R36">
        <f>I36/$I$127</f>
        <v>3.2736136722626378E-3</v>
      </c>
      <c r="S36" s="148">
        <f>R36*$S$127</f>
        <v>822.32493635788512</v>
      </c>
      <c r="T36" s="104"/>
      <c r="U36" s="104"/>
    </row>
    <row r="37" spans="1:21" s="3" customFormat="1">
      <c r="A37" s="233" t="s">
        <v>62</v>
      </c>
      <c r="B37" s="234">
        <f>VLOOKUP($A37,'IRIS iTunes data'!$A$138:$B$249,2,FALSE)</f>
        <v>0</v>
      </c>
      <c r="C37" s="234">
        <f>VLOOKUP($A37,'IRIS iTunes data'!$G$138:$H$249,2,FALSE)</f>
        <v>11.302707000000002</v>
      </c>
      <c r="D37" s="234">
        <f>VLOOKUP($A37,'IRIS iTunes data'!$M$138:$N$249,2,FALSE)</f>
        <v>0</v>
      </c>
      <c r="E37" s="234">
        <f>VLOOKUP($A37,'IRIS iTunes data'!$S$138:$T$249,2,FALSE)</f>
        <v>0</v>
      </c>
      <c r="F37" s="234">
        <f>VLOOKUP($A37,'IRIS iTunes data'!$Y$138:$Z$249,2,FALSE)</f>
        <v>0</v>
      </c>
      <c r="G37" s="235">
        <f t="shared" ref="G37:G48" si="18">SUM(B37:F37)</f>
        <v>11.302707000000002</v>
      </c>
      <c r="H37" s="215">
        <f t="shared" si="1"/>
        <v>45.210828000000006</v>
      </c>
      <c r="I37" s="304">
        <f>VLOOKUP($A37,[6]IRIS!$J:$U,12,FALSE)</f>
        <v>9.099896083372716</v>
      </c>
      <c r="J37" s="237">
        <f t="shared" si="8"/>
        <v>36.110931916627294</v>
      </c>
      <c r="K37" s="238">
        <f t="shared" si="9"/>
        <v>3.9682795919624847</v>
      </c>
      <c r="L37" s="259">
        <v>23.152768074999997</v>
      </c>
      <c r="M37" s="236">
        <f t="shared" si="4"/>
        <v>68.363596075000004</v>
      </c>
      <c r="N37" s="236">
        <v>23.420106144077728</v>
      </c>
      <c r="O37" s="237">
        <f t="shared" si="5"/>
        <v>44.943489930922276</v>
      </c>
      <c r="P37" s="238">
        <f t="shared" si="6"/>
        <v>1.9190130759628172</v>
      </c>
      <c r="R37" s="208"/>
      <c r="S37" s="154"/>
      <c r="T37" s="104"/>
      <c r="U37" s="104"/>
    </row>
    <row r="38" spans="1:21" s="3" customFormat="1">
      <c r="A38" s="233" t="s">
        <v>61</v>
      </c>
      <c r="B38" s="234">
        <f>VLOOKUP($A38,'IRIS iTunes data'!$A$138:$B$249,2,FALSE)</f>
        <v>0</v>
      </c>
      <c r="C38" s="234">
        <f>VLOOKUP($A38,'IRIS iTunes data'!$G$138:$H$249,2,FALSE)</f>
        <v>1.266564</v>
      </c>
      <c r="D38" s="234">
        <f>VLOOKUP($A38,'IRIS iTunes data'!$M$138:$N$249,2,FALSE)</f>
        <v>0</v>
      </c>
      <c r="E38" s="234">
        <f>VLOOKUP($A38,'IRIS iTunes data'!$S$138:$T$249,2,FALSE)</f>
        <v>0</v>
      </c>
      <c r="F38" s="234">
        <f>VLOOKUP($A38,'IRIS iTunes data'!$Y$138:$Z$249,2,FALSE)</f>
        <v>0</v>
      </c>
      <c r="G38" s="235">
        <f t="shared" si="18"/>
        <v>1.266564</v>
      </c>
      <c r="H38" s="215">
        <f t="shared" si="1"/>
        <v>5.0662560000000001</v>
      </c>
      <c r="I38" s="304">
        <f>VLOOKUP($A38,[6]IRIS!$J:$U,12,FALSE)</f>
        <v>9.7707116600796358</v>
      </c>
      <c r="J38" s="237">
        <f t="shared" si="8"/>
        <v>-4.7044556600796357</v>
      </c>
      <c r="K38" s="238">
        <f t="shared" si="9"/>
        <v>-0.48148546633514022</v>
      </c>
      <c r="L38" s="259">
        <v>31.765789399999999</v>
      </c>
      <c r="M38" s="236">
        <f t="shared" si="4"/>
        <v>36.832045399999998</v>
      </c>
      <c r="N38" s="236">
        <v>25.14656234375709</v>
      </c>
      <c r="O38" s="237">
        <f t="shared" si="5"/>
        <v>11.685483056242909</v>
      </c>
      <c r="P38" s="238">
        <f t="shared" si="6"/>
        <v>0.46469505042083648</v>
      </c>
      <c r="R38" s="208"/>
      <c r="S38" s="154"/>
      <c r="T38" s="104"/>
      <c r="U38" s="104"/>
    </row>
    <row r="39" spans="1:21" s="3" customFormat="1">
      <c r="A39" s="233" t="s">
        <v>60</v>
      </c>
      <c r="B39" s="234">
        <f>VLOOKUP($A39,'IRIS iTunes data'!$A$138:$B$249,2,FALSE)</f>
        <v>23.954580000000007</v>
      </c>
      <c r="C39" s="234">
        <f>VLOOKUP($A39,'IRIS iTunes data'!$G$138:$H$249,2,FALSE)</f>
        <v>8.4116370000000007</v>
      </c>
      <c r="D39" s="234">
        <f>VLOOKUP($A39,'IRIS iTunes data'!$M$138:$N$249,2,FALSE)</f>
        <v>0</v>
      </c>
      <c r="E39" s="234">
        <f>VLOOKUP($A39,'IRIS iTunes data'!$S$138:$T$249,2,FALSE)</f>
        <v>0</v>
      </c>
      <c r="F39" s="234">
        <f>VLOOKUP($A39,'IRIS iTunes data'!$Y$138:$Z$249,2,FALSE)</f>
        <v>0</v>
      </c>
      <c r="G39" s="235">
        <f t="shared" si="18"/>
        <v>32.366217000000006</v>
      </c>
      <c r="H39" s="215">
        <f t="shared" si="1"/>
        <v>64.732434000000012</v>
      </c>
      <c r="I39" s="304">
        <f>VLOOKUP($A39,[6]IRIS!$J:$U,12,FALSE)</f>
        <v>395.63886843921676</v>
      </c>
      <c r="J39" s="237">
        <f t="shared" si="8"/>
        <v>-330.90643443921675</v>
      </c>
      <c r="K39" s="238">
        <f t="shared" si="9"/>
        <v>-0.83638504918546686</v>
      </c>
      <c r="L39" s="259">
        <v>293.7156078000001</v>
      </c>
      <c r="M39" s="236">
        <f t="shared" si="4"/>
        <v>358.44804180000011</v>
      </c>
      <c r="N39" s="236">
        <v>1018.2428687839495</v>
      </c>
      <c r="O39" s="237">
        <f t="shared" si="5"/>
        <v>-659.79482698394941</v>
      </c>
      <c r="P39" s="238">
        <f t="shared" si="6"/>
        <v>-0.64797392371813856</v>
      </c>
      <c r="R39" s="208"/>
      <c r="S39" s="154"/>
      <c r="T39" s="104"/>
      <c r="U39" s="104"/>
    </row>
    <row r="40" spans="1:21" s="3" customFormat="1">
      <c r="A40" s="233" t="s">
        <v>59</v>
      </c>
      <c r="B40" s="234">
        <f>VLOOKUP($A40,'IRIS iTunes data'!$A$138:$B$249,2,FALSE)</f>
        <v>19.301334000000001</v>
      </c>
      <c r="C40" s="234">
        <f>VLOOKUP($A40,'IRIS iTunes data'!$G$138:$H$249,2,FALSE)</f>
        <v>50.538656999999994</v>
      </c>
      <c r="D40" s="234">
        <f>VLOOKUP($A40,'IRIS iTunes data'!$M$138:$N$249,2,FALSE)</f>
        <v>0</v>
      </c>
      <c r="E40" s="234">
        <f>VLOOKUP($A40,'IRIS iTunes data'!$S$138:$T$249,2,FALSE)</f>
        <v>0</v>
      </c>
      <c r="F40" s="234">
        <f>VLOOKUP($A40,'IRIS iTunes data'!$Y$138:$Z$249,2,FALSE)</f>
        <v>0</v>
      </c>
      <c r="G40" s="235">
        <f t="shared" si="18"/>
        <v>69.839990999999998</v>
      </c>
      <c r="H40" s="215">
        <f t="shared" si="1"/>
        <v>139.679982</v>
      </c>
      <c r="I40" s="304">
        <f>VLOOKUP($A40,[6]IRIS!$J:$U,12,FALSE)</f>
        <v>13.82514960105914</v>
      </c>
      <c r="J40" s="237">
        <f t="shared" si="8"/>
        <v>125.85483239894086</v>
      </c>
      <c r="K40" s="238">
        <f t="shared" si="9"/>
        <v>9.1033251740942589</v>
      </c>
      <c r="L40" s="259">
        <v>61.063301125000002</v>
      </c>
      <c r="M40" s="236">
        <f t="shared" si="4"/>
        <v>200.743283125</v>
      </c>
      <c r="N40" s="236">
        <v>35.581337209573185</v>
      </c>
      <c r="O40" s="237">
        <f t="shared" si="5"/>
        <v>165.16194591542683</v>
      </c>
      <c r="P40" s="238">
        <f t="shared" si="6"/>
        <v>4.6418139077412155</v>
      </c>
      <c r="R40" s="208"/>
      <c r="S40" s="154"/>
      <c r="T40" s="104"/>
      <c r="U40" s="104"/>
    </row>
    <row r="41" spans="1:21" s="3" customFormat="1">
      <c r="A41" s="233" t="s">
        <v>58</v>
      </c>
      <c r="B41" s="234">
        <f>VLOOKUP($A41,'IRIS iTunes data'!$A$138:$B$249,2,FALSE)</f>
        <v>6.1538490000000001</v>
      </c>
      <c r="C41" s="234">
        <f>VLOOKUP($A41,'IRIS iTunes data'!$G$138:$H$249,2,FALSE)</f>
        <v>18.778188000000007</v>
      </c>
      <c r="D41" s="234">
        <f>VLOOKUP($A41,'IRIS iTunes data'!$M$138:$N$249,2,FALSE)</f>
        <v>0</v>
      </c>
      <c r="E41" s="234">
        <f>VLOOKUP($A41,'IRIS iTunes data'!$S$138:$T$249,2,FALSE)</f>
        <v>0</v>
      </c>
      <c r="F41" s="234">
        <f>VLOOKUP($A41,'IRIS iTunes data'!$Y$138:$Z$249,2,FALSE)</f>
        <v>0</v>
      </c>
      <c r="G41" s="235">
        <f t="shared" si="18"/>
        <v>24.932037000000008</v>
      </c>
      <c r="H41" s="215">
        <f t="shared" si="1"/>
        <v>49.864074000000016</v>
      </c>
      <c r="I41" s="304">
        <f>VLOOKUP($A41,[6]IRIS!$J:$U,12,FALSE)</f>
        <v>101.00934213322437</v>
      </c>
      <c r="J41" s="237">
        <f t="shared" si="8"/>
        <v>-51.145268133224349</v>
      </c>
      <c r="K41" s="238">
        <f t="shared" si="9"/>
        <v>-0.5063419586058413</v>
      </c>
      <c r="L41" s="259">
        <v>76.724208599999997</v>
      </c>
      <c r="M41" s="236">
        <f t="shared" si="4"/>
        <v>126.58828260000001</v>
      </c>
      <c r="N41" s="236">
        <v>259.96445372888161</v>
      </c>
      <c r="O41" s="237">
        <f t="shared" si="5"/>
        <v>-133.37617112888159</v>
      </c>
      <c r="P41" s="238">
        <f t="shared" si="6"/>
        <v>-0.51305541667623666</v>
      </c>
      <c r="R41" s="208"/>
      <c r="S41" s="154"/>
      <c r="T41" s="104"/>
      <c r="U41" s="104"/>
    </row>
    <row r="42" spans="1:21" s="3" customFormat="1">
      <c r="A42" s="233" t="s">
        <v>57</v>
      </c>
      <c r="B42" s="234">
        <f>VLOOKUP($A42,'IRIS iTunes data'!$A$138:$B$249,2,FALSE)</f>
        <v>2.244021</v>
      </c>
      <c r="C42" s="234">
        <f>VLOOKUP($A42,'IRIS iTunes data'!$G$138:$H$249,2,FALSE)</f>
        <v>15.253836000000003</v>
      </c>
      <c r="D42" s="234">
        <f>VLOOKUP($A42,'IRIS iTunes data'!$M$138:$N$249,2,FALSE)</f>
        <v>0</v>
      </c>
      <c r="E42" s="234">
        <f>VLOOKUP($A42,'IRIS iTunes data'!$S$138:$T$249,2,FALSE)</f>
        <v>0</v>
      </c>
      <c r="F42" s="234">
        <f>VLOOKUP($A42,'IRIS iTunes data'!$Y$138:$Z$249,2,FALSE)</f>
        <v>0</v>
      </c>
      <c r="G42" s="235">
        <f t="shared" si="18"/>
        <v>17.497857000000003</v>
      </c>
      <c r="H42" s="215">
        <f t="shared" si="1"/>
        <v>34.995714000000007</v>
      </c>
      <c r="I42" s="304">
        <f>VLOOKUP($A42,[6]IRIS!$J:$U,12,FALSE)</f>
        <v>12.032667032576445</v>
      </c>
      <c r="J42" s="237">
        <f t="shared" si="8"/>
        <v>22.963046967423562</v>
      </c>
      <c r="K42" s="238">
        <f t="shared" si="9"/>
        <v>1.9083921216514121</v>
      </c>
      <c r="L42" s="259">
        <v>50.260934799999994</v>
      </c>
      <c r="M42" s="236">
        <f t="shared" si="4"/>
        <v>85.256648799999994</v>
      </c>
      <c r="N42" s="236">
        <v>30.968083208576438</v>
      </c>
      <c r="O42" s="237">
        <f t="shared" si="5"/>
        <v>54.288565591423556</v>
      </c>
      <c r="P42" s="238">
        <f t="shared" si="6"/>
        <v>1.7530489448048447</v>
      </c>
      <c r="R42" s="208"/>
      <c r="S42" s="154"/>
      <c r="T42" s="104"/>
      <c r="U42" s="104"/>
    </row>
    <row r="43" spans="1:21" s="3" customFormat="1">
      <c r="A43" s="233" t="s">
        <v>56</v>
      </c>
      <c r="B43" s="234">
        <f>VLOOKUP($A43,'IRIS iTunes data'!$A$138:$B$249,2,FALSE)</f>
        <v>0.97745700000000002</v>
      </c>
      <c r="C43" s="234">
        <f>VLOOKUP($A43,'IRIS iTunes data'!$G$138:$H$249,2,FALSE)</f>
        <v>0</v>
      </c>
      <c r="D43" s="234">
        <f>VLOOKUP($A43,'IRIS iTunes data'!$M$138:$N$249,2,FALSE)</f>
        <v>0</v>
      </c>
      <c r="E43" s="234">
        <f>VLOOKUP($A43,'IRIS iTunes data'!$S$138:$T$249,2,FALSE)</f>
        <v>0</v>
      </c>
      <c r="F43" s="234">
        <f>VLOOKUP($A43,'IRIS iTunes data'!$Y$138:$Z$249,2,FALSE)</f>
        <v>0</v>
      </c>
      <c r="G43" s="235">
        <f t="shared" si="18"/>
        <v>0.97745700000000002</v>
      </c>
      <c r="H43" s="215">
        <f t="shared" si="1"/>
        <v>3.9098280000000001</v>
      </c>
      <c r="I43" s="304">
        <f>VLOOKUP($A43,[6]IRIS!$J:$U,12,FALSE)</f>
        <v>7.1574571820789652</v>
      </c>
      <c r="J43" s="237">
        <f t="shared" si="8"/>
        <v>-3.2476291820789651</v>
      </c>
      <c r="K43" s="238">
        <f t="shared" si="9"/>
        <v>-0.45374063713723178</v>
      </c>
      <c r="L43" s="259">
        <v>24.329897800000005</v>
      </c>
      <c r="M43" s="236">
        <f t="shared" si="4"/>
        <v>28.239725800000006</v>
      </c>
      <c r="N43" s="236">
        <v>18.420914413766834</v>
      </c>
      <c r="O43" s="237">
        <f t="shared" si="5"/>
        <v>9.8188113862331718</v>
      </c>
      <c r="P43" s="238">
        <f t="shared" si="6"/>
        <v>0.53302518896103779</v>
      </c>
      <c r="R43" s="208"/>
      <c r="S43" s="154"/>
      <c r="T43" s="104"/>
      <c r="U43" s="104"/>
    </row>
    <row r="44" spans="1:21" s="3" customFormat="1">
      <c r="A44" s="233" t="s">
        <v>55</v>
      </c>
      <c r="B44" s="234">
        <f>VLOOKUP($A44,'IRIS iTunes data'!$A$138:$B$249,2,FALSE)</f>
        <v>2.9323709999999998</v>
      </c>
      <c r="C44" s="234">
        <f>VLOOKUP($A44,'IRIS iTunes data'!$G$138:$H$249,2,FALSE)</f>
        <v>0.97745700000000002</v>
      </c>
      <c r="D44" s="234">
        <f>VLOOKUP($A44,'IRIS iTunes data'!$M$138:$N$249,2,FALSE)</f>
        <v>0</v>
      </c>
      <c r="E44" s="234">
        <f>VLOOKUP($A44,'IRIS iTunes data'!$S$138:$T$249,2,FALSE)</f>
        <v>0</v>
      </c>
      <c r="F44" s="234">
        <f>VLOOKUP($A44,'IRIS iTunes data'!$Y$138:$Z$249,2,FALSE)</f>
        <v>0</v>
      </c>
      <c r="G44" s="235">
        <f t="shared" si="18"/>
        <v>3.9098280000000001</v>
      </c>
      <c r="H44" s="215">
        <f t="shared" si="1"/>
        <v>7.8196560000000002</v>
      </c>
      <c r="I44" s="304">
        <f>VLOOKUP($A44,[6]IRIS!$J:$U,12,FALSE)</f>
        <v>10.043938727531462</v>
      </c>
      <c r="J44" s="237">
        <f t="shared" si="8"/>
        <v>-2.2242827275314614</v>
      </c>
      <c r="K44" s="238">
        <f t="shared" si="9"/>
        <v>-0.22145522666665374</v>
      </c>
      <c r="L44" s="259">
        <v>34.241320824999995</v>
      </c>
      <c r="M44" s="236">
        <f t="shared" si="4"/>
        <v>42.060976824999997</v>
      </c>
      <c r="N44" s="236">
        <v>25.849757947589211</v>
      </c>
      <c r="O44" s="237">
        <f t="shared" si="5"/>
        <v>16.211218877410786</v>
      </c>
      <c r="P44" s="238">
        <f t="shared" si="6"/>
        <v>0.62713232790339024</v>
      </c>
      <c r="R44" s="208"/>
      <c r="S44" s="154"/>
      <c r="T44" s="104"/>
      <c r="U44" s="104"/>
    </row>
    <row r="45" spans="1:21" s="3" customFormat="1">
      <c r="A45" s="233" t="s">
        <v>54</v>
      </c>
      <c r="B45" s="234">
        <f>VLOOKUP($A45,'IRIS iTunes data'!$A$138:$B$249,2,FALSE)</f>
        <v>22.77061800000001</v>
      </c>
      <c r="C45" s="234">
        <f>VLOOKUP($A45,'IRIS iTunes data'!$G$138:$H$249,2,FALSE)</f>
        <v>22.082267999999999</v>
      </c>
      <c r="D45" s="234">
        <f>VLOOKUP($A45,'IRIS iTunes data'!$M$138:$N$249,2,FALSE)</f>
        <v>0</v>
      </c>
      <c r="E45" s="234">
        <f>VLOOKUP($A45,'IRIS iTunes data'!$S$138:$T$249,2,FALSE)</f>
        <v>0</v>
      </c>
      <c r="F45" s="234">
        <f>VLOOKUP($A45,'IRIS iTunes data'!$Y$138:$Z$249,2,FALSE)</f>
        <v>0</v>
      </c>
      <c r="G45" s="235">
        <f t="shared" si="18"/>
        <v>44.852886000000012</v>
      </c>
      <c r="H45" s="215">
        <f t="shared" si="1"/>
        <v>89.705772000000024</v>
      </c>
      <c r="I45" s="304">
        <f>VLOOKUP($A45,[6]IRIS!$J:$U,12,FALSE)</f>
        <v>225.31877746025631</v>
      </c>
      <c r="J45" s="237">
        <f t="shared" si="8"/>
        <v>-135.61300546025629</v>
      </c>
      <c r="K45" s="238">
        <f t="shared" si="9"/>
        <v>-0.60187174361966744</v>
      </c>
      <c r="L45" s="259">
        <v>399.63735940000009</v>
      </c>
      <c r="M45" s="236">
        <f t="shared" si="4"/>
        <v>489.34313140000012</v>
      </c>
      <c r="N45" s="236">
        <v>579.89559837008687</v>
      </c>
      <c r="O45" s="237">
        <f t="shared" si="5"/>
        <v>-90.552466970086755</v>
      </c>
      <c r="P45" s="238">
        <f t="shared" si="6"/>
        <v>-0.15615305103988142</v>
      </c>
      <c r="R45" s="208"/>
      <c r="S45" s="154"/>
      <c r="T45" s="104"/>
      <c r="U45" s="104"/>
    </row>
    <row r="46" spans="1:21" s="3" customFormat="1">
      <c r="A46" s="233" t="s">
        <v>53</v>
      </c>
      <c r="B46" s="234">
        <f>VLOOKUP($A46,'IRIS iTunes data'!$A$138:$B$249,2,FALSE)</f>
        <v>41.755311000000006</v>
      </c>
      <c r="C46" s="234">
        <f>VLOOKUP($A46,'IRIS iTunes data'!$G$138:$H$249,2,FALSE)</f>
        <v>0</v>
      </c>
      <c r="D46" s="234">
        <f>VLOOKUP($A46,'IRIS iTunes data'!$M$138:$N$249,2,FALSE)</f>
        <v>0</v>
      </c>
      <c r="E46" s="234">
        <f>VLOOKUP($A46,'IRIS iTunes data'!$S$138:$T$249,2,FALSE)</f>
        <v>0</v>
      </c>
      <c r="F46" s="234">
        <f>VLOOKUP($A46,'IRIS iTunes data'!$Y$138:$Z$249,2,FALSE)</f>
        <v>0</v>
      </c>
      <c r="G46" s="235">
        <f t="shared" si="18"/>
        <v>41.755311000000006</v>
      </c>
      <c r="H46" s="215">
        <f t="shared" si="1"/>
        <v>167.02124400000002</v>
      </c>
      <c r="I46" s="304">
        <f>VLOOKUP($A46,[6]IRIS!$J:$U,12,FALSE)</f>
        <v>29.103080629650144</v>
      </c>
      <c r="J46" s="237">
        <f t="shared" si="8"/>
        <v>137.91816337034987</v>
      </c>
      <c r="K46" s="238">
        <f t="shared" si="9"/>
        <v>4.7389541033618006</v>
      </c>
      <c r="L46" s="259">
        <v>102.20055540000003</v>
      </c>
      <c r="M46" s="236">
        <f t="shared" si="4"/>
        <v>269.22179940000007</v>
      </c>
      <c r="N46" s="236">
        <v>74.901650658568485</v>
      </c>
      <c r="O46" s="237">
        <f t="shared" si="5"/>
        <v>194.32014874143158</v>
      </c>
      <c r="P46" s="238">
        <f t="shared" si="6"/>
        <v>2.5943373347968004</v>
      </c>
      <c r="R46" s="208"/>
      <c r="S46" s="154"/>
      <c r="T46" s="104"/>
      <c r="U46" s="104"/>
    </row>
    <row r="47" spans="1:21" s="3" customFormat="1">
      <c r="A47" s="233" t="s">
        <v>52</v>
      </c>
      <c r="B47" s="234">
        <f>VLOOKUP($A47,'IRIS iTunes data'!$A$138:$B$249,2,FALSE)</f>
        <v>14.193777000000001</v>
      </c>
      <c r="C47" s="234">
        <f>VLOOKUP($A47,'IRIS iTunes data'!$G$138:$H$249,2,FALSE)</f>
        <v>2.9323709999999998</v>
      </c>
      <c r="D47" s="234">
        <f>VLOOKUP($A47,'IRIS iTunes data'!$M$138:$N$249,2,FALSE)</f>
        <v>0</v>
      </c>
      <c r="E47" s="234">
        <f>VLOOKUP($A47,'IRIS iTunes data'!$S$138:$T$249,2,FALSE)</f>
        <v>0</v>
      </c>
      <c r="F47" s="234">
        <f>VLOOKUP($A47,'IRIS iTunes data'!$Y$138:$Z$249,2,FALSE)</f>
        <v>0</v>
      </c>
      <c r="G47" s="235">
        <f t="shared" si="18"/>
        <v>17.126148000000001</v>
      </c>
      <c r="H47" s="215">
        <f t="shared" si="1"/>
        <v>34.252296000000001</v>
      </c>
      <c r="I47" s="304">
        <f>VLOOKUP($A47,[6]IRIS!$J:$U,12,FALSE)</f>
        <v>81.931422111682593</v>
      </c>
      <c r="J47" s="237">
        <f t="shared" si="8"/>
        <v>-47.679126111682592</v>
      </c>
      <c r="K47" s="238">
        <f t="shared" si="9"/>
        <v>-0.5819394425583152</v>
      </c>
      <c r="L47" s="259">
        <v>89.454986500000018</v>
      </c>
      <c r="M47" s="236">
        <f t="shared" si="4"/>
        <v>123.70728250000002</v>
      </c>
      <c r="N47" s="236">
        <v>210.86423238359203</v>
      </c>
      <c r="O47" s="237">
        <f t="shared" si="5"/>
        <v>-87.156949883592006</v>
      </c>
      <c r="P47" s="238">
        <f t="shared" si="6"/>
        <v>-0.41333207106002273</v>
      </c>
      <c r="R47" s="208"/>
      <c r="S47" s="154"/>
      <c r="T47" s="104"/>
      <c r="U47" s="104"/>
    </row>
    <row r="48" spans="1:21" s="3" customFormat="1">
      <c r="A48" s="233" t="s">
        <v>90</v>
      </c>
      <c r="B48" s="234">
        <f>VLOOKUP($A48,'IRIS iTunes data'!$A$138:$B$249,2,FALSE)</f>
        <v>0</v>
      </c>
      <c r="C48" s="234">
        <f>VLOOKUP($A48,'IRIS iTunes data'!$G$138:$H$249,2,FALSE)</f>
        <v>9.3890940000000001</v>
      </c>
      <c r="D48" s="234">
        <f>VLOOKUP($A48,'IRIS iTunes data'!$M$138:$N$249,2,FALSE)</f>
        <v>0</v>
      </c>
      <c r="E48" s="234">
        <f>VLOOKUP($A48,'IRIS iTunes data'!$S$138:$T$249,2,FALSE)</f>
        <v>0</v>
      </c>
      <c r="F48" s="234">
        <f>VLOOKUP($A48,'IRIS iTunes data'!$Y$138:$Z$249,2,FALSE)</f>
        <v>0</v>
      </c>
      <c r="G48" s="235">
        <f t="shared" si="18"/>
        <v>9.3890940000000001</v>
      </c>
      <c r="H48" s="215">
        <f t="shared" si="1"/>
        <v>37.556376</v>
      </c>
      <c r="I48" s="304">
        <f>VLOOKUP($A48,[6]IRIS!$J:$U,12,FALSE)</f>
        <v>9.2339671037227991</v>
      </c>
      <c r="J48" s="237">
        <f t="shared" si="8"/>
        <v>28.322408896277203</v>
      </c>
      <c r="K48" s="238">
        <f t="shared" si="9"/>
        <v>3.0671983751012757</v>
      </c>
      <c r="L48" s="259">
        <v>23.127374</v>
      </c>
      <c r="M48" s="236">
        <f t="shared" si="4"/>
        <v>60.683750000000003</v>
      </c>
      <c r="N48" s="236">
        <v>23.765160362134246</v>
      </c>
      <c r="O48" s="237">
        <f t="shared" si="5"/>
        <v>36.918589637865757</v>
      </c>
      <c r="P48" s="238">
        <f t="shared" si="6"/>
        <v>1.5534753006207049</v>
      </c>
      <c r="R48" s="208"/>
      <c r="S48" s="154"/>
      <c r="T48" s="104"/>
      <c r="U48" s="104"/>
    </row>
    <row r="49" spans="1:21">
      <c r="A49" s="214" t="s">
        <v>95</v>
      </c>
      <c r="B49" s="226">
        <f>'IRIS iTunes data'!B129</f>
        <v>263.57000000000011</v>
      </c>
      <c r="C49" s="226">
        <f>'IRIS iTunes data'!H129</f>
        <v>317.20999999999992</v>
      </c>
      <c r="D49" s="226">
        <f>'IRIS iTunes data'!N129</f>
        <v>0</v>
      </c>
      <c r="E49" s="226">
        <f>'IRIS iTunes data'!T129</f>
        <v>0</v>
      </c>
      <c r="F49" s="226">
        <f>'IRIS iTunes data'!Z129</f>
        <v>0</v>
      </c>
      <c r="G49" s="227">
        <f>SUM(B49:F49)</f>
        <v>580.78</v>
      </c>
      <c r="H49" s="215">
        <f t="shared" si="1"/>
        <v>1161.56</v>
      </c>
      <c r="I49" s="305">
        <f>SUM(I50:I66)</f>
        <v>4973.2529664196309</v>
      </c>
      <c r="J49" s="219">
        <f t="shared" si="8"/>
        <v>-3811.6929664196309</v>
      </c>
      <c r="K49" s="220">
        <f t="shared" si="9"/>
        <v>-0.76643858499797246</v>
      </c>
      <c r="L49" s="258">
        <v>3362.6700000000051</v>
      </c>
      <c r="M49" s="228">
        <f t="shared" si="4"/>
        <v>4524.230000000005</v>
      </c>
      <c r="N49" s="228">
        <v>12799.499168756234</v>
      </c>
      <c r="O49" s="219">
        <f t="shared" si="5"/>
        <v>-8275.2691687562292</v>
      </c>
      <c r="P49" s="220">
        <f t="shared" si="6"/>
        <v>-0.64653070090088238</v>
      </c>
      <c r="R49">
        <f>I49/$I$127</f>
        <v>1.8006120451277603E-2</v>
      </c>
      <c r="S49" s="148">
        <f>R49*$S$127</f>
        <v>4523.0999551376908</v>
      </c>
      <c r="T49" s="104"/>
      <c r="U49" s="104"/>
    </row>
    <row r="50" spans="1:21" s="3" customFormat="1">
      <c r="A50" s="233" t="s">
        <v>126</v>
      </c>
      <c r="B50" s="234">
        <f>VLOOKUP($A50,'IRIS iTunes data'!$A$138:$B$249,2,FALSE)</f>
        <v>25.619999999999987</v>
      </c>
      <c r="C50" s="234">
        <f>VLOOKUP($A50,'IRIS iTunes data'!$G$138:$H$249,2,FALSE)</f>
        <v>14.029999999999994</v>
      </c>
      <c r="D50" s="234">
        <f>VLOOKUP($A50,'IRIS iTunes data'!$M$138:$N$249,2,FALSE)</f>
        <v>0</v>
      </c>
      <c r="E50" s="234">
        <f>VLOOKUP($A50,'IRIS iTunes data'!$S$138:$T$249,2,FALSE)</f>
        <v>0</v>
      </c>
      <c r="F50" s="234">
        <f>VLOOKUP($A50,'IRIS iTunes data'!$Y$138:$Z$249,2,FALSE)</f>
        <v>0</v>
      </c>
      <c r="G50" s="235">
        <f t="shared" ref="G50:G66" si="19">SUM(B50:F50)</f>
        <v>39.649999999999977</v>
      </c>
      <c r="H50" s="215">
        <f t="shared" si="1"/>
        <v>79.299999999999955</v>
      </c>
      <c r="I50" s="304">
        <f>VLOOKUP($A50,[6]IRIS!$J:$U,12,FALSE)</f>
        <v>64.923170626140035</v>
      </c>
      <c r="J50" s="237">
        <f t="shared" si="8"/>
        <v>14.37682937385992</v>
      </c>
      <c r="K50" s="238">
        <f t="shared" si="9"/>
        <v>0.22144373472837406</v>
      </c>
      <c r="L50" s="259">
        <v>180.99999999999997</v>
      </c>
      <c r="M50" s="236">
        <f t="shared" si="4"/>
        <v>260.29999999999995</v>
      </c>
      <c r="N50" s="236">
        <v>167.09064953527687</v>
      </c>
      <c r="O50" s="237">
        <f t="shared" si="5"/>
        <v>93.209350464723087</v>
      </c>
      <c r="P50" s="238">
        <f t="shared" si="6"/>
        <v>0.55783702274162472</v>
      </c>
      <c r="R50" s="208"/>
      <c r="S50" s="154"/>
      <c r="T50" s="104"/>
      <c r="U50" s="104"/>
    </row>
    <row r="51" spans="1:21" s="3" customFormat="1">
      <c r="A51" s="233" t="s">
        <v>132</v>
      </c>
      <c r="B51" s="234">
        <f>VLOOKUP($A51,'IRIS iTunes data'!$A$138:$B$249,2,FALSE)</f>
        <v>0</v>
      </c>
      <c r="C51" s="234">
        <f>VLOOKUP($A51,'IRIS iTunes data'!$G$138:$H$249,2,FALSE)</f>
        <v>0</v>
      </c>
      <c r="D51" s="234">
        <f>VLOOKUP($A51,'IRIS iTunes data'!$M$138:$N$249,2,FALSE)</f>
        <v>0</v>
      </c>
      <c r="E51" s="234">
        <f>VLOOKUP($A51,'IRIS iTunes data'!$S$138:$T$249,2,FALSE)</f>
        <v>0</v>
      </c>
      <c r="F51" s="234">
        <f>VLOOKUP($A51,'IRIS iTunes data'!$Y$138:$Z$249,2,FALSE)</f>
        <v>0</v>
      </c>
      <c r="G51" s="235">
        <f t="shared" si="19"/>
        <v>0</v>
      </c>
      <c r="H51" s="215">
        <f t="shared" si="1"/>
        <v>0</v>
      </c>
      <c r="I51" s="304">
        <f>VLOOKUP($A51,[6]IRIS!$J:$U,12,FALSE)</f>
        <v>0.57324574196927247</v>
      </c>
      <c r="J51" s="237">
        <f t="shared" si="8"/>
        <v>-0.57324574196927247</v>
      </c>
      <c r="K51" s="238">
        <f t="shared" si="9"/>
        <v>-1</v>
      </c>
      <c r="L51" s="259">
        <v>44.53</v>
      </c>
      <c r="M51" s="236">
        <f t="shared" si="4"/>
        <v>44.53</v>
      </c>
      <c r="N51" s="236">
        <v>1.4753438941013752</v>
      </c>
      <c r="O51" s="237">
        <f t="shared" si="5"/>
        <v>43.054656105898623</v>
      </c>
      <c r="P51" s="238">
        <f t="shared" si="6"/>
        <v>29.182793434152519</v>
      </c>
      <c r="R51" s="208"/>
      <c r="S51" s="154"/>
      <c r="T51" s="104"/>
      <c r="U51" s="104"/>
    </row>
    <row r="52" spans="1:21" s="3" customFormat="1">
      <c r="A52" s="233" t="s">
        <v>134</v>
      </c>
      <c r="B52" s="234">
        <f>VLOOKUP($A52,'IRIS iTunes data'!$A$138:$B$249,2,FALSE)</f>
        <v>8.5400000000000009</v>
      </c>
      <c r="C52" s="234">
        <f>VLOOKUP($A52,'IRIS iTunes data'!$G$138:$H$249,2,FALSE)</f>
        <v>0</v>
      </c>
      <c r="D52" s="234">
        <f>VLOOKUP($A52,'IRIS iTunes data'!$M$138:$N$249,2,FALSE)</f>
        <v>0</v>
      </c>
      <c r="E52" s="234">
        <f>VLOOKUP($A52,'IRIS iTunes data'!$S$138:$T$249,2,FALSE)</f>
        <v>0</v>
      </c>
      <c r="F52" s="234">
        <f>VLOOKUP($A52,'IRIS iTunes data'!$Y$138:$Z$249,2,FALSE)</f>
        <v>0</v>
      </c>
      <c r="G52" s="235">
        <f t="shared" si="19"/>
        <v>8.5400000000000009</v>
      </c>
      <c r="H52" s="215">
        <f t="shared" si="1"/>
        <v>34.160000000000004</v>
      </c>
      <c r="I52" s="304">
        <f>VLOOKUP($A52,[6]IRIS!$J:$U,12,FALSE)</f>
        <v>1.3593796580737423</v>
      </c>
      <c r="J52" s="237">
        <f t="shared" si="8"/>
        <v>32.800620341926262</v>
      </c>
      <c r="K52" s="238">
        <f t="shared" si="9"/>
        <v>24.129109294165211</v>
      </c>
      <c r="L52" s="259">
        <v>35.989999999999995</v>
      </c>
      <c r="M52" s="236">
        <f t="shared" si="4"/>
        <v>70.150000000000006</v>
      </c>
      <c r="N52" s="236">
        <v>3.4985911476900493</v>
      </c>
      <c r="O52" s="237">
        <f t="shared" si="5"/>
        <v>66.651408852309956</v>
      </c>
      <c r="P52" s="238">
        <f t="shared" si="6"/>
        <v>19.050928227585743</v>
      </c>
      <c r="R52" s="208"/>
      <c r="S52" s="154"/>
      <c r="T52" s="104"/>
      <c r="U52" s="104"/>
    </row>
    <row r="53" spans="1:21" s="3" customFormat="1">
      <c r="A53" s="233" t="s">
        <v>136</v>
      </c>
      <c r="B53" s="234">
        <f>VLOOKUP($A53,'IRIS iTunes data'!$A$138:$B$249,2,FALSE)</f>
        <v>164.62000000000015</v>
      </c>
      <c r="C53" s="234">
        <f>VLOOKUP($A53,'IRIS iTunes data'!$G$138:$H$249,2,FALSE)</f>
        <v>97.79999999999994</v>
      </c>
      <c r="D53" s="234">
        <f>VLOOKUP($A53,'IRIS iTunes data'!$M$138:$N$249,2,FALSE)</f>
        <v>0</v>
      </c>
      <c r="E53" s="234">
        <f>VLOOKUP($A53,'IRIS iTunes data'!$S$138:$T$249,2,FALSE)</f>
        <v>0</v>
      </c>
      <c r="F53" s="234">
        <f>VLOOKUP($A53,'IRIS iTunes data'!$Y$138:$Z$249,2,FALSE)</f>
        <v>0</v>
      </c>
      <c r="G53" s="235">
        <f t="shared" si="19"/>
        <v>262.42000000000007</v>
      </c>
      <c r="H53" s="215">
        <f t="shared" si="1"/>
        <v>524.84000000000015</v>
      </c>
      <c r="I53" s="304">
        <f>VLOOKUP($A53,[6]IRIS!$J:$U,12,FALSE)</f>
        <v>4107.6303318761975</v>
      </c>
      <c r="J53" s="237">
        <f t="shared" si="8"/>
        <v>-3582.7903318761973</v>
      </c>
      <c r="K53" s="238">
        <f t="shared" si="9"/>
        <v>-0.87222803475592348</v>
      </c>
      <c r="L53" s="259">
        <v>1961.7600000000054</v>
      </c>
      <c r="M53" s="236">
        <f t="shared" si="4"/>
        <v>2486.6000000000058</v>
      </c>
      <c r="N53" s="236">
        <v>10571.674389661659</v>
      </c>
      <c r="O53" s="237">
        <f t="shared" si="5"/>
        <v>-8085.0743896616532</v>
      </c>
      <c r="P53" s="238">
        <f t="shared" si="6"/>
        <v>-0.76478655051732181</v>
      </c>
      <c r="R53" s="208"/>
      <c r="S53" s="154"/>
      <c r="T53" s="104"/>
      <c r="U53" s="104"/>
    </row>
    <row r="54" spans="1:21" s="3" customFormat="1">
      <c r="A54" s="233" t="s">
        <v>142</v>
      </c>
      <c r="B54" s="234">
        <f>VLOOKUP($A54,'IRIS iTunes data'!$A$138:$B$249,2,FALSE)</f>
        <v>24.329999999999988</v>
      </c>
      <c r="C54" s="234">
        <f>VLOOKUP($A54,'IRIS iTunes data'!$G$138:$H$249,2,FALSE)</f>
        <v>33.389999999999979</v>
      </c>
      <c r="D54" s="234">
        <f>VLOOKUP($A54,'IRIS iTunes data'!$M$138:$N$249,2,FALSE)</f>
        <v>0</v>
      </c>
      <c r="E54" s="234">
        <f>VLOOKUP($A54,'IRIS iTunes data'!$S$138:$T$249,2,FALSE)</f>
        <v>0</v>
      </c>
      <c r="F54" s="234">
        <f>VLOOKUP($A54,'IRIS iTunes data'!$Y$138:$Z$249,2,FALSE)</f>
        <v>0</v>
      </c>
      <c r="G54" s="235">
        <f t="shared" si="19"/>
        <v>57.71999999999997</v>
      </c>
      <c r="H54" s="215">
        <f t="shared" si="1"/>
        <v>115.43999999999994</v>
      </c>
      <c r="I54" s="304">
        <f>VLOOKUP($A54,[6]IRIS!$J:$U,12,FALSE)</f>
        <v>216.07877984112457</v>
      </c>
      <c r="J54" s="237">
        <f t="shared" si="8"/>
        <v>-100.63877984112463</v>
      </c>
      <c r="K54" s="238">
        <f t="shared" si="9"/>
        <v>-0.46575040786106309</v>
      </c>
      <c r="L54" s="259">
        <v>442.43999999999994</v>
      </c>
      <c r="M54" s="236">
        <f t="shared" si="4"/>
        <v>557.87999999999988</v>
      </c>
      <c r="N54" s="236">
        <v>556.11491746687329</v>
      </c>
      <c r="O54" s="237">
        <f t="shared" si="5"/>
        <v>1.7650825331265878</v>
      </c>
      <c r="P54" s="238">
        <f t="shared" si="6"/>
        <v>3.1739528606184717E-3</v>
      </c>
      <c r="R54" s="208"/>
      <c r="S54" s="154"/>
      <c r="T54" s="104"/>
      <c r="U54" s="104"/>
    </row>
    <row r="55" spans="1:21" s="3" customFormat="1">
      <c r="A55" s="233" t="s">
        <v>143</v>
      </c>
      <c r="B55" s="234">
        <f>VLOOKUP($A55,'IRIS iTunes data'!$A$138:$B$249,2,FALSE)</f>
        <v>8.2000000000000011</v>
      </c>
      <c r="C55" s="234">
        <f>VLOOKUP($A55,'IRIS iTunes data'!$G$138:$H$249,2,FALSE)</f>
        <v>79.22999999999999</v>
      </c>
      <c r="D55" s="234">
        <f>VLOOKUP($A55,'IRIS iTunes data'!$M$138:$N$249,2,FALSE)</f>
        <v>0</v>
      </c>
      <c r="E55" s="234">
        <f>VLOOKUP($A55,'IRIS iTunes data'!$S$138:$T$249,2,FALSE)</f>
        <v>0</v>
      </c>
      <c r="F55" s="234">
        <f>VLOOKUP($A55,'IRIS iTunes data'!$Y$138:$Z$249,2,FALSE)</f>
        <v>0</v>
      </c>
      <c r="G55" s="235">
        <f t="shared" si="19"/>
        <v>87.429999999999993</v>
      </c>
      <c r="H55" s="215">
        <f t="shared" si="1"/>
        <v>174.85999999999999</v>
      </c>
      <c r="I55" s="304">
        <f>VLOOKUP($A55,[6]IRIS!$J:$U,12,FALSE)</f>
        <v>334.25655898726774</v>
      </c>
      <c r="J55" s="237">
        <f t="shared" si="8"/>
        <v>-159.39655898726775</v>
      </c>
      <c r="K55" s="238">
        <f t="shared" si="9"/>
        <v>-0.47686890414419475</v>
      </c>
      <c r="L55" s="259">
        <v>298.33999999999986</v>
      </c>
      <c r="M55" s="236">
        <f t="shared" si="4"/>
        <v>473.19999999999982</v>
      </c>
      <c r="N55" s="236">
        <v>860.26521831824698</v>
      </c>
      <c r="O55" s="237">
        <f t="shared" si="5"/>
        <v>-387.06521831824716</v>
      </c>
      <c r="P55" s="238">
        <f t="shared" si="6"/>
        <v>-0.44993707763162877</v>
      </c>
      <c r="R55" s="208"/>
      <c r="S55" s="154"/>
      <c r="T55" s="104"/>
      <c r="U55" s="104"/>
    </row>
    <row r="56" spans="1:21" s="3" customFormat="1">
      <c r="A56" s="233" t="s">
        <v>144</v>
      </c>
      <c r="B56" s="234">
        <f>VLOOKUP($A56,'IRIS iTunes data'!$A$138:$B$249,2,FALSE)</f>
        <v>5.49</v>
      </c>
      <c r="C56" s="234">
        <f>VLOOKUP($A56,'IRIS iTunes data'!$G$138:$H$249,2,FALSE)</f>
        <v>1.22</v>
      </c>
      <c r="D56" s="234">
        <f>VLOOKUP($A56,'IRIS iTunes data'!$M$138:$N$249,2,FALSE)</f>
        <v>0</v>
      </c>
      <c r="E56" s="234">
        <f>VLOOKUP($A56,'IRIS iTunes data'!$S$138:$T$249,2,FALSE)</f>
        <v>0</v>
      </c>
      <c r="F56" s="234">
        <f>VLOOKUP($A56,'IRIS iTunes data'!$Y$138:$Z$249,2,FALSE)</f>
        <v>0</v>
      </c>
      <c r="G56" s="235">
        <f t="shared" si="19"/>
        <v>6.71</v>
      </c>
      <c r="H56" s="215">
        <f t="shared" si="1"/>
        <v>13.42</v>
      </c>
      <c r="I56" s="304">
        <f>VLOOKUP($A56,[6]IRIS!$J:$U,12,FALSE)</f>
        <v>34.676378157059801</v>
      </c>
      <c r="J56" s="237">
        <f t="shared" si="8"/>
        <v>-21.2563781570598</v>
      </c>
      <c r="K56" s="238">
        <f t="shared" si="9"/>
        <v>-0.61299303118633774</v>
      </c>
      <c r="L56" s="259">
        <v>114.60999999999999</v>
      </c>
      <c r="M56" s="236">
        <f t="shared" si="4"/>
        <v>128.02999999999997</v>
      </c>
      <c r="N56" s="236">
        <v>89.245464969037243</v>
      </c>
      <c r="O56" s="237">
        <f t="shared" si="5"/>
        <v>38.784535030962729</v>
      </c>
      <c r="P56" s="238">
        <f t="shared" si="6"/>
        <v>0.43458269890149159</v>
      </c>
      <c r="R56" s="208"/>
      <c r="S56" s="154"/>
      <c r="T56" s="104"/>
      <c r="U56" s="104"/>
    </row>
    <row r="57" spans="1:21" s="3" customFormat="1">
      <c r="A57" s="233" t="s">
        <v>146</v>
      </c>
      <c r="B57" s="234">
        <f>VLOOKUP($A57,'IRIS iTunes data'!$A$138:$B$249,2,FALSE)</f>
        <v>0</v>
      </c>
      <c r="C57" s="234">
        <f>VLOOKUP($A57,'IRIS iTunes data'!$G$138:$H$249,2,FALSE)</f>
        <v>1.22</v>
      </c>
      <c r="D57" s="234">
        <f>VLOOKUP($A57,'IRIS iTunes data'!$M$138:$N$249,2,FALSE)</f>
        <v>0</v>
      </c>
      <c r="E57" s="234">
        <f>VLOOKUP($A57,'IRIS iTunes data'!$S$138:$T$249,2,FALSE)</f>
        <v>0</v>
      </c>
      <c r="F57" s="234">
        <f>VLOOKUP($A57,'IRIS iTunes data'!$Y$138:$Z$249,2,FALSE)</f>
        <v>0</v>
      </c>
      <c r="G57" s="235">
        <f t="shared" si="19"/>
        <v>1.22</v>
      </c>
      <c r="H57" s="215">
        <f t="shared" si="1"/>
        <v>4.88</v>
      </c>
      <c r="I57" s="304">
        <f>VLOOKUP($A57,[6]IRIS!$J:$U,12,FALSE)</f>
        <v>21.873684362062907</v>
      </c>
      <c r="J57" s="237">
        <f t="shared" si="8"/>
        <v>-16.993684362062908</v>
      </c>
      <c r="K57" s="238">
        <f t="shared" si="9"/>
        <v>-0.77690086776310385</v>
      </c>
      <c r="L57" s="259">
        <v>41.19</v>
      </c>
      <c r="M57" s="236">
        <f t="shared" si="4"/>
        <v>46.07</v>
      </c>
      <c r="N57" s="236">
        <v>56.295588963659625</v>
      </c>
      <c r="O57" s="237">
        <f t="shared" si="5"/>
        <v>-10.225588963659625</v>
      </c>
      <c r="P57" s="238">
        <f t="shared" si="6"/>
        <v>-0.1816410335499026</v>
      </c>
      <c r="R57" s="208"/>
      <c r="S57" s="154"/>
      <c r="T57" s="104"/>
      <c r="U57" s="104"/>
    </row>
    <row r="58" spans="1:21" s="3" customFormat="1">
      <c r="A58" s="233" t="s">
        <v>147</v>
      </c>
      <c r="B58" s="234">
        <f>VLOOKUP($A58,'IRIS iTunes data'!$A$138:$B$249,2,FALSE)</f>
        <v>2.98</v>
      </c>
      <c r="C58" s="234">
        <f>VLOOKUP($A58,'IRIS iTunes data'!$G$138:$H$249,2,FALSE)</f>
        <v>10.66</v>
      </c>
      <c r="D58" s="234">
        <f>VLOOKUP($A58,'IRIS iTunes data'!$M$138:$N$249,2,FALSE)</f>
        <v>0</v>
      </c>
      <c r="E58" s="234">
        <f>VLOOKUP($A58,'IRIS iTunes data'!$S$138:$T$249,2,FALSE)</f>
        <v>0</v>
      </c>
      <c r="F58" s="234">
        <f>VLOOKUP($A58,'IRIS iTunes data'!$Y$138:$Z$249,2,FALSE)</f>
        <v>0</v>
      </c>
      <c r="G58" s="235">
        <f t="shared" si="19"/>
        <v>13.64</v>
      </c>
      <c r="H58" s="215">
        <f t="shared" si="1"/>
        <v>27.28</v>
      </c>
      <c r="I58" s="304">
        <f>VLOOKUP($A58,[6]IRIS!$J:$U,12,FALSE)</f>
        <v>47.931500269729504</v>
      </c>
      <c r="J58" s="237">
        <f t="shared" si="8"/>
        <v>-20.651500269729503</v>
      </c>
      <c r="K58" s="238">
        <f t="shared" si="9"/>
        <v>-0.43085445173873854</v>
      </c>
      <c r="L58" s="259">
        <v>43.67</v>
      </c>
      <c r="M58" s="236">
        <f t="shared" si="4"/>
        <v>70.95</v>
      </c>
      <c r="N58" s="236">
        <v>123.35974099892115</v>
      </c>
      <c r="O58" s="237">
        <f t="shared" si="5"/>
        <v>-52.409740998921151</v>
      </c>
      <c r="P58" s="238">
        <f t="shared" si="6"/>
        <v>-0.42485287805021821</v>
      </c>
      <c r="R58" s="208"/>
      <c r="S58" s="154"/>
      <c r="T58" s="104"/>
      <c r="U58" s="104"/>
    </row>
    <row r="59" spans="1:21" s="3" customFormat="1">
      <c r="A59" s="233" t="s">
        <v>148</v>
      </c>
      <c r="B59" s="234">
        <f>VLOOKUP($A59,'IRIS iTunes data'!$A$138:$B$249,2,FALSE)</f>
        <v>0.61</v>
      </c>
      <c r="C59" s="234">
        <f>VLOOKUP($A59,'IRIS iTunes data'!$G$138:$H$249,2,FALSE)</f>
        <v>0</v>
      </c>
      <c r="D59" s="234">
        <f>VLOOKUP($A59,'IRIS iTunes data'!$M$138:$N$249,2,FALSE)</f>
        <v>0</v>
      </c>
      <c r="E59" s="234">
        <f>VLOOKUP($A59,'IRIS iTunes data'!$S$138:$T$249,2,FALSE)</f>
        <v>0</v>
      </c>
      <c r="F59" s="234">
        <f>VLOOKUP($A59,'IRIS iTunes data'!$Y$138:$Z$249,2,FALSE)</f>
        <v>0</v>
      </c>
      <c r="G59" s="235">
        <f t="shared" si="19"/>
        <v>0.61</v>
      </c>
      <c r="H59" s="215">
        <f t="shared" si="1"/>
        <v>2.44</v>
      </c>
      <c r="I59" s="304">
        <f>VLOOKUP($A59,[6]IRIS!$J:$U,12,FALSE)</f>
        <v>6.3670153228889381</v>
      </c>
      <c r="J59" s="237">
        <f t="shared" si="8"/>
        <v>-3.9270153228889382</v>
      </c>
      <c r="K59" s="238">
        <f t="shared" si="9"/>
        <v>-0.61677491316404021</v>
      </c>
      <c r="L59" s="259">
        <v>16.317499999999999</v>
      </c>
      <c r="M59" s="236">
        <f t="shared" si="4"/>
        <v>18.7575</v>
      </c>
      <c r="N59" s="236">
        <v>16.386579947379026</v>
      </c>
      <c r="O59" s="237">
        <f t="shared" si="5"/>
        <v>2.3709200526209742</v>
      </c>
      <c r="P59" s="238">
        <f t="shared" si="6"/>
        <v>0.14468669241748608</v>
      </c>
      <c r="R59" s="208"/>
      <c r="S59" s="154"/>
      <c r="T59" s="104"/>
      <c r="U59" s="104"/>
    </row>
    <row r="60" spans="1:21" s="3" customFormat="1">
      <c r="A60" s="233" t="s">
        <v>153</v>
      </c>
      <c r="B60" s="234">
        <f>VLOOKUP($A60,'IRIS iTunes data'!$A$138:$B$249,2,FALSE)</f>
        <v>0</v>
      </c>
      <c r="C60" s="234">
        <f>VLOOKUP($A60,'IRIS iTunes data'!$G$138:$H$249,2,FALSE)</f>
        <v>1.22</v>
      </c>
      <c r="D60" s="234">
        <f>VLOOKUP($A60,'IRIS iTunes data'!$M$138:$N$249,2,FALSE)</f>
        <v>0</v>
      </c>
      <c r="E60" s="234">
        <f>VLOOKUP($A60,'IRIS iTunes data'!$S$138:$T$249,2,FALSE)</f>
        <v>0</v>
      </c>
      <c r="F60" s="234">
        <f>VLOOKUP($A60,'IRIS iTunes data'!$Y$138:$Z$249,2,FALSE)</f>
        <v>0</v>
      </c>
      <c r="G60" s="235">
        <f t="shared" si="19"/>
        <v>1.22</v>
      </c>
      <c r="H60" s="215">
        <f t="shared" si="1"/>
        <v>4.88</v>
      </c>
      <c r="I60" s="304">
        <f>VLOOKUP($A60,[6]IRIS!$J:$U,12,FALSE)</f>
        <v>13.477085936467303</v>
      </c>
      <c r="J60" s="237">
        <f t="shared" si="8"/>
        <v>-8.5970859364673018</v>
      </c>
      <c r="K60" s="238">
        <f t="shared" si="9"/>
        <v>-0.63790391906641086</v>
      </c>
      <c r="L60" s="259">
        <v>42.089999999999996</v>
      </c>
      <c r="M60" s="236">
        <f t="shared" si="4"/>
        <v>46.97</v>
      </c>
      <c r="N60" s="236">
        <v>34.685537093291401</v>
      </c>
      <c r="O60" s="237">
        <f t="shared" si="5"/>
        <v>12.284462906708598</v>
      </c>
      <c r="P60" s="238">
        <f t="shared" si="6"/>
        <v>0.35416672008473987</v>
      </c>
      <c r="R60" s="208"/>
      <c r="S60" s="154"/>
      <c r="T60" s="104"/>
      <c r="U60" s="104"/>
    </row>
    <row r="61" spans="1:21" s="3" customFormat="1">
      <c r="A61" s="233" t="s">
        <v>155</v>
      </c>
      <c r="B61" s="234">
        <f>VLOOKUP($A61,'IRIS iTunes data'!$A$138:$B$249,2,FALSE)</f>
        <v>0.61</v>
      </c>
      <c r="C61" s="234">
        <f>VLOOKUP($A61,'IRIS iTunes data'!$G$138:$H$249,2,FALSE)</f>
        <v>0</v>
      </c>
      <c r="D61" s="234">
        <f>VLOOKUP($A61,'IRIS iTunes data'!$M$138:$N$249,2,FALSE)</f>
        <v>0</v>
      </c>
      <c r="E61" s="234">
        <f>VLOOKUP($A61,'IRIS iTunes data'!$S$138:$T$249,2,FALSE)</f>
        <v>0</v>
      </c>
      <c r="F61" s="234">
        <f>VLOOKUP($A61,'IRIS iTunes data'!$Y$138:$Z$249,2,FALSE)</f>
        <v>0</v>
      </c>
      <c r="G61" s="235">
        <f t="shared" si="19"/>
        <v>0.61</v>
      </c>
      <c r="H61" s="215">
        <f t="shared" si="1"/>
        <v>2.44</v>
      </c>
      <c r="I61" s="304">
        <f>VLOOKUP($A61,[6]IRIS!$J:$U,12,FALSE)</f>
        <v>7.6949792147085336</v>
      </c>
      <c r="J61" s="237">
        <f t="shared" si="8"/>
        <v>-5.2549792147085341</v>
      </c>
      <c r="K61" s="238">
        <f t="shared" si="9"/>
        <v>-0.68291012465165957</v>
      </c>
      <c r="L61" s="259">
        <v>13.18</v>
      </c>
      <c r="M61" s="236">
        <f t="shared" si="4"/>
        <v>15.62</v>
      </c>
      <c r="N61" s="236">
        <v>19.80431736074852</v>
      </c>
      <c r="O61" s="237">
        <f t="shared" si="5"/>
        <v>-4.1843173607485209</v>
      </c>
      <c r="P61" s="238">
        <f t="shared" si="6"/>
        <v>-0.21128308966820006</v>
      </c>
      <c r="R61" s="208"/>
      <c r="S61" s="154"/>
      <c r="T61" s="104"/>
      <c r="U61" s="104"/>
    </row>
    <row r="62" spans="1:21" s="3" customFormat="1">
      <c r="A62" s="233" t="s">
        <v>172</v>
      </c>
      <c r="B62" s="234">
        <f>VLOOKUP($A62,'IRIS iTunes data'!$A$138:$B$249,2,FALSE)</f>
        <v>0</v>
      </c>
      <c r="C62" s="234">
        <f>VLOOKUP($A62,'IRIS iTunes data'!$G$138:$H$249,2,FALSE)</f>
        <v>0.61</v>
      </c>
      <c r="D62" s="234">
        <f>VLOOKUP($A62,'IRIS iTunes data'!$M$138:$N$249,2,FALSE)</f>
        <v>0</v>
      </c>
      <c r="E62" s="234">
        <f>VLOOKUP($A62,'IRIS iTunes data'!$S$138:$T$249,2,FALSE)</f>
        <v>0</v>
      </c>
      <c r="F62" s="234">
        <f>VLOOKUP($A62,'IRIS iTunes data'!$Y$138:$Z$249,2,FALSE)</f>
        <v>0</v>
      </c>
      <c r="G62" s="235">
        <f t="shared" si="19"/>
        <v>0.61</v>
      </c>
      <c r="H62" s="215">
        <f t="shared" si="1"/>
        <v>2.44</v>
      </c>
      <c r="I62" s="304">
        <f>VLOOKUP($A62,[6]IRIS!$J:$U,12,FALSE)</f>
        <v>3.4974191597608493</v>
      </c>
      <c r="J62" s="237">
        <f t="shared" si="8"/>
        <v>-1.0574191597608493</v>
      </c>
      <c r="K62" s="238">
        <f t="shared" si="9"/>
        <v>-0.30234270227797194</v>
      </c>
      <c r="L62" s="259">
        <v>10.503333333333334</v>
      </c>
      <c r="M62" s="236">
        <f t="shared" si="4"/>
        <v>12.943333333333333</v>
      </c>
      <c r="N62" s="236">
        <v>9.0011937720470936</v>
      </c>
      <c r="O62" s="237">
        <f t="shared" si="5"/>
        <v>3.9421395612862398</v>
      </c>
      <c r="P62" s="238">
        <f t="shared" si="6"/>
        <v>0.43795741555174855</v>
      </c>
      <c r="R62" s="208"/>
      <c r="S62" s="154"/>
      <c r="T62" s="104"/>
      <c r="U62" s="104"/>
    </row>
    <row r="63" spans="1:21" s="3" customFormat="1">
      <c r="A63" s="233" t="s">
        <v>175</v>
      </c>
      <c r="B63" s="234">
        <f>VLOOKUP($A63,'IRIS iTunes data'!$A$138:$B$249,2,FALSE)</f>
        <v>0.61</v>
      </c>
      <c r="C63" s="234">
        <f>VLOOKUP($A63,'IRIS iTunes data'!$G$138:$H$249,2,FALSE)</f>
        <v>1.4</v>
      </c>
      <c r="D63" s="234">
        <f>VLOOKUP($A63,'IRIS iTunes data'!$M$138:$N$249,2,FALSE)</f>
        <v>0</v>
      </c>
      <c r="E63" s="234">
        <f>VLOOKUP($A63,'IRIS iTunes data'!$S$138:$T$249,2,FALSE)</f>
        <v>0</v>
      </c>
      <c r="F63" s="234">
        <f>VLOOKUP($A63,'IRIS iTunes data'!$Y$138:$Z$249,2,FALSE)</f>
        <v>0</v>
      </c>
      <c r="G63" s="235">
        <f t="shared" si="19"/>
        <v>2.0099999999999998</v>
      </c>
      <c r="H63" s="215">
        <f t="shared" si="1"/>
        <v>4.0199999999999996</v>
      </c>
      <c r="I63" s="304">
        <f>VLOOKUP($A63,[6]IRIS!$J:$U,12,FALSE)</f>
        <v>21.61952452088455</v>
      </c>
      <c r="J63" s="237">
        <f t="shared" si="8"/>
        <v>-17.59952452088455</v>
      </c>
      <c r="K63" s="238">
        <f t="shared" si="9"/>
        <v>-0.81405696521601745</v>
      </c>
      <c r="L63" s="259">
        <v>54.47</v>
      </c>
      <c r="M63" s="236">
        <f t="shared" si="4"/>
        <v>58.489999999999995</v>
      </c>
      <c r="N63" s="236">
        <v>55.641466059021688</v>
      </c>
      <c r="O63" s="237">
        <f t="shared" si="5"/>
        <v>2.8485339409783066</v>
      </c>
      <c r="P63" s="238">
        <f t="shared" si="6"/>
        <v>5.1194444408720723E-2</v>
      </c>
      <c r="R63" s="208"/>
      <c r="S63" s="154"/>
      <c r="T63" s="104"/>
      <c r="U63" s="104"/>
    </row>
    <row r="64" spans="1:21" s="3" customFormat="1">
      <c r="A64" s="233" t="s">
        <v>177</v>
      </c>
      <c r="B64" s="234">
        <f>VLOOKUP($A64,'IRIS iTunes data'!$A$138:$B$249,2,FALSE)</f>
        <v>0.61</v>
      </c>
      <c r="C64" s="234">
        <f>VLOOKUP($A64,'IRIS iTunes data'!$G$138:$H$249,2,FALSE)</f>
        <v>0</v>
      </c>
      <c r="D64" s="234">
        <f>VLOOKUP($A64,'IRIS iTunes data'!$M$138:$N$249,2,FALSE)</f>
        <v>0</v>
      </c>
      <c r="E64" s="234">
        <f>VLOOKUP($A64,'IRIS iTunes data'!$S$138:$T$249,2,FALSE)</f>
        <v>0</v>
      </c>
      <c r="F64" s="234">
        <f>VLOOKUP($A64,'IRIS iTunes data'!$Y$138:$Z$249,2,FALSE)</f>
        <v>0</v>
      </c>
      <c r="G64" s="235">
        <f t="shared" si="19"/>
        <v>0.61</v>
      </c>
      <c r="H64" s="215">
        <f t="shared" si="1"/>
        <v>2.44</v>
      </c>
      <c r="I64" s="304">
        <f>VLOOKUP($A64,[6]IRIS!$J:$U,12,FALSE)</f>
        <v>6.6524677902585214</v>
      </c>
      <c r="J64" s="237">
        <f t="shared" si="8"/>
        <v>-4.2124677902585219</v>
      </c>
      <c r="K64" s="238">
        <f t="shared" si="9"/>
        <v>-0.63321881789897716</v>
      </c>
      <c r="L64" s="259">
        <v>27.449999999999996</v>
      </c>
      <c r="M64" s="236">
        <f t="shared" si="4"/>
        <v>29.889999999999997</v>
      </c>
      <c r="N64" s="236">
        <v>17.121239664768538</v>
      </c>
      <c r="O64" s="237">
        <f t="shared" si="5"/>
        <v>12.768760335231459</v>
      </c>
      <c r="P64" s="238">
        <f t="shared" si="6"/>
        <v>0.74578480210790743</v>
      </c>
      <c r="R64" s="208"/>
      <c r="S64" s="154"/>
      <c r="T64" s="104"/>
      <c r="U64" s="104"/>
    </row>
    <row r="65" spans="1:21" s="3" customFormat="1">
      <c r="A65" s="233" t="s">
        <v>178</v>
      </c>
      <c r="B65" s="234">
        <f>VLOOKUP($A65,'IRIS iTunes data'!$A$138:$B$249,2,FALSE)</f>
        <v>15.249999999999993</v>
      </c>
      <c r="C65" s="234">
        <f>VLOOKUP($A65,'IRIS iTunes data'!$G$138:$H$249,2,FALSE)</f>
        <v>76.429999999999993</v>
      </c>
      <c r="D65" s="234">
        <f>VLOOKUP($A65,'IRIS iTunes data'!$M$138:$N$249,2,FALSE)</f>
        <v>0</v>
      </c>
      <c r="E65" s="234">
        <f>VLOOKUP($A65,'IRIS iTunes data'!$S$138:$T$249,2,FALSE)</f>
        <v>0</v>
      </c>
      <c r="F65" s="234">
        <f>VLOOKUP($A65,'IRIS iTunes data'!$Y$138:$Z$249,2,FALSE)</f>
        <v>0</v>
      </c>
      <c r="G65" s="235">
        <f t="shared" si="19"/>
        <v>91.679999999999978</v>
      </c>
      <c r="H65" s="215">
        <f t="shared" si="1"/>
        <v>183.35999999999996</v>
      </c>
      <c r="I65" s="304">
        <f>VLOOKUP($A65,[6]IRIS!$J:$U,12,FALSE)</f>
        <v>57.043762753019188</v>
      </c>
      <c r="J65" s="237">
        <f t="shared" si="8"/>
        <v>126.31623724698076</v>
      </c>
      <c r="K65" s="238">
        <f t="shared" si="9"/>
        <v>2.2143742128984147</v>
      </c>
      <c r="L65" s="259">
        <v>88.2</v>
      </c>
      <c r="M65" s="236">
        <f t="shared" si="4"/>
        <v>271.55999999999995</v>
      </c>
      <c r="N65" s="236">
        <v>146.81167414366152</v>
      </c>
      <c r="O65" s="237">
        <f t="shared" si="5"/>
        <v>124.74832585633843</v>
      </c>
      <c r="P65" s="238">
        <f t="shared" si="6"/>
        <v>0.84971666309224725</v>
      </c>
      <c r="R65" s="208"/>
      <c r="S65" s="154"/>
      <c r="T65" s="104"/>
      <c r="U65" s="104"/>
    </row>
    <row r="66" spans="1:21" s="3" customFormat="1">
      <c r="A66" s="233" t="s">
        <v>195</v>
      </c>
      <c r="B66" s="234">
        <f>VLOOKUP($A66,'IRIS iTunes data'!$A$138:$B$249,2,FALSE)</f>
        <v>6.1000000000000005</v>
      </c>
      <c r="C66" s="234">
        <f>VLOOKUP($A66,'IRIS iTunes data'!$G$138:$H$249,2,FALSE)</f>
        <v>0</v>
      </c>
      <c r="D66" s="234">
        <f>VLOOKUP($A66,'IRIS iTunes data'!$M$138:$N$249,2,FALSE)</f>
        <v>0</v>
      </c>
      <c r="E66" s="234">
        <f>VLOOKUP($A66,'IRIS iTunes data'!$S$138:$T$249,2,FALSE)</f>
        <v>0</v>
      </c>
      <c r="F66" s="234">
        <f>VLOOKUP($A66,'IRIS iTunes data'!$Y$138:$Z$249,2,FALSE)</f>
        <v>0</v>
      </c>
      <c r="G66" s="235">
        <f t="shared" si="19"/>
        <v>6.1000000000000005</v>
      </c>
      <c r="H66" s="215">
        <f t="shared" si="1"/>
        <v>24.400000000000002</v>
      </c>
      <c r="I66" s="304">
        <f>VLOOKUP($A66,[6]IRIS!$J:$U,12,FALSE)</f>
        <v>27.597682202017438</v>
      </c>
      <c r="J66" s="237">
        <f t="shared" si="8"/>
        <v>-3.197682202017436</v>
      </c>
      <c r="K66" s="238">
        <f t="shared" si="9"/>
        <v>-0.11586778116401673</v>
      </c>
      <c r="L66" s="259">
        <v>33.887499999999996</v>
      </c>
      <c r="M66" s="236">
        <f t="shared" si="4"/>
        <v>58.287499999999994</v>
      </c>
      <c r="N66" s="236">
        <v>71.02725575985022</v>
      </c>
      <c r="O66" s="237">
        <f t="shared" si="5"/>
        <v>-12.739755759850226</v>
      </c>
      <c r="P66" s="238">
        <f t="shared" si="6"/>
        <v>-0.17936432463228663</v>
      </c>
      <c r="R66" s="208"/>
      <c r="S66" s="154"/>
      <c r="T66" s="104"/>
      <c r="U66" s="104"/>
    </row>
    <row r="67" spans="1:21">
      <c r="A67" s="214" t="s">
        <v>100</v>
      </c>
      <c r="B67" s="226">
        <f>'IRIS iTunes data'!B130</f>
        <v>132.216992</v>
      </c>
      <c r="C67" s="226">
        <f>'IRIS iTunes data'!H130</f>
        <v>130.22883099999999</v>
      </c>
      <c r="D67" s="226">
        <f>'IRIS iTunes data'!N130</f>
        <v>0</v>
      </c>
      <c r="E67" s="226">
        <f>'IRIS iTunes data'!T130</f>
        <v>0</v>
      </c>
      <c r="F67" s="226">
        <f>'IRIS iTunes data'!Z130</f>
        <v>0</v>
      </c>
      <c r="G67" s="227">
        <f>SUM(B67:F67)</f>
        <v>262.44582300000002</v>
      </c>
      <c r="H67" s="215">
        <f t="shared" si="1"/>
        <v>524.89164600000004</v>
      </c>
      <c r="I67" s="306">
        <f>SUM(I68:I80)</f>
        <v>1437.3129579606368</v>
      </c>
      <c r="J67" s="219">
        <f t="shared" si="8"/>
        <v>-912.42131196063679</v>
      </c>
      <c r="K67" s="220">
        <f t="shared" si="9"/>
        <v>-0.63481046831668853</v>
      </c>
      <c r="L67" s="258">
        <v>1635.3407686</v>
      </c>
      <c r="M67" s="229">
        <f t="shared" si="4"/>
        <v>2160.2324146000001</v>
      </c>
      <c r="N67" s="229">
        <v>3699.165543132247</v>
      </c>
      <c r="O67" s="219">
        <f t="shared" si="5"/>
        <v>-1538.9331285322469</v>
      </c>
      <c r="P67" s="220">
        <f t="shared" si="6"/>
        <v>-0.41602169748509393</v>
      </c>
      <c r="R67">
        <f>I67/$I$127</f>
        <v>5.2039239552001508E-3</v>
      </c>
      <c r="S67" s="148">
        <f>R67*$S$127</f>
        <v>1307.2148590806332</v>
      </c>
      <c r="T67" s="104"/>
      <c r="U67" s="104"/>
    </row>
    <row r="68" spans="1:21" s="3" customFormat="1">
      <c r="A68" s="233" t="s">
        <v>137</v>
      </c>
      <c r="B68" s="234">
        <f>VLOOKUP($A68,'IRIS iTunes data'!$A$138:$B$249,2,FALSE)</f>
        <v>0</v>
      </c>
      <c r="C68" s="234">
        <f>VLOOKUP($A68,'IRIS iTunes data'!$G$138:$H$249,2,FALSE)</f>
        <v>1.24</v>
      </c>
      <c r="D68" s="234">
        <f>VLOOKUP($A68,'IRIS iTunes data'!$M$138:$N$249,2,FALSE)</f>
        <v>0</v>
      </c>
      <c r="E68" s="234">
        <f>VLOOKUP($A68,'IRIS iTunes data'!$S$138:$T$249,2,FALSE)</f>
        <v>0</v>
      </c>
      <c r="F68" s="234">
        <f>VLOOKUP($A68,'IRIS iTunes data'!$Y$138:$Z$249,2,FALSE)</f>
        <v>0</v>
      </c>
      <c r="G68" s="235">
        <f t="shared" ref="G68:G80" si="20">SUM(B68:F68)</f>
        <v>1.24</v>
      </c>
      <c r="H68" s="215">
        <f t="shared" si="1"/>
        <v>4.96</v>
      </c>
      <c r="I68" s="304">
        <f>VLOOKUP($A68,[6]IRIS!$J:$U,12,FALSE)</f>
        <v>4.0848220839503826</v>
      </c>
      <c r="J68" s="237">
        <f t="shared" si="8"/>
        <v>0.87517791604961737</v>
      </c>
      <c r="K68" s="238">
        <f t="shared" si="9"/>
        <v>0.21425117130272742</v>
      </c>
      <c r="L68" s="259">
        <v>3.1</v>
      </c>
      <c r="M68" s="236">
        <f t="shared" si="4"/>
        <v>8.06</v>
      </c>
      <c r="N68" s="236">
        <v>10.512973544894972</v>
      </c>
      <c r="O68" s="237">
        <f t="shared" si="5"/>
        <v>-2.4529735448949719</v>
      </c>
      <c r="P68" s="238">
        <f t="shared" si="6"/>
        <v>-0.23332823338893677</v>
      </c>
      <c r="R68" s="208"/>
      <c r="S68" s="154"/>
      <c r="T68" s="104"/>
      <c r="U68" s="104"/>
    </row>
    <row r="69" spans="1:21" s="3" customFormat="1">
      <c r="A69" s="233" t="s">
        <v>139</v>
      </c>
      <c r="B69" s="234">
        <f>VLOOKUP($A69,'IRIS iTunes data'!$A$138:$B$249,2,FALSE)</f>
        <v>0</v>
      </c>
      <c r="C69" s="234">
        <f>VLOOKUP($A69,'IRIS iTunes data'!$G$138:$H$249,2,FALSE)</f>
        <v>0</v>
      </c>
      <c r="D69" s="234">
        <f>VLOOKUP($A69,'IRIS iTunes data'!$M$138:$N$249,2,FALSE)</f>
        <v>0</v>
      </c>
      <c r="E69" s="234">
        <f>VLOOKUP($A69,'IRIS iTunes data'!$S$138:$T$249,2,FALSE)</f>
        <v>0</v>
      </c>
      <c r="F69" s="234">
        <f>VLOOKUP($A69,'IRIS iTunes data'!$Y$138:$Z$249,2,FALSE)</f>
        <v>0</v>
      </c>
      <c r="G69" s="235">
        <f t="shared" si="20"/>
        <v>0</v>
      </c>
      <c r="H69" s="215">
        <f t="shared" ref="H69:H125" si="21">IFERROR((((B69+C69+D69+E69+F69))/COUNTIF(B69:F69, "&gt;0")*4),0)</f>
        <v>0</v>
      </c>
      <c r="I69" s="304">
        <f>VLOOKUP($A69,[6]IRIS!$J:$U,12,FALSE)</f>
        <v>1.4209761454451828</v>
      </c>
      <c r="J69" s="237">
        <f t="shared" si="8"/>
        <v>-1.4209761454451828</v>
      </c>
      <c r="K69" s="238">
        <f t="shared" si="9"/>
        <v>-1</v>
      </c>
      <c r="L69" s="259">
        <v>8.1</v>
      </c>
      <c r="M69" s="236">
        <f t="shared" ref="M69:M125" si="22">L69+H69</f>
        <v>8.1</v>
      </c>
      <c r="N69" s="236">
        <v>3.6571200208908516</v>
      </c>
      <c r="O69" s="237">
        <f t="shared" ref="O69:O80" si="23">M69-N69</f>
        <v>4.442879979109148</v>
      </c>
      <c r="P69" s="238">
        <f t="shared" ref="P69:P124" si="24">O69/N69</f>
        <v>1.2148575802078516</v>
      </c>
      <c r="R69" s="208"/>
      <c r="S69" s="154"/>
      <c r="T69" s="104"/>
      <c r="U69" s="104"/>
    </row>
    <row r="70" spans="1:21" s="3" customFormat="1">
      <c r="A70" s="233" t="s">
        <v>156</v>
      </c>
      <c r="B70" s="234">
        <f>VLOOKUP($A70,'IRIS iTunes data'!$A$138:$B$249,2,FALSE)</f>
        <v>27.966143999999993</v>
      </c>
      <c r="C70" s="234">
        <f>VLOOKUP($A70,'IRIS iTunes data'!$G$138:$H$249,2,FALSE)</f>
        <v>23.686663999999997</v>
      </c>
      <c r="D70" s="234">
        <f>VLOOKUP($A70,'IRIS iTunes data'!$M$138:$N$249,2,FALSE)</f>
        <v>0</v>
      </c>
      <c r="E70" s="234">
        <f>VLOOKUP($A70,'IRIS iTunes data'!$S$138:$T$249,2,FALSE)</f>
        <v>0</v>
      </c>
      <c r="F70" s="234">
        <f>VLOOKUP($A70,'IRIS iTunes data'!$Y$138:$Z$249,2,FALSE)</f>
        <v>0</v>
      </c>
      <c r="G70" s="235">
        <f t="shared" si="20"/>
        <v>51.652807999999993</v>
      </c>
      <c r="H70" s="215">
        <f t="shared" si="21"/>
        <v>103.30561599999999</v>
      </c>
      <c r="I70" s="304">
        <f>VLOOKUP($A70,[6]IRIS!$J:$U,12,FALSE)</f>
        <v>306.24120357603465</v>
      </c>
      <c r="J70" s="237">
        <f t="shared" si="8"/>
        <v>-202.93558757603466</v>
      </c>
      <c r="K70" s="238">
        <f t="shared" si="9"/>
        <v>-0.66266585033731129</v>
      </c>
      <c r="L70" s="259">
        <v>200.49383699999998</v>
      </c>
      <c r="M70" s="236">
        <f t="shared" si="22"/>
        <v>303.79945299999997</v>
      </c>
      <c r="N70" s="236">
        <v>788.16301062446814</v>
      </c>
      <c r="O70" s="237">
        <f t="shared" si="23"/>
        <v>-484.36355762446817</v>
      </c>
      <c r="P70" s="238">
        <f t="shared" si="24"/>
        <v>-0.61454743637449172</v>
      </c>
      <c r="R70" s="208"/>
      <c r="S70" s="154"/>
      <c r="T70" s="104"/>
      <c r="U70" s="104"/>
    </row>
    <row r="71" spans="1:21" s="3" customFormat="1">
      <c r="A71" s="233" t="s">
        <v>201</v>
      </c>
      <c r="B71" s="234">
        <f>VLOOKUP($A71,'IRIS iTunes data'!$A$138:$B$249,2,FALSE)</f>
        <v>0</v>
      </c>
      <c r="C71" s="234">
        <f>VLOOKUP($A71,'IRIS iTunes data'!$G$138:$H$249,2,FALSE)</f>
        <v>0</v>
      </c>
      <c r="D71" s="234">
        <f>VLOOKUP($A71,'IRIS iTunes data'!$M$138:$N$249,2,FALSE)</f>
        <v>0</v>
      </c>
      <c r="E71" s="234">
        <f>VLOOKUP($A71,'IRIS iTunes data'!$S$138:$T$249,2,FALSE)</f>
        <v>0</v>
      </c>
      <c r="F71" s="234">
        <f>VLOOKUP($A71,'IRIS iTunes data'!$Y$138:$Z$249,2,FALSE)</f>
        <v>0</v>
      </c>
      <c r="G71" s="235">
        <f t="shared" si="20"/>
        <v>0</v>
      </c>
      <c r="H71" s="215">
        <f t="shared" si="21"/>
        <v>0</v>
      </c>
      <c r="I71" s="304">
        <f>VLOOKUP($A71,[6]IRIS!$J:$U,12,FALSE)</f>
        <v>0.20303349283368921</v>
      </c>
      <c r="J71" s="237">
        <f t="shared" si="8"/>
        <v>-0.20303349283368921</v>
      </c>
      <c r="K71" s="238">
        <f t="shared" si="9"/>
        <v>-1</v>
      </c>
      <c r="L71" s="259">
        <v>0</v>
      </c>
      <c r="M71" s="236">
        <f t="shared" si="22"/>
        <v>0</v>
      </c>
      <c r="N71" s="236">
        <v>0.52254068721249225</v>
      </c>
      <c r="O71" s="237">
        <f t="shared" si="23"/>
        <v>-0.52254068721249225</v>
      </c>
      <c r="P71" s="238">
        <f t="shared" si="24"/>
        <v>-1</v>
      </c>
      <c r="R71" s="208"/>
      <c r="S71" s="154"/>
      <c r="T71" s="104"/>
      <c r="U71" s="104"/>
    </row>
    <row r="72" spans="1:21" s="3" customFormat="1">
      <c r="A72" s="233" t="s">
        <v>163</v>
      </c>
      <c r="B72" s="234">
        <f>VLOOKUP($A72,'IRIS iTunes data'!$A$138:$B$249,2,FALSE)</f>
        <v>6.2</v>
      </c>
      <c r="C72" s="234">
        <f>VLOOKUP($A72,'IRIS iTunes data'!$G$138:$H$249,2,FALSE)</f>
        <v>12.399999999999995</v>
      </c>
      <c r="D72" s="234">
        <f>VLOOKUP($A72,'IRIS iTunes data'!$M$138:$N$249,2,FALSE)</f>
        <v>0</v>
      </c>
      <c r="E72" s="234">
        <f>VLOOKUP($A72,'IRIS iTunes data'!$S$138:$T$249,2,FALSE)</f>
        <v>0</v>
      </c>
      <c r="F72" s="234">
        <f>VLOOKUP($A72,'IRIS iTunes data'!$Y$138:$Z$249,2,FALSE)</f>
        <v>0</v>
      </c>
      <c r="G72" s="235">
        <f t="shared" si="20"/>
        <v>18.599999999999994</v>
      </c>
      <c r="H72" s="215">
        <f t="shared" si="21"/>
        <v>37.199999999999989</v>
      </c>
      <c r="I72" s="304">
        <f>VLOOKUP($A72,[6]IRIS!$J:$U,12,FALSE)</f>
        <v>8.6296983970952379</v>
      </c>
      <c r="J72" s="237">
        <f t="shared" ref="J72:J80" si="25">H72-I72</f>
        <v>28.570301602904749</v>
      </c>
      <c r="K72" s="238">
        <f t="shared" si="9"/>
        <v>3.3106952628288298</v>
      </c>
      <c r="L72" s="259">
        <v>12.904999999999999</v>
      </c>
      <c r="M72" s="236">
        <f t="shared" si="22"/>
        <v>50.10499999999999</v>
      </c>
      <c r="N72" s="236">
        <v>22.209973674385076</v>
      </c>
      <c r="O72" s="237">
        <f t="shared" si="23"/>
        <v>27.895026325614914</v>
      </c>
      <c r="P72" s="238">
        <f t="shared" si="24"/>
        <v>1.2559684551894112</v>
      </c>
      <c r="R72" s="208"/>
      <c r="S72" s="154"/>
      <c r="T72" s="104"/>
      <c r="U72" s="104"/>
    </row>
    <row r="73" spans="1:21" s="3" customFormat="1">
      <c r="A73" s="233" t="s">
        <v>164</v>
      </c>
      <c r="B73" s="234">
        <f>VLOOKUP($A73,'IRIS iTunes data'!$A$138:$B$249,2,FALSE)</f>
        <v>10.98</v>
      </c>
      <c r="C73" s="234">
        <f>VLOOKUP($A73,'IRIS iTunes data'!$G$138:$H$249,2,FALSE)</f>
        <v>17.979999999999997</v>
      </c>
      <c r="D73" s="234">
        <f>VLOOKUP($A73,'IRIS iTunes data'!$M$138:$N$249,2,FALSE)</f>
        <v>0</v>
      </c>
      <c r="E73" s="234">
        <f>VLOOKUP($A73,'IRIS iTunes data'!$S$138:$T$249,2,FALSE)</f>
        <v>0</v>
      </c>
      <c r="F73" s="234">
        <f>VLOOKUP($A73,'IRIS iTunes data'!$Y$138:$Z$249,2,FALSE)</f>
        <v>0</v>
      </c>
      <c r="G73" s="235">
        <f t="shared" si="20"/>
        <v>28.959999999999997</v>
      </c>
      <c r="H73" s="215">
        <f t="shared" si="21"/>
        <v>57.919999999999995</v>
      </c>
      <c r="I73" s="304">
        <f>VLOOKUP($A73,[6]IRIS!$J:$U,12,FALSE)</f>
        <v>175.90656531922346</v>
      </c>
      <c r="J73" s="237">
        <f t="shared" si="25"/>
        <v>-117.98656531922347</v>
      </c>
      <c r="K73" s="238">
        <f t="shared" si="9"/>
        <v>-0.67073429070205171</v>
      </c>
      <c r="L73" s="259">
        <v>213.92000000000002</v>
      </c>
      <c r="M73" s="236">
        <f t="shared" si="22"/>
        <v>271.84000000000003</v>
      </c>
      <c r="N73" s="236">
        <v>452.72499745837121</v>
      </c>
      <c r="O73" s="237">
        <f t="shared" si="23"/>
        <v>-180.88499745837117</v>
      </c>
      <c r="P73" s="238">
        <f t="shared" si="24"/>
        <v>-0.399547183110877</v>
      </c>
      <c r="R73" s="208"/>
      <c r="S73" s="154"/>
      <c r="T73" s="104"/>
      <c r="U73" s="104"/>
    </row>
    <row r="74" spans="1:21" s="3" customFormat="1">
      <c r="A74" s="233" t="s">
        <v>168</v>
      </c>
      <c r="B74" s="234">
        <f>VLOOKUP($A74,'IRIS iTunes data'!$A$138:$B$249,2,FALSE)</f>
        <v>0</v>
      </c>
      <c r="C74" s="234">
        <f>VLOOKUP($A74,'IRIS iTunes data'!$G$138:$H$249,2,FALSE)</f>
        <v>0</v>
      </c>
      <c r="D74" s="234">
        <f>VLOOKUP($A74,'IRIS iTunes data'!$M$138:$N$249,2,FALSE)</f>
        <v>0</v>
      </c>
      <c r="E74" s="234">
        <f>VLOOKUP($A74,'IRIS iTunes data'!$S$138:$T$249,2,FALSE)</f>
        <v>0</v>
      </c>
      <c r="F74" s="234">
        <f>VLOOKUP($A74,'IRIS iTunes data'!$Y$138:$Z$249,2,FALSE)</f>
        <v>0</v>
      </c>
      <c r="G74" s="235">
        <f t="shared" si="20"/>
        <v>0</v>
      </c>
      <c r="H74" s="215">
        <f t="shared" si="21"/>
        <v>0</v>
      </c>
      <c r="I74" s="304">
        <f>VLOOKUP($A74,[6]IRIS!$J:$U,12,FALSE)</f>
        <v>0.86663787599161501</v>
      </c>
      <c r="J74" s="237">
        <f t="shared" si="25"/>
        <v>-0.86663787599161501</v>
      </c>
      <c r="K74" s="238">
        <f t="shared" si="9"/>
        <v>-1</v>
      </c>
      <c r="L74" s="259">
        <v>2.48</v>
      </c>
      <c r="M74" s="236">
        <f t="shared" si="22"/>
        <v>2.48</v>
      </c>
      <c r="N74" s="236">
        <v>2.2304376729408828</v>
      </c>
      <c r="O74" s="237">
        <f t="shared" si="23"/>
        <v>0.24956232705911718</v>
      </c>
      <c r="P74" s="238">
        <f t="shared" si="24"/>
        <v>0.11188939735314979</v>
      </c>
      <c r="R74" s="208"/>
      <c r="S74" s="154"/>
      <c r="T74" s="104"/>
      <c r="U74" s="104"/>
    </row>
    <row r="75" spans="1:21" s="3" customFormat="1">
      <c r="A75" s="233" t="s">
        <v>179</v>
      </c>
      <c r="B75" s="234">
        <f>VLOOKUP($A75,'IRIS iTunes data'!$A$138:$B$249,2,FALSE)</f>
        <v>22.320000000000004</v>
      </c>
      <c r="C75" s="234">
        <f>VLOOKUP($A75,'IRIS iTunes data'!$G$138:$H$249,2,FALSE)</f>
        <v>15.439999999999991</v>
      </c>
      <c r="D75" s="234">
        <f>VLOOKUP($A75,'IRIS iTunes data'!$M$138:$N$249,2,FALSE)</f>
        <v>0</v>
      </c>
      <c r="E75" s="234">
        <f>VLOOKUP($A75,'IRIS iTunes data'!$S$138:$T$249,2,FALSE)</f>
        <v>0</v>
      </c>
      <c r="F75" s="234">
        <f>VLOOKUP($A75,'IRIS iTunes data'!$Y$138:$Z$249,2,FALSE)</f>
        <v>0</v>
      </c>
      <c r="G75" s="235">
        <f t="shared" si="20"/>
        <v>37.759999999999991</v>
      </c>
      <c r="H75" s="215">
        <f t="shared" si="21"/>
        <v>75.519999999999982</v>
      </c>
      <c r="I75" s="304">
        <f>VLOOKUP($A75,[6]IRIS!$J:$U,12,FALSE)</f>
        <v>151.68513450616925</v>
      </c>
      <c r="J75" s="237">
        <f t="shared" si="25"/>
        <v>-76.165134506169267</v>
      </c>
      <c r="K75" s="238">
        <f t="shared" si="9"/>
        <v>-0.50212655811088414</v>
      </c>
      <c r="L75" s="259">
        <v>246.85999999999999</v>
      </c>
      <c r="M75" s="236">
        <f t="shared" si="22"/>
        <v>322.38</v>
      </c>
      <c r="N75" s="236">
        <v>390.38708992559458</v>
      </c>
      <c r="O75" s="237">
        <f t="shared" si="23"/>
        <v>-68.007089925594585</v>
      </c>
      <c r="P75" s="238">
        <f t="shared" si="24"/>
        <v>-0.17420424927104103</v>
      </c>
      <c r="R75" s="208"/>
      <c r="S75" s="154"/>
      <c r="T75" s="104"/>
      <c r="U75" s="104"/>
    </row>
    <row r="76" spans="1:21" s="3" customFormat="1">
      <c r="A76" s="233" t="s">
        <v>182</v>
      </c>
      <c r="B76" s="234">
        <f>VLOOKUP($A76,'IRIS iTunes data'!$A$138:$B$249,2,FALSE)</f>
        <v>46.557227999999995</v>
      </c>
      <c r="C76" s="234">
        <f>VLOOKUP($A76,'IRIS iTunes data'!$G$138:$H$249,2,FALSE)</f>
        <v>34.18748699999999</v>
      </c>
      <c r="D76" s="234">
        <f>VLOOKUP($A76,'IRIS iTunes data'!$M$138:$N$249,2,FALSE)</f>
        <v>0</v>
      </c>
      <c r="E76" s="234">
        <f>VLOOKUP($A76,'IRIS iTunes data'!$S$138:$T$249,2,FALSE)</f>
        <v>0</v>
      </c>
      <c r="F76" s="234">
        <f>VLOOKUP($A76,'IRIS iTunes data'!$Y$138:$Z$249,2,FALSE)</f>
        <v>0</v>
      </c>
      <c r="G76" s="235">
        <f t="shared" si="20"/>
        <v>80.744714999999985</v>
      </c>
      <c r="H76" s="215">
        <f t="shared" si="21"/>
        <v>161.48942999999997</v>
      </c>
      <c r="I76" s="304">
        <f>VLOOKUP($A76,[6]IRIS!$J:$U,12,FALSE)</f>
        <v>349.99668357054662</v>
      </c>
      <c r="J76" s="237">
        <f t="shared" si="25"/>
        <v>-188.50725357054665</v>
      </c>
      <c r="K76" s="238">
        <f t="shared" si="9"/>
        <v>-0.53859725654386215</v>
      </c>
      <c r="L76" s="259">
        <v>473.66311160000004</v>
      </c>
      <c r="M76" s="236">
        <f t="shared" si="22"/>
        <v>635.15254159999995</v>
      </c>
      <c r="N76" s="236">
        <v>900.77506426417642</v>
      </c>
      <c r="O76" s="237">
        <f t="shared" si="23"/>
        <v>-265.62252266417647</v>
      </c>
      <c r="P76" s="238">
        <f t="shared" si="24"/>
        <v>-0.29488218890823509</v>
      </c>
      <c r="R76" s="208"/>
      <c r="S76" s="154"/>
      <c r="T76" s="104"/>
      <c r="U76" s="104"/>
    </row>
    <row r="77" spans="1:21" s="3" customFormat="1">
      <c r="A77" s="233" t="s">
        <v>184</v>
      </c>
      <c r="B77" s="234">
        <f>VLOOKUP($A77,'IRIS iTunes data'!$A$138:$B$249,2,FALSE)</f>
        <v>0</v>
      </c>
      <c r="C77" s="234">
        <f>VLOOKUP($A77,'IRIS iTunes data'!$G$138:$H$249,2,FALSE)</f>
        <v>0.62</v>
      </c>
      <c r="D77" s="234">
        <f>VLOOKUP($A77,'IRIS iTunes data'!$M$138:$N$249,2,FALSE)</f>
        <v>0</v>
      </c>
      <c r="E77" s="234">
        <f>VLOOKUP($A77,'IRIS iTunes data'!$S$138:$T$249,2,FALSE)</f>
        <v>0</v>
      </c>
      <c r="F77" s="234">
        <f>VLOOKUP($A77,'IRIS iTunes data'!$Y$138:$Z$249,2,FALSE)</f>
        <v>0</v>
      </c>
      <c r="G77" s="235">
        <f t="shared" si="20"/>
        <v>0.62</v>
      </c>
      <c r="H77" s="215">
        <f t="shared" si="21"/>
        <v>2.48</v>
      </c>
      <c r="I77" s="304">
        <f>VLOOKUP($A77,[6]IRIS!$J:$U,12,FALSE)</f>
        <v>11.072041504541987</v>
      </c>
      <c r="J77" s="237">
        <f t="shared" si="25"/>
        <v>-8.5920415045419869</v>
      </c>
      <c r="K77" s="238">
        <f t="shared" si="9"/>
        <v>-0.77601240033442331</v>
      </c>
      <c r="L77" s="259">
        <v>29.604999999999997</v>
      </c>
      <c r="M77" s="236">
        <f t="shared" si="22"/>
        <v>32.084999999999994</v>
      </c>
      <c r="N77" s="236">
        <v>28.495752576978802</v>
      </c>
      <c r="O77" s="237">
        <f t="shared" si="23"/>
        <v>3.5892474230211917</v>
      </c>
      <c r="P77" s="238">
        <f t="shared" si="24"/>
        <v>0.12595727778465057</v>
      </c>
      <c r="R77" s="208"/>
      <c r="S77" s="154"/>
      <c r="T77" s="104"/>
      <c r="U77" s="104"/>
    </row>
    <row r="78" spans="1:21" s="3" customFormat="1">
      <c r="A78" s="233" t="s">
        <v>186</v>
      </c>
      <c r="B78" s="234">
        <f>VLOOKUP($A78,'IRIS iTunes data'!$A$138:$B$249,2,FALSE)</f>
        <v>14.47362</v>
      </c>
      <c r="C78" s="234">
        <f>VLOOKUP($A78,'IRIS iTunes data'!$G$138:$H$249,2,FALSE)</f>
        <v>12.27468</v>
      </c>
      <c r="D78" s="234">
        <f>VLOOKUP($A78,'IRIS iTunes data'!$M$138:$N$249,2,FALSE)</f>
        <v>0</v>
      </c>
      <c r="E78" s="234">
        <f>VLOOKUP($A78,'IRIS iTunes data'!$S$138:$T$249,2,FALSE)</f>
        <v>0</v>
      </c>
      <c r="F78" s="234">
        <f>VLOOKUP($A78,'IRIS iTunes data'!$Y$138:$Z$249,2,FALSE)</f>
        <v>0</v>
      </c>
      <c r="G78" s="235">
        <f t="shared" si="20"/>
        <v>26.7483</v>
      </c>
      <c r="H78" s="215">
        <f t="shared" si="21"/>
        <v>53.496600000000001</v>
      </c>
      <c r="I78" s="304">
        <f>VLOOKUP($A78,[6]IRIS!$J:$U,12,FALSE)</f>
        <v>238.38087991524537</v>
      </c>
      <c r="J78" s="237">
        <f t="shared" si="25"/>
        <v>-184.88427991524537</v>
      </c>
      <c r="K78" s="238">
        <f t="shared" si="9"/>
        <v>-0.77558351148372162</v>
      </c>
      <c r="L78" s="259">
        <v>289.52382</v>
      </c>
      <c r="M78" s="236">
        <f t="shared" si="22"/>
        <v>343.02042</v>
      </c>
      <c r="N78" s="236">
        <v>613.51310599411681</v>
      </c>
      <c r="O78" s="237">
        <f t="shared" si="23"/>
        <v>-270.49268599411681</v>
      </c>
      <c r="P78" s="238">
        <f t="shared" si="24"/>
        <v>-0.44089145505020499</v>
      </c>
      <c r="R78" s="208"/>
      <c r="S78" s="154"/>
      <c r="T78" s="104"/>
      <c r="U78" s="104"/>
    </row>
    <row r="79" spans="1:21" s="3" customFormat="1">
      <c r="A79" s="233" t="s">
        <v>188</v>
      </c>
      <c r="B79" s="234">
        <f>VLOOKUP($A79,'IRIS iTunes data'!$A$138:$B$249,2,FALSE)</f>
        <v>3.1</v>
      </c>
      <c r="C79" s="234">
        <f>VLOOKUP($A79,'IRIS iTunes data'!$G$138:$H$249,2,FALSE)</f>
        <v>11.78</v>
      </c>
      <c r="D79" s="234">
        <f>VLOOKUP($A79,'IRIS iTunes data'!$M$138:$N$249,2,FALSE)</f>
        <v>0</v>
      </c>
      <c r="E79" s="234">
        <f>VLOOKUP($A79,'IRIS iTunes data'!$S$138:$T$249,2,FALSE)</f>
        <v>0</v>
      </c>
      <c r="F79" s="234">
        <f>VLOOKUP($A79,'IRIS iTunes data'!$Y$138:$Z$249,2,FALSE)</f>
        <v>0</v>
      </c>
      <c r="G79" s="235">
        <f t="shared" si="20"/>
        <v>14.879999999999999</v>
      </c>
      <c r="H79" s="215">
        <f t="shared" si="21"/>
        <v>29.759999999999998</v>
      </c>
      <c r="I79" s="304">
        <f>VLOOKUP($A79,[6]IRIS!$J:$U,12,FALSE)</f>
        <v>178.99727230419936</v>
      </c>
      <c r="J79" s="237">
        <f t="shared" si="25"/>
        <v>-149.23727230419937</v>
      </c>
      <c r="K79" s="238">
        <f t="shared" si="9"/>
        <v>-0.8337404832101355</v>
      </c>
      <c r="L79" s="259">
        <v>167.57</v>
      </c>
      <c r="M79" s="236">
        <f t="shared" si="22"/>
        <v>197.32999999999998</v>
      </c>
      <c r="N79" s="236">
        <v>460.67944935377682</v>
      </c>
      <c r="O79" s="237">
        <f t="shared" si="23"/>
        <v>-263.34944935377683</v>
      </c>
      <c r="P79" s="238">
        <f t="shared" si="24"/>
        <v>-0.57165443286691686</v>
      </c>
      <c r="R79" s="208"/>
      <c r="S79" s="154"/>
      <c r="T79" s="104"/>
      <c r="U79" s="104"/>
    </row>
    <row r="80" spans="1:21" s="3" customFormat="1">
      <c r="A80" s="233" t="s">
        <v>196</v>
      </c>
      <c r="B80" s="234">
        <f>VLOOKUP($A80,'IRIS iTunes data'!$A$138:$B$249,2,FALSE)</f>
        <v>0.62</v>
      </c>
      <c r="C80" s="234">
        <f>VLOOKUP($A80,'IRIS iTunes data'!$G$138:$H$249,2,FALSE)</f>
        <v>0.62</v>
      </c>
      <c r="D80" s="234">
        <f>VLOOKUP($A80,'IRIS iTunes data'!$M$138:$N$249,2,FALSE)</f>
        <v>0</v>
      </c>
      <c r="E80" s="234">
        <f>VLOOKUP($A80,'IRIS iTunes data'!$S$138:$T$249,2,FALSE)</f>
        <v>0</v>
      </c>
      <c r="F80" s="234">
        <f>VLOOKUP($A80,'IRIS iTunes data'!$Y$138:$Z$249,2,FALSE)</f>
        <v>0</v>
      </c>
      <c r="G80" s="235">
        <f t="shared" si="20"/>
        <v>1.24</v>
      </c>
      <c r="H80" s="215">
        <f t="shared" si="21"/>
        <v>2.48</v>
      </c>
      <c r="I80" s="304">
        <f>VLOOKUP($A80,[6]IRIS!$J:$U,12,FALSE)</f>
        <v>9.8280092693599705</v>
      </c>
      <c r="J80" s="237">
        <f t="shared" si="25"/>
        <v>-7.3480092693599701</v>
      </c>
      <c r="K80" s="238">
        <f t="shared" si="9"/>
        <v>-0.74765998565633163</v>
      </c>
      <c r="L80" s="259">
        <v>47.12</v>
      </c>
      <c r="M80" s="236">
        <f t="shared" si="22"/>
        <v>49.599999999999994</v>
      </c>
      <c r="N80" s="236">
        <v>25.294027334439704</v>
      </c>
      <c r="O80" s="237">
        <f t="shared" si="23"/>
        <v>24.30597266556029</v>
      </c>
      <c r="P80" s="238">
        <f t="shared" si="24"/>
        <v>0.96093723408236753</v>
      </c>
      <c r="R80" s="208"/>
      <c r="S80" s="154"/>
      <c r="T80" s="104"/>
      <c r="U80" s="104"/>
    </row>
    <row r="81" spans="1:21">
      <c r="A81" s="214" t="s">
        <v>26</v>
      </c>
      <c r="B81" s="226">
        <f>'IRIS iTunes data'!B131</f>
        <v>362.9091958000007</v>
      </c>
      <c r="C81" s="226">
        <f>'IRIS iTunes data'!H131</f>
        <v>250.45681599999989</v>
      </c>
      <c r="D81" s="226">
        <f>'IRIS iTunes data'!N131</f>
        <v>0</v>
      </c>
      <c r="E81" s="226">
        <f>'IRIS iTunes data'!T131</f>
        <v>0</v>
      </c>
      <c r="F81" s="226">
        <f>'IRIS iTunes data'!Z131</f>
        <v>0</v>
      </c>
      <c r="G81" s="227">
        <f>SUM(B81:F81)</f>
        <v>613.36601180000059</v>
      </c>
      <c r="H81" s="215">
        <f t="shared" si="21"/>
        <v>1226.7320236000012</v>
      </c>
      <c r="I81" s="306">
        <f>SUM(I82:I125)</f>
        <v>4744.0283528090386</v>
      </c>
      <c r="J81" s="225">
        <f>H81-I81</f>
        <v>-3517.2963292090371</v>
      </c>
      <c r="K81" s="220">
        <f t="shared" si="9"/>
        <v>-0.74141553709862895</v>
      </c>
      <c r="L81" s="258">
        <v>2964.2829986000015</v>
      </c>
      <c r="M81" s="229">
        <f t="shared" si="22"/>
        <v>4191.0150222000029</v>
      </c>
      <c r="N81" s="229">
        <v>12209.551247108593</v>
      </c>
      <c r="O81" s="225">
        <f>M81-N81</f>
        <v>-8018.5362249085902</v>
      </c>
      <c r="P81" s="220">
        <f t="shared" si="24"/>
        <v>-0.65674291074436508</v>
      </c>
      <c r="R81">
        <f>I81/$I$127</f>
        <v>1.7176191623820159E-2</v>
      </c>
      <c r="S81" s="148">
        <f>R81*$S$127</f>
        <v>4314.6235622135346</v>
      </c>
      <c r="T81" s="104"/>
      <c r="U81" s="104"/>
    </row>
    <row r="82" spans="1:21" s="3" customFormat="1">
      <c r="A82" s="233" t="s">
        <v>124</v>
      </c>
      <c r="B82" s="234">
        <f>VLOOKUP($A82,'IRIS iTunes data'!$A$138:$B$249,2,FALSE)</f>
        <v>0</v>
      </c>
      <c r="C82" s="234">
        <f>VLOOKUP($A82,'IRIS iTunes data'!$G$138:$H$249,2,FALSE)</f>
        <v>0</v>
      </c>
      <c r="D82" s="234">
        <f>VLOOKUP($A82,'IRIS iTunes data'!$M$138:$N$249,2,FALSE)</f>
        <v>0</v>
      </c>
      <c r="E82" s="234">
        <f>VLOOKUP($A82,'IRIS iTunes data'!$S$138:$T$249,2,FALSE)</f>
        <v>0</v>
      </c>
      <c r="F82" s="234">
        <f>VLOOKUP($A82,'IRIS iTunes data'!$Y$138:$Z$249,2,FALSE)</f>
        <v>0</v>
      </c>
      <c r="G82" s="235">
        <f t="shared" ref="G82:G125" si="26">SUM(B82:F82)</f>
        <v>0</v>
      </c>
      <c r="H82" s="215">
        <f t="shared" si="21"/>
        <v>0</v>
      </c>
      <c r="I82" s="304">
        <f>VLOOKUP($A82,[6]IRIS!$J:$U,12,FALSE)</f>
        <v>1.1684153243352684</v>
      </c>
      <c r="J82" s="237">
        <f t="shared" ref="J82:J125" si="27">H82-I82</f>
        <v>-1.1684153243352684</v>
      </c>
      <c r="K82" s="238">
        <f t="shared" ref="K82:K125" si="28">J82/I82</f>
        <v>-1</v>
      </c>
      <c r="L82" s="259">
        <v>0</v>
      </c>
      <c r="M82" s="236">
        <f t="shared" si="22"/>
        <v>0</v>
      </c>
      <c r="N82" s="236">
        <v>3.0071124621191125</v>
      </c>
      <c r="O82" s="237">
        <f t="shared" ref="O82:O124" si="29">M82-N82</f>
        <v>-3.0071124621191125</v>
      </c>
      <c r="P82" s="238">
        <f t="shared" si="24"/>
        <v>-1</v>
      </c>
      <c r="R82" s="208"/>
      <c r="S82" s="154"/>
      <c r="T82" s="104"/>
      <c r="U82" s="104"/>
    </row>
    <row r="83" spans="1:21" s="3" customFormat="1">
      <c r="A83" s="233" t="s">
        <v>125</v>
      </c>
      <c r="B83" s="234">
        <f>VLOOKUP($A83,'IRIS iTunes data'!$A$138:$B$249,2,FALSE)</f>
        <v>0</v>
      </c>
      <c r="C83" s="234">
        <f>VLOOKUP($A83,'IRIS iTunes data'!$G$138:$H$249,2,FALSE)</f>
        <v>0</v>
      </c>
      <c r="D83" s="234">
        <f>VLOOKUP($A83,'IRIS iTunes data'!$M$138:$N$249,2,FALSE)</f>
        <v>0</v>
      </c>
      <c r="E83" s="234">
        <f>VLOOKUP($A83,'IRIS iTunes data'!$S$138:$T$249,2,FALSE)</f>
        <v>0</v>
      </c>
      <c r="F83" s="234">
        <f>VLOOKUP($A83,'IRIS iTunes data'!$Y$138:$Z$249,2,FALSE)</f>
        <v>0</v>
      </c>
      <c r="G83" s="235">
        <f t="shared" si="26"/>
        <v>0</v>
      </c>
      <c r="H83" s="215">
        <f t="shared" si="21"/>
        <v>0</v>
      </c>
      <c r="I83" s="304">
        <f>VLOOKUP($A83,[6]IRIS!$J:$U,12,FALSE)</f>
        <v>5.4273112150215095</v>
      </c>
      <c r="J83" s="237">
        <f t="shared" si="27"/>
        <v>-5.4273112150215095</v>
      </c>
      <c r="K83" s="238">
        <f t="shared" si="28"/>
        <v>-1</v>
      </c>
      <c r="L83" s="259">
        <v>0</v>
      </c>
      <c r="M83" s="236">
        <f t="shared" si="22"/>
        <v>0</v>
      </c>
      <c r="N83" s="236">
        <v>13.968094093403849</v>
      </c>
      <c r="O83" s="237">
        <f t="shared" si="29"/>
        <v>-13.968094093403849</v>
      </c>
      <c r="P83" s="238">
        <f t="shared" si="24"/>
        <v>-1</v>
      </c>
      <c r="R83" s="208"/>
      <c r="S83" s="154"/>
      <c r="T83" s="104"/>
      <c r="U83" s="104"/>
    </row>
    <row r="84" spans="1:21" s="3" customFormat="1">
      <c r="A84" s="233" t="s">
        <v>127</v>
      </c>
      <c r="B84" s="234">
        <f>VLOOKUP($A84,'IRIS iTunes data'!$A$138:$B$249,2,FALSE)</f>
        <v>0</v>
      </c>
      <c r="C84" s="234">
        <f>VLOOKUP($A84,'IRIS iTunes data'!$G$138:$H$249,2,FALSE)</f>
        <v>0</v>
      </c>
      <c r="D84" s="234">
        <f>VLOOKUP($A84,'IRIS iTunes data'!$M$138:$N$249,2,FALSE)</f>
        <v>0</v>
      </c>
      <c r="E84" s="234">
        <f>VLOOKUP($A84,'IRIS iTunes data'!$S$138:$T$249,2,FALSE)</f>
        <v>0</v>
      </c>
      <c r="F84" s="234">
        <f>VLOOKUP($A84,'IRIS iTunes data'!$Y$138:$Z$249,2,FALSE)</f>
        <v>0</v>
      </c>
      <c r="G84" s="235">
        <f t="shared" si="26"/>
        <v>0</v>
      </c>
      <c r="H84" s="215">
        <f t="shared" si="21"/>
        <v>0</v>
      </c>
      <c r="I84" s="304">
        <f>VLOOKUP($A84,[6]IRIS!$J:$U,12,FALSE)</f>
        <v>8.2680487029845118</v>
      </c>
      <c r="J84" s="237">
        <f t="shared" si="27"/>
        <v>-8.2680487029845118</v>
      </c>
      <c r="K84" s="238">
        <f t="shared" si="28"/>
        <v>-1</v>
      </c>
      <c r="L84" s="259">
        <v>16.5</v>
      </c>
      <c r="M84" s="236">
        <f t="shared" si="22"/>
        <v>16.5</v>
      </c>
      <c r="N84" s="236">
        <v>21.279207636460473</v>
      </c>
      <c r="O84" s="237">
        <f t="shared" si="29"/>
        <v>-4.7792076364604732</v>
      </c>
      <c r="P84" s="238">
        <f t="shared" si="24"/>
        <v>-0.2245951878523722</v>
      </c>
      <c r="R84" s="208"/>
      <c r="S84" s="154"/>
      <c r="T84" s="104"/>
      <c r="U84" s="104"/>
    </row>
    <row r="85" spans="1:21" s="3" customFormat="1">
      <c r="A85" s="233" t="s">
        <v>128</v>
      </c>
      <c r="B85" s="234">
        <f>VLOOKUP($A85,'IRIS iTunes data'!$A$138:$B$249,2,FALSE)</f>
        <v>0.6</v>
      </c>
      <c r="C85" s="234">
        <f>VLOOKUP($A85,'IRIS iTunes data'!$G$138:$H$249,2,FALSE)</f>
        <v>0.6</v>
      </c>
      <c r="D85" s="234">
        <f>VLOOKUP($A85,'IRIS iTunes data'!$M$138:$N$249,2,FALSE)</f>
        <v>0</v>
      </c>
      <c r="E85" s="234">
        <f>VLOOKUP($A85,'IRIS iTunes data'!$S$138:$T$249,2,FALSE)</f>
        <v>0</v>
      </c>
      <c r="F85" s="234">
        <f>VLOOKUP($A85,'IRIS iTunes data'!$Y$138:$Z$249,2,FALSE)</f>
        <v>0</v>
      </c>
      <c r="G85" s="235">
        <f t="shared" si="26"/>
        <v>1.2</v>
      </c>
      <c r="H85" s="215">
        <f t="shared" si="21"/>
        <v>2.4</v>
      </c>
      <c r="I85" s="304">
        <f>VLOOKUP($A85,[6]IRIS!$J:$U,12,FALSE)</f>
        <v>28.85971123330534</v>
      </c>
      <c r="J85" s="237">
        <f t="shared" si="27"/>
        <v>-26.459711233305342</v>
      </c>
      <c r="K85" s="238">
        <f t="shared" si="28"/>
        <v>-0.91683908475042897</v>
      </c>
      <c r="L85" s="259">
        <v>11.124999999999998</v>
      </c>
      <c r="M85" s="236">
        <f t="shared" si="22"/>
        <v>13.524999999999999</v>
      </c>
      <c r="N85" s="236">
        <v>74.275298770327723</v>
      </c>
      <c r="O85" s="237">
        <f t="shared" si="29"/>
        <v>-60.750298770327724</v>
      </c>
      <c r="P85" s="238">
        <f t="shared" si="24"/>
        <v>-0.81790716127818386</v>
      </c>
      <c r="R85" s="208"/>
      <c r="S85" s="154"/>
      <c r="T85" s="104"/>
      <c r="U85" s="104"/>
    </row>
    <row r="86" spans="1:21" s="3" customFormat="1">
      <c r="A86" s="233" t="s">
        <v>129</v>
      </c>
      <c r="B86" s="234">
        <f>VLOOKUP($A86,'IRIS iTunes data'!$A$138:$B$249,2,FALSE)</f>
        <v>0</v>
      </c>
      <c r="C86" s="234">
        <f>VLOOKUP($A86,'IRIS iTunes data'!$G$138:$H$249,2,FALSE)</f>
        <v>0.61</v>
      </c>
      <c r="D86" s="234">
        <f>VLOOKUP($A86,'IRIS iTunes data'!$M$138:$N$249,2,FALSE)</f>
        <v>0</v>
      </c>
      <c r="E86" s="234">
        <f>VLOOKUP($A86,'IRIS iTunes data'!$S$138:$T$249,2,FALSE)</f>
        <v>0</v>
      </c>
      <c r="F86" s="234">
        <f>VLOOKUP($A86,'IRIS iTunes data'!$Y$138:$Z$249,2,FALSE)</f>
        <v>0</v>
      </c>
      <c r="G86" s="235">
        <f t="shared" si="26"/>
        <v>0.61</v>
      </c>
      <c r="H86" s="215">
        <f t="shared" si="21"/>
        <v>2.44</v>
      </c>
      <c r="I86" s="304">
        <f>VLOOKUP($A86,[6]IRIS!$J:$U,12,FALSE)</f>
        <v>15.436563866630868</v>
      </c>
      <c r="J86" s="237">
        <f t="shared" si="27"/>
        <v>-12.996563866630868</v>
      </c>
      <c r="K86" s="238">
        <f t="shared" si="28"/>
        <v>-0.84193373466522992</v>
      </c>
      <c r="L86" s="259">
        <v>35.614999999999995</v>
      </c>
      <c r="M86" s="236">
        <f t="shared" si="22"/>
        <v>38.054999999999993</v>
      </c>
      <c r="N86" s="236">
        <v>39.728581617202011</v>
      </c>
      <c r="O86" s="237">
        <f t="shared" si="29"/>
        <v>-1.6735816172020179</v>
      </c>
      <c r="P86" s="238">
        <f t="shared" si="24"/>
        <v>-4.2125380496276683E-2</v>
      </c>
      <c r="R86" s="208"/>
      <c r="S86" s="154"/>
      <c r="T86" s="104"/>
      <c r="U86" s="104"/>
    </row>
    <row r="87" spans="1:21" s="3" customFormat="1">
      <c r="A87" s="233" t="s">
        <v>130</v>
      </c>
      <c r="B87" s="234">
        <f>VLOOKUP($A87,'IRIS iTunes data'!$A$138:$B$249,2,FALSE)</f>
        <v>0</v>
      </c>
      <c r="C87" s="234">
        <f>VLOOKUP($A87,'IRIS iTunes data'!$G$138:$H$249,2,FALSE)</f>
        <v>0.61</v>
      </c>
      <c r="D87" s="234">
        <f>VLOOKUP($A87,'IRIS iTunes data'!$M$138:$N$249,2,FALSE)</f>
        <v>0</v>
      </c>
      <c r="E87" s="234">
        <f>VLOOKUP($A87,'IRIS iTunes data'!$S$138:$T$249,2,FALSE)</f>
        <v>0</v>
      </c>
      <c r="F87" s="234">
        <f>VLOOKUP($A87,'IRIS iTunes data'!$Y$138:$Z$249,2,FALSE)</f>
        <v>0</v>
      </c>
      <c r="G87" s="235">
        <f t="shared" si="26"/>
        <v>0.61</v>
      </c>
      <c r="H87" s="215">
        <f t="shared" si="21"/>
        <v>2.44</v>
      </c>
      <c r="I87" s="304">
        <f>VLOOKUP($A87,[6]IRIS!$J:$U,12,FALSE)</f>
        <v>8.5763599658804885</v>
      </c>
      <c r="J87" s="237">
        <f t="shared" si="27"/>
        <v>-6.136359965880489</v>
      </c>
      <c r="K87" s="238">
        <f t="shared" si="28"/>
        <v>-0.71549701625082174</v>
      </c>
      <c r="L87" s="259">
        <v>2.44</v>
      </c>
      <c r="M87" s="236">
        <f t="shared" si="22"/>
        <v>4.88</v>
      </c>
      <c r="N87" s="236">
        <v>22.072698291329825</v>
      </c>
      <c r="O87" s="237">
        <f t="shared" si="29"/>
        <v>-17.192698291329826</v>
      </c>
      <c r="P87" s="238">
        <f t="shared" si="24"/>
        <v>-0.77891239505063736</v>
      </c>
      <c r="R87" s="208"/>
      <c r="S87" s="154"/>
      <c r="T87" s="104"/>
      <c r="U87" s="104"/>
    </row>
    <row r="88" spans="1:21" s="3" customFormat="1">
      <c r="A88" s="233" t="s">
        <v>131</v>
      </c>
      <c r="B88" s="234">
        <f>VLOOKUP($A88,'IRIS iTunes data'!$A$138:$B$249,2,FALSE)</f>
        <v>0</v>
      </c>
      <c r="C88" s="234">
        <f>VLOOKUP($A88,'IRIS iTunes data'!$G$138:$H$249,2,FALSE)</f>
        <v>0</v>
      </c>
      <c r="D88" s="234">
        <f>VLOOKUP($A88,'IRIS iTunes data'!$M$138:$N$249,2,FALSE)</f>
        <v>0</v>
      </c>
      <c r="E88" s="234">
        <f>VLOOKUP($A88,'IRIS iTunes data'!$S$138:$T$249,2,FALSE)</f>
        <v>0</v>
      </c>
      <c r="F88" s="234">
        <f>VLOOKUP($A88,'IRIS iTunes data'!$Y$138:$Z$249,2,FALSE)</f>
        <v>0</v>
      </c>
      <c r="G88" s="235">
        <f t="shared" si="26"/>
        <v>0</v>
      </c>
      <c r="H88" s="215">
        <f t="shared" si="21"/>
        <v>0</v>
      </c>
      <c r="I88" s="304">
        <f>VLOOKUP($A88,[6]IRIS!$J:$U,12,FALSE)</f>
        <v>10.309091953662037</v>
      </c>
      <c r="J88" s="237">
        <f t="shared" si="27"/>
        <v>-10.309091953662037</v>
      </c>
      <c r="K88" s="238">
        <f t="shared" si="28"/>
        <v>-1</v>
      </c>
      <c r="L88" s="259">
        <v>7.14</v>
      </c>
      <c r="M88" s="236">
        <f t="shared" si="22"/>
        <v>7.14</v>
      </c>
      <c r="N88" s="236">
        <v>26.532174168997443</v>
      </c>
      <c r="O88" s="237">
        <f t="shared" si="29"/>
        <v>-19.392174168997443</v>
      </c>
      <c r="P88" s="238">
        <f t="shared" si="24"/>
        <v>-0.73089276609894216</v>
      </c>
      <c r="R88" s="208"/>
      <c r="S88" s="154"/>
      <c r="T88" s="104"/>
      <c r="U88" s="104"/>
    </row>
    <row r="89" spans="1:21" s="3" customFormat="1">
      <c r="A89" s="233" t="s">
        <v>133</v>
      </c>
      <c r="B89" s="234">
        <f>VLOOKUP($A89,'IRIS iTunes data'!$A$138:$B$249,2,FALSE)</f>
        <v>0.61</v>
      </c>
      <c r="C89" s="234">
        <f>VLOOKUP($A89,'IRIS iTunes data'!$G$138:$H$249,2,FALSE)</f>
        <v>0.61</v>
      </c>
      <c r="D89" s="234">
        <f>VLOOKUP($A89,'IRIS iTunes data'!$M$138:$N$249,2,FALSE)</f>
        <v>0</v>
      </c>
      <c r="E89" s="234">
        <f>VLOOKUP($A89,'IRIS iTunes data'!$S$138:$T$249,2,FALSE)</f>
        <v>0</v>
      </c>
      <c r="F89" s="234">
        <f>VLOOKUP($A89,'IRIS iTunes data'!$Y$138:$Z$249,2,FALSE)</f>
        <v>0</v>
      </c>
      <c r="G89" s="235">
        <f t="shared" si="26"/>
        <v>1.22</v>
      </c>
      <c r="H89" s="215">
        <f t="shared" si="21"/>
        <v>2.44</v>
      </c>
      <c r="I89" s="304">
        <f>VLOOKUP($A89,[6]IRIS!$J:$U,12,FALSE)</f>
        <v>14.316402781612499</v>
      </c>
      <c r="J89" s="237">
        <f t="shared" si="27"/>
        <v>-11.8764027816125</v>
      </c>
      <c r="K89" s="238">
        <f t="shared" si="28"/>
        <v>-0.82956612514885009</v>
      </c>
      <c r="L89" s="259">
        <v>3.05</v>
      </c>
      <c r="M89" s="236">
        <f t="shared" si="22"/>
        <v>5.49</v>
      </c>
      <c r="N89" s="236">
        <v>36.845659519055133</v>
      </c>
      <c r="O89" s="237">
        <f t="shared" si="29"/>
        <v>-31.355659519055131</v>
      </c>
      <c r="P89" s="238">
        <f t="shared" si="24"/>
        <v>-0.85100008870350685</v>
      </c>
      <c r="R89" s="208"/>
      <c r="S89" s="154"/>
      <c r="T89" s="104"/>
      <c r="U89" s="104"/>
    </row>
    <row r="90" spans="1:21" s="3" customFormat="1">
      <c r="A90" s="233" t="s">
        <v>135</v>
      </c>
      <c r="B90" s="234">
        <f>VLOOKUP($A90,'IRIS iTunes data'!$A$138:$B$249,2,FALSE)</f>
        <v>1.83</v>
      </c>
      <c r="C90" s="234">
        <f>VLOOKUP($A90,'IRIS iTunes data'!$G$138:$H$249,2,FALSE)</f>
        <v>0</v>
      </c>
      <c r="D90" s="234">
        <f>VLOOKUP($A90,'IRIS iTunes data'!$M$138:$N$249,2,FALSE)</f>
        <v>0</v>
      </c>
      <c r="E90" s="234">
        <f>VLOOKUP($A90,'IRIS iTunes data'!$S$138:$T$249,2,FALSE)</f>
        <v>0</v>
      </c>
      <c r="F90" s="234">
        <f>VLOOKUP($A90,'IRIS iTunes data'!$Y$138:$Z$249,2,FALSE)</f>
        <v>0</v>
      </c>
      <c r="G90" s="235">
        <f t="shared" si="26"/>
        <v>1.83</v>
      </c>
      <c r="H90" s="215">
        <f t="shared" si="21"/>
        <v>7.32</v>
      </c>
      <c r="I90" s="304">
        <f>VLOOKUP($A90,[6]IRIS!$J:$U,12,FALSE)</f>
        <v>18.927443928910371</v>
      </c>
      <c r="J90" s="237">
        <f t="shared" si="27"/>
        <v>-11.607443928910371</v>
      </c>
      <c r="K90" s="238">
        <f t="shared" si="28"/>
        <v>-0.61325998230436163</v>
      </c>
      <c r="L90" s="259">
        <v>38.43</v>
      </c>
      <c r="M90" s="236">
        <f t="shared" si="22"/>
        <v>45.75</v>
      </c>
      <c r="N90" s="236">
        <v>48.712945927055642</v>
      </c>
      <c r="O90" s="237">
        <f t="shared" si="29"/>
        <v>-2.9629459270556424</v>
      </c>
      <c r="P90" s="238">
        <f t="shared" si="24"/>
        <v>-6.0824609776063521E-2</v>
      </c>
      <c r="R90" s="208"/>
      <c r="S90" s="154"/>
      <c r="T90" s="104"/>
      <c r="U90" s="104"/>
    </row>
    <row r="91" spans="1:21" s="3" customFormat="1">
      <c r="A91" s="233" t="s">
        <v>138</v>
      </c>
      <c r="B91" s="234">
        <f>VLOOKUP($A91,'IRIS iTunes data'!$A$138:$B$249,2,FALSE)</f>
        <v>0</v>
      </c>
      <c r="C91" s="234">
        <f>VLOOKUP($A91,'IRIS iTunes data'!$G$138:$H$249,2,FALSE)</f>
        <v>0</v>
      </c>
      <c r="D91" s="234">
        <f>VLOOKUP($A91,'IRIS iTunes data'!$M$138:$N$249,2,FALSE)</f>
        <v>0</v>
      </c>
      <c r="E91" s="234">
        <f>VLOOKUP($A91,'IRIS iTunes data'!$S$138:$T$249,2,FALSE)</f>
        <v>0</v>
      </c>
      <c r="F91" s="234">
        <f>VLOOKUP($A91,'IRIS iTunes data'!$Y$138:$Z$249,2,FALSE)</f>
        <v>0</v>
      </c>
      <c r="G91" s="235">
        <f t="shared" si="26"/>
        <v>0</v>
      </c>
      <c r="H91" s="215">
        <f t="shared" si="21"/>
        <v>0</v>
      </c>
      <c r="I91" s="304">
        <f>VLOOKUP($A91,[6]IRIS!$J:$U,12,FALSE)</f>
        <v>8.8003185611215677</v>
      </c>
      <c r="J91" s="237">
        <f t="shared" si="27"/>
        <v>-8.8003185611215677</v>
      </c>
      <c r="K91" s="238">
        <f t="shared" si="28"/>
        <v>-1</v>
      </c>
      <c r="L91" s="259">
        <v>3.05</v>
      </c>
      <c r="M91" s="236">
        <f t="shared" si="22"/>
        <v>3.05</v>
      </c>
      <c r="N91" s="236">
        <v>22.64909323302685</v>
      </c>
      <c r="O91" s="237">
        <f t="shared" si="29"/>
        <v>-19.599093233026849</v>
      </c>
      <c r="P91" s="238">
        <f t="shared" si="24"/>
        <v>-0.86533677226633965</v>
      </c>
      <c r="R91" s="208"/>
      <c r="S91" s="154"/>
      <c r="T91" s="104"/>
      <c r="U91" s="104"/>
    </row>
    <row r="92" spans="1:21" s="3" customFormat="1">
      <c r="A92" s="233" t="s">
        <v>140</v>
      </c>
      <c r="B92" s="234">
        <f>VLOOKUP($A92,'IRIS iTunes data'!$A$138:$B$249,2,FALSE)</f>
        <v>0</v>
      </c>
      <c r="C92" s="234">
        <f>VLOOKUP($A92,'IRIS iTunes data'!$G$138:$H$249,2,FALSE)</f>
        <v>0</v>
      </c>
      <c r="D92" s="234">
        <f>VLOOKUP($A92,'IRIS iTunes data'!$M$138:$N$249,2,FALSE)</f>
        <v>0</v>
      </c>
      <c r="E92" s="234">
        <f>VLOOKUP($A92,'IRIS iTunes data'!$S$138:$T$249,2,FALSE)</f>
        <v>0</v>
      </c>
      <c r="F92" s="234">
        <f>VLOOKUP($A92,'IRIS iTunes data'!$Y$138:$Z$249,2,FALSE)</f>
        <v>0</v>
      </c>
      <c r="G92" s="235">
        <f t="shared" si="26"/>
        <v>0</v>
      </c>
      <c r="H92" s="215">
        <f t="shared" si="21"/>
        <v>0</v>
      </c>
      <c r="I92" s="304">
        <f>VLOOKUP($A92,[6]IRIS!$J:$U,12,FALSE)</f>
        <v>0.49432955522902511</v>
      </c>
      <c r="J92" s="237">
        <f t="shared" si="27"/>
        <v>-0.49432955522902511</v>
      </c>
      <c r="K92" s="238">
        <f t="shared" si="28"/>
        <v>-1</v>
      </c>
      <c r="L92" s="259">
        <v>0</v>
      </c>
      <c r="M92" s="236">
        <f t="shared" si="22"/>
        <v>0</v>
      </c>
      <c r="N92" s="236">
        <v>1.2722398747797128</v>
      </c>
      <c r="O92" s="237">
        <f t="shared" si="29"/>
        <v>-1.2722398747797128</v>
      </c>
      <c r="P92" s="238">
        <f t="shared" si="24"/>
        <v>-1</v>
      </c>
      <c r="R92" s="208"/>
      <c r="S92" s="154"/>
      <c r="T92" s="104"/>
      <c r="U92" s="104"/>
    </row>
    <row r="93" spans="1:21" s="3" customFormat="1">
      <c r="A93" s="233" t="s">
        <v>141</v>
      </c>
      <c r="B93" s="234">
        <f>VLOOKUP($A93,'IRIS iTunes data'!$A$138:$B$249,2,FALSE)</f>
        <v>5.49</v>
      </c>
      <c r="C93" s="234">
        <f>VLOOKUP($A93,'IRIS iTunes data'!$G$138:$H$249,2,FALSE)</f>
        <v>0</v>
      </c>
      <c r="D93" s="234">
        <f>VLOOKUP($A93,'IRIS iTunes data'!$M$138:$N$249,2,FALSE)</f>
        <v>0</v>
      </c>
      <c r="E93" s="234">
        <f>VLOOKUP($A93,'IRIS iTunes data'!$S$138:$T$249,2,FALSE)</f>
        <v>0</v>
      </c>
      <c r="F93" s="234">
        <f>VLOOKUP($A93,'IRIS iTunes data'!$Y$138:$Z$249,2,FALSE)</f>
        <v>0</v>
      </c>
      <c r="G93" s="235">
        <f t="shared" si="26"/>
        <v>5.49</v>
      </c>
      <c r="H93" s="215">
        <f t="shared" si="21"/>
        <v>21.96</v>
      </c>
      <c r="I93" s="304">
        <f>VLOOKUP($A93,[6]IRIS!$J:$U,12,FALSE)</f>
        <v>15.735297937676657</v>
      </c>
      <c r="J93" s="237">
        <f t="shared" si="27"/>
        <v>6.2247020623233436</v>
      </c>
      <c r="K93" s="238">
        <f t="shared" si="28"/>
        <v>0.39558844624218353</v>
      </c>
      <c r="L93" s="259">
        <v>20.740000000000002</v>
      </c>
      <c r="M93" s="236">
        <f t="shared" si="22"/>
        <v>42.7</v>
      </c>
      <c r="N93" s="236">
        <v>40.497423765358917</v>
      </c>
      <c r="O93" s="237">
        <f t="shared" si="29"/>
        <v>2.2025762346410858</v>
      </c>
      <c r="P93" s="238">
        <f t="shared" si="24"/>
        <v>5.4388058050377691E-2</v>
      </c>
      <c r="R93" s="208"/>
      <c r="S93" s="154"/>
      <c r="T93" s="104"/>
      <c r="U93" s="104"/>
    </row>
    <row r="94" spans="1:21" s="3" customFormat="1">
      <c r="A94" s="233" t="s">
        <v>145</v>
      </c>
      <c r="B94" s="234">
        <f>VLOOKUP($A94,'IRIS iTunes data'!$A$138:$B$249,2,FALSE)</f>
        <v>0</v>
      </c>
      <c r="C94" s="234">
        <f>VLOOKUP($A94,'IRIS iTunes data'!$G$138:$H$249,2,FALSE)</f>
        <v>0</v>
      </c>
      <c r="D94" s="234">
        <f>VLOOKUP($A94,'IRIS iTunes data'!$M$138:$N$249,2,FALSE)</f>
        <v>0</v>
      </c>
      <c r="E94" s="234">
        <f>VLOOKUP($A94,'IRIS iTunes data'!$S$138:$T$249,2,FALSE)</f>
        <v>0</v>
      </c>
      <c r="F94" s="234">
        <f>VLOOKUP($A94,'IRIS iTunes data'!$Y$138:$Z$249,2,FALSE)</f>
        <v>0</v>
      </c>
      <c r="G94" s="235">
        <f t="shared" si="26"/>
        <v>0</v>
      </c>
      <c r="H94" s="215">
        <f t="shared" si="21"/>
        <v>0</v>
      </c>
      <c r="I94" s="304">
        <f>VLOOKUP($A94,[6]IRIS!$J:$U,12,FALSE)</f>
        <v>0.26705583561582535</v>
      </c>
      <c r="J94" s="237">
        <f t="shared" si="27"/>
        <v>-0.26705583561582535</v>
      </c>
      <c r="K94" s="238">
        <f t="shared" si="28"/>
        <v>-1</v>
      </c>
      <c r="L94" s="259">
        <v>0</v>
      </c>
      <c r="M94" s="236">
        <f t="shared" si="22"/>
        <v>0</v>
      </c>
      <c r="N94" s="236">
        <v>0.68731290546780544</v>
      </c>
      <c r="O94" s="237">
        <f t="shared" si="29"/>
        <v>-0.68731290546780544</v>
      </c>
      <c r="P94" s="238">
        <f t="shared" si="24"/>
        <v>-1</v>
      </c>
      <c r="R94" s="208"/>
      <c r="S94" s="154"/>
      <c r="T94" s="104"/>
      <c r="U94" s="104"/>
    </row>
    <row r="95" spans="1:21" s="3" customFormat="1">
      <c r="A95" s="233" t="s">
        <v>149</v>
      </c>
      <c r="B95" s="234">
        <f>VLOOKUP($A95,'IRIS iTunes data'!$A$138:$B$249,2,FALSE)</f>
        <v>0</v>
      </c>
      <c r="C95" s="234">
        <f>VLOOKUP($A95,'IRIS iTunes data'!$G$138:$H$249,2,FALSE)</f>
        <v>0</v>
      </c>
      <c r="D95" s="234">
        <f>VLOOKUP($A95,'IRIS iTunes data'!$M$138:$N$249,2,FALSE)</f>
        <v>0</v>
      </c>
      <c r="E95" s="234">
        <f>VLOOKUP($A95,'IRIS iTunes data'!$S$138:$T$249,2,FALSE)</f>
        <v>0</v>
      </c>
      <c r="F95" s="234">
        <f>VLOOKUP($A95,'IRIS iTunes data'!$Y$138:$Z$249,2,FALSE)</f>
        <v>0</v>
      </c>
      <c r="G95" s="235">
        <f t="shared" si="26"/>
        <v>0</v>
      </c>
      <c r="H95" s="215">
        <f t="shared" si="21"/>
        <v>0</v>
      </c>
      <c r="I95" s="304">
        <f>VLOOKUP($A95,[6]IRIS!$J:$U,12,FALSE)</f>
        <v>0.71902480281555659</v>
      </c>
      <c r="J95" s="237">
        <f t="shared" si="27"/>
        <v>-0.71902480281555659</v>
      </c>
      <c r="K95" s="238">
        <f t="shared" si="28"/>
        <v>-1</v>
      </c>
      <c r="L95" s="259">
        <v>3.05</v>
      </c>
      <c r="M95" s="236">
        <f t="shared" si="22"/>
        <v>3.05</v>
      </c>
      <c r="N95" s="236">
        <v>1.8505307146236754</v>
      </c>
      <c r="O95" s="237">
        <f t="shared" si="29"/>
        <v>1.1994692853763245</v>
      </c>
      <c r="P95" s="238">
        <f t="shared" si="24"/>
        <v>0.64817583188304384</v>
      </c>
      <c r="R95" s="208"/>
      <c r="S95" s="154"/>
      <c r="T95" s="104"/>
      <c r="U95" s="104"/>
    </row>
    <row r="96" spans="1:21" s="3" customFormat="1">
      <c r="A96" s="233" t="s">
        <v>150</v>
      </c>
      <c r="B96" s="234">
        <f>VLOOKUP($A96,'IRIS iTunes data'!$A$138:$B$249,2,FALSE)</f>
        <v>0</v>
      </c>
      <c r="C96" s="234">
        <f>VLOOKUP($A96,'IRIS iTunes data'!$G$138:$H$249,2,FALSE)</f>
        <v>0</v>
      </c>
      <c r="D96" s="234">
        <f>VLOOKUP($A96,'IRIS iTunes data'!$M$138:$N$249,2,FALSE)</f>
        <v>0</v>
      </c>
      <c r="E96" s="234">
        <f>VLOOKUP($A96,'IRIS iTunes data'!$S$138:$T$249,2,FALSE)</f>
        <v>0</v>
      </c>
      <c r="F96" s="234">
        <f>VLOOKUP($A96,'IRIS iTunes data'!$Y$138:$Z$249,2,FALSE)</f>
        <v>0</v>
      </c>
      <c r="G96" s="235">
        <f t="shared" si="26"/>
        <v>0</v>
      </c>
      <c r="H96" s="215">
        <f t="shared" si="21"/>
        <v>0</v>
      </c>
      <c r="I96" s="304"/>
      <c r="J96" s="237">
        <f t="shared" si="27"/>
        <v>0</v>
      </c>
      <c r="K96" s="238" t="e">
        <f t="shared" si="28"/>
        <v>#DIV/0!</v>
      </c>
      <c r="L96" s="259">
        <v>0</v>
      </c>
      <c r="M96" s="236">
        <f t="shared" si="22"/>
        <v>0</v>
      </c>
      <c r="N96" s="236">
        <v>0</v>
      </c>
      <c r="O96" s="237">
        <f t="shared" si="29"/>
        <v>0</v>
      </c>
      <c r="P96" s="238" t="e">
        <f t="shared" si="24"/>
        <v>#DIV/0!</v>
      </c>
      <c r="R96" s="208"/>
      <c r="S96" s="154"/>
      <c r="T96" s="104"/>
      <c r="U96" s="104"/>
    </row>
    <row r="97" spans="1:21" s="3" customFormat="1">
      <c r="A97" s="233" t="s">
        <v>151</v>
      </c>
      <c r="B97" s="234">
        <f>VLOOKUP($A97,'IRIS iTunes data'!$A$138:$B$249,2,FALSE)</f>
        <v>0.79</v>
      </c>
      <c r="C97" s="234">
        <f>VLOOKUP($A97,'IRIS iTunes data'!$G$138:$H$249,2,FALSE)</f>
        <v>0</v>
      </c>
      <c r="D97" s="234">
        <f>VLOOKUP($A97,'IRIS iTunes data'!$M$138:$N$249,2,FALSE)</f>
        <v>0</v>
      </c>
      <c r="E97" s="234">
        <f>VLOOKUP($A97,'IRIS iTunes data'!$S$138:$T$249,2,FALSE)</f>
        <v>0</v>
      </c>
      <c r="F97" s="234">
        <f>VLOOKUP($A97,'IRIS iTunes data'!$Y$138:$Z$249,2,FALSE)</f>
        <v>0</v>
      </c>
      <c r="G97" s="235">
        <f t="shared" si="26"/>
        <v>0.79</v>
      </c>
      <c r="H97" s="215">
        <f t="shared" si="21"/>
        <v>3.16</v>
      </c>
      <c r="I97" s="304">
        <f>VLOOKUP($A97,[6]IRIS!$J:$U,12,FALSE)</f>
        <v>20.841405426477777</v>
      </c>
      <c r="J97" s="237">
        <f t="shared" si="27"/>
        <v>-17.681405426477777</v>
      </c>
      <c r="K97" s="238">
        <f t="shared" si="28"/>
        <v>-0.84837874724199713</v>
      </c>
      <c r="L97" s="259">
        <v>0</v>
      </c>
      <c r="M97" s="236">
        <f t="shared" si="22"/>
        <v>3.16</v>
      </c>
      <c r="N97" s="236">
        <v>53.638846290974193</v>
      </c>
      <c r="O97" s="237">
        <f t="shared" si="29"/>
        <v>-50.47884629097419</v>
      </c>
      <c r="P97" s="238">
        <f t="shared" si="24"/>
        <v>-0.94108747263395676</v>
      </c>
      <c r="R97" s="208"/>
      <c r="S97" s="154"/>
      <c r="T97" s="104"/>
      <c r="U97" s="104"/>
    </row>
    <row r="98" spans="1:21" s="3" customFormat="1">
      <c r="A98" s="233" t="s">
        <v>152</v>
      </c>
      <c r="B98" s="234">
        <f>VLOOKUP($A98,'IRIS iTunes data'!$A$138:$B$249,2,FALSE)</f>
        <v>0</v>
      </c>
      <c r="C98" s="234">
        <f>VLOOKUP($A98,'IRIS iTunes data'!$G$138:$H$249,2,FALSE)</f>
        <v>0</v>
      </c>
      <c r="D98" s="234">
        <f>VLOOKUP($A98,'IRIS iTunes data'!$M$138:$N$249,2,FALSE)</f>
        <v>0</v>
      </c>
      <c r="E98" s="234">
        <f>VLOOKUP($A98,'IRIS iTunes data'!$S$138:$T$249,2,FALSE)</f>
        <v>0</v>
      </c>
      <c r="F98" s="234">
        <f>VLOOKUP($A98,'IRIS iTunes data'!$Y$138:$Z$249,2,FALSE)</f>
        <v>0</v>
      </c>
      <c r="G98" s="235">
        <f t="shared" si="26"/>
        <v>0</v>
      </c>
      <c r="H98" s="215">
        <f t="shared" si="21"/>
        <v>0</v>
      </c>
      <c r="I98" s="304">
        <f>VLOOKUP($A98,[6]IRIS!$J:$U,12,FALSE)</f>
        <v>1.7975620070388934</v>
      </c>
      <c r="J98" s="237">
        <f t="shared" si="27"/>
        <v>-1.7975620070388934</v>
      </c>
      <c r="K98" s="238">
        <f t="shared" si="28"/>
        <v>-1</v>
      </c>
      <c r="L98" s="259">
        <v>0</v>
      </c>
      <c r="M98" s="236">
        <f t="shared" si="22"/>
        <v>0</v>
      </c>
      <c r="N98" s="236">
        <v>4.6263267865591935</v>
      </c>
      <c r="O98" s="237">
        <f t="shared" si="29"/>
        <v>-4.6263267865591935</v>
      </c>
      <c r="P98" s="238">
        <f t="shared" si="24"/>
        <v>-1</v>
      </c>
      <c r="R98" s="208"/>
      <c r="S98" s="154"/>
      <c r="T98" s="104"/>
      <c r="U98" s="104"/>
    </row>
    <row r="99" spans="1:21" s="3" customFormat="1">
      <c r="A99" s="233" t="s">
        <v>154</v>
      </c>
      <c r="B99" s="234">
        <f>VLOOKUP($A99,'IRIS iTunes data'!$A$138:$B$249,2,FALSE)</f>
        <v>0</v>
      </c>
      <c r="C99" s="234">
        <f>VLOOKUP($A99,'IRIS iTunes data'!$G$138:$H$249,2,FALSE)</f>
        <v>0</v>
      </c>
      <c r="D99" s="234">
        <f>VLOOKUP($A99,'IRIS iTunes data'!$M$138:$N$249,2,FALSE)</f>
        <v>0</v>
      </c>
      <c r="E99" s="234">
        <f>VLOOKUP($A99,'IRIS iTunes data'!$S$138:$T$249,2,FALSE)</f>
        <v>0</v>
      </c>
      <c r="F99" s="234">
        <f>VLOOKUP($A99,'IRIS iTunes data'!$Y$138:$Z$249,2,FALSE)</f>
        <v>0</v>
      </c>
      <c r="G99" s="235">
        <f t="shared" si="26"/>
        <v>0</v>
      </c>
      <c r="H99" s="215">
        <f t="shared" si="21"/>
        <v>0</v>
      </c>
      <c r="I99" s="304">
        <f>VLOOKUP($A99,[6]IRIS!$J:$U,12,FALSE)</f>
        <v>2.246952563687472E-2</v>
      </c>
      <c r="J99" s="237">
        <f t="shared" si="27"/>
        <v>-2.246952563687472E-2</v>
      </c>
      <c r="K99" s="238">
        <f t="shared" si="28"/>
        <v>-1</v>
      </c>
      <c r="L99" s="259">
        <v>0</v>
      </c>
      <c r="M99" s="236">
        <f t="shared" si="22"/>
        <v>0</v>
      </c>
      <c r="N99" s="236">
        <v>5.7829086244646499E-2</v>
      </c>
      <c r="O99" s="237">
        <f t="shared" si="29"/>
        <v>-5.7829086244646499E-2</v>
      </c>
      <c r="P99" s="238">
        <f t="shared" si="24"/>
        <v>-1</v>
      </c>
      <c r="R99" s="208"/>
      <c r="S99" s="154"/>
      <c r="T99" s="104"/>
      <c r="U99" s="104"/>
    </row>
    <row r="100" spans="1:21" s="3" customFormat="1">
      <c r="A100" s="233" t="s">
        <v>157</v>
      </c>
      <c r="B100" s="234">
        <f>VLOOKUP($A100,'IRIS iTunes data'!$A$138:$B$249,2,FALSE)</f>
        <v>10.642127999999987</v>
      </c>
      <c r="C100" s="234">
        <f>VLOOKUP($A100,'IRIS iTunes data'!$G$138:$H$249,2,FALSE)</f>
        <v>23.758084000000011</v>
      </c>
      <c r="D100" s="234">
        <f>VLOOKUP($A100,'IRIS iTunes data'!$M$138:$N$249,2,FALSE)</f>
        <v>0</v>
      </c>
      <c r="E100" s="234">
        <f>VLOOKUP($A100,'IRIS iTunes data'!$S$138:$T$249,2,FALSE)</f>
        <v>0</v>
      </c>
      <c r="F100" s="234">
        <f>VLOOKUP($A100,'IRIS iTunes data'!$Y$138:$Z$249,2,FALSE)</f>
        <v>0</v>
      </c>
      <c r="G100" s="235">
        <f t="shared" si="26"/>
        <v>34.400211999999996</v>
      </c>
      <c r="H100" s="215">
        <f t="shared" si="21"/>
        <v>68.800423999999992</v>
      </c>
      <c r="I100" s="304">
        <f>VLOOKUP($A100,[6]IRIS!$J:$U,12,FALSE)</f>
        <v>583.68218076301685</v>
      </c>
      <c r="J100" s="237">
        <f t="shared" si="27"/>
        <v>-514.88175676301682</v>
      </c>
      <c r="K100" s="238">
        <f t="shared" si="28"/>
        <v>-0.88212690695806262</v>
      </c>
      <c r="L100" s="259">
        <v>176.73214300000001</v>
      </c>
      <c r="M100" s="236">
        <f t="shared" si="22"/>
        <v>245.532567</v>
      </c>
      <c r="N100" s="236">
        <v>1502.2038166846969</v>
      </c>
      <c r="O100" s="237">
        <f t="shared" si="29"/>
        <v>-1256.6712496846969</v>
      </c>
      <c r="P100" s="238">
        <f t="shared" si="24"/>
        <v>-0.83655176196937087</v>
      </c>
      <c r="R100" s="208"/>
      <c r="S100" s="154"/>
      <c r="T100" s="104"/>
      <c r="U100" s="104"/>
    </row>
    <row r="101" spans="1:21" s="3" customFormat="1">
      <c r="A101" s="233" t="s">
        <v>158</v>
      </c>
      <c r="B101" s="234">
        <f>VLOOKUP($A101,'IRIS iTunes data'!$A$138:$B$249,2,FALSE)</f>
        <v>24.656400000000001</v>
      </c>
      <c r="C101" s="234">
        <f>VLOOKUP($A101,'IRIS iTunes data'!$G$138:$H$249,2,FALSE)</f>
        <v>9.6012000000000004</v>
      </c>
      <c r="D101" s="234">
        <f>VLOOKUP($A101,'IRIS iTunes data'!$M$138:$N$249,2,FALSE)</f>
        <v>0</v>
      </c>
      <c r="E101" s="234">
        <f>VLOOKUP($A101,'IRIS iTunes data'!$S$138:$T$249,2,FALSE)</f>
        <v>0</v>
      </c>
      <c r="F101" s="234">
        <f>VLOOKUP($A101,'IRIS iTunes data'!$Y$138:$Z$249,2,FALSE)</f>
        <v>0</v>
      </c>
      <c r="G101" s="235">
        <f t="shared" si="26"/>
        <v>34.257600000000004</v>
      </c>
      <c r="H101" s="215">
        <f t="shared" si="21"/>
        <v>68.515200000000007</v>
      </c>
      <c r="I101" s="304">
        <f>VLOOKUP($A101,[6]IRIS!$J:$U,12,FALSE)</f>
        <v>735.65201456819239</v>
      </c>
      <c r="J101" s="237">
        <f t="shared" si="27"/>
        <v>-667.13681456819234</v>
      </c>
      <c r="K101" s="238">
        <f t="shared" si="28"/>
        <v>-0.90686466067762128</v>
      </c>
      <c r="L101" s="259">
        <v>277.22200000000004</v>
      </c>
      <c r="M101" s="236">
        <f t="shared" si="22"/>
        <v>345.73720000000003</v>
      </c>
      <c r="N101" s="236">
        <v>1893.3236279227972</v>
      </c>
      <c r="O101" s="237">
        <f t="shared" si="29"/>
        <v>-1547.5864279227972</v>
      </c>
      <c r="P101" s="238">
        <f t="shared" si="24"/>
        <v>-0.81739138787418231</v>
      </c>
      <c r="R101" s="208"/>
      <c r="S101" s="154"/>
      <c r="T101" s="104"/>
      <c r="U101" s="104"/>
    </row>
    <row r="102" spans="1:21" s="3" customFormat="1">
      <c r="A102" s="233" t="s">
        <v>159</v>
      </c>
      <c r="B102" s="234">
        <f>VLOOKUP($A102,'IRIS iTunes data'!$A$138:$B$249,2,FALSE)</f>
        <v>28.507003999999984</v>
      </c>
      <c r="C102" s="234">
        <f>VLOOKUP($A102,'IRIS iTunes data'!$G$138:$H$249,2,FALSE)</f>
        <v>34.323416999999971</v>
      </c>
      <c r="D102" s="234">
        <f>VLOOKUP($A102,'IRIS iTunes data'!$M$138:$N$249,2,FALSE)</f>
        <v>0</v>
      </c>
      <c r="E102" s="234">
        <f>VLOOKUP($A102,'IRIS iTunes data'!$S$138:$T$249,2,FALSE)</f>
        <v>0</v>
      </c>
      <c r="F102" s="234">
        <f>VLOOKUP($A102,'IRIS iTunes data'!$Y$138:$Z$249,2,FALSE)</f>
        <v>0</v>
      </c>
      <c r="G102" s="235">
        <f t="shared" si="26"/>
        <v>62.830420999999959</v>
      </c>
      <c r="H102" s="215">
        <f t="shared" si="21"/>
        <v>125.66084199999992</v>
      </c>
      <c r="I102" s="304">
        <f>VLOOKUP($A102,[6]IRIS!$J:$U,12,FALSE)</f>
        <v>664.34928972745217</v>
      </c>
      <c r="J102" s="237">
        <f t="shared" si="27"/>
        <v>-538.68844772745229</v>
      </c>
      <c r="K102" s="238">
        <f t="shared" si="28"/>
        <v>-0.81085124355058469</v>
      </c>
      <c r="L102" s="259">
        <v>576.20624500000019</v>
      </c>
      <c r="M102" s="236">
        <f t="shared" si="22"/>
        <v>701.86708700000008</v>
      </c>
      <c r="N102" s="236">
        <v>1709.8141275029666</v>
      </c>
      <c r="O102" s="237">
        <f t="shared" si="29"/>
        <v>-1007.9470405029665</v>
      </c>
      <c r="P102" s="238">
        <f t="shared" si="24"/>
        <v>-0.58950679158031327</v>
      </c>
      <c r="R102" s="208"/>
      <c r="S102" s="154"/>
      <c r="T102" s="104"/>
      <c r="U102" s="104"/>
    </row>
    <row r="103" spans="1:21" s="3" customFormat="1">
      <c r="A103" s="233" t="s">
        <v>160</v>
      </c>
      <c r="B103" s="234">
        <f>VLOOKUP($A103,'IRIS iTunes data'!$A$138:$B$249,2,FALSE)</f>
        <v>0.6</v>
      </c>
      <c r="C103" s="234">
        <f>VLOOKUP($A103,'IRIS iTunes data'!$G$138:$H$249,2,FALSE)</f>
        <v>1.2</v>
      </c>
      <c r="D103" s="234">
        <f>VLOOKUP($A103,'IRIS iTunes data'!$M$138:$N$249,2,FALSE)</f>
        <v>0</v>
      </c>
      <c r="E103" s="234">
        <f>VLOOKUP($A103,'IRIS iTunes data'!$S$138:$T$249,2,FALSE)</f>
        <v>0</v>
      </c>
      <c r="F103" s="234">
        <f>VLOOKUP($A103,'IRIS iTunes data'!$Y$138:$Z$249,2,FALSE)</f>
        <v>0</v>
      </c>
      <c r="G103" s="235">
        <f t="shared" si="26"/>
        <v>1.7999999999999998</v>
      </c>
      <c r="H103" s="215">
        <f t="shared" si="21"/>
        <v>3.5999999999999996</v>
      </c>
      <c r="I103" s="304">
        <f>VLOOKUP($A103,[6]IRIS!$J:$U,12,FALSE)</f>
        <v>90.938221334256539</v>
      </c>
      <c r="J103" s="237">
        <f t="shared" si="27"/>
        <v>-87.338221334256545</v>
      </c>
      <c r="K103" s="238">
        <f t="shared" si="28"/>
        <v>-0.9604126851484408</v>
      </c>
      <c r="L103" s="259">
        <v>8.4</v>
      </c>
      <c r="M103" s="236">
        <f t="shared" si="22"/>
        <v>12</v>
      </c>
      <c r="N103" s="236">
        <v>234.04473816942266</v>
      </c>
      <c r="O103" s="237">
        <f t="shared" si="29"/>
        <v>-222.04473816942266</v>
      </c>
      <c r="P103" s="238">
        <f t="shared" si="24"/>
        <v>-0.94872775139549037</v>
      </c>
      <c r="R103" s="208"/>
      <c r="S103" s="154"/>
      <c r="T103" s="104"/>
      <c r="U103" s="104"/>
    </row>
    <row r="104" spans="1:21" s="3" customFormat="1">
      <c r="A104" s="233" t="s">
        <v>161</v>
      </c>
      <c r="B104" s="234">
        <f>VLOOKUP($A104,'IRIS iTunes data'!$A$138:$B$249,2,FALSE)</f>
        <v>1.22</v>
      </c>
      <c r="C104" s="234">
        <f>VLOOKUP($A104,'IRIS iTunes data'!$G$138:$H$249,2,FALSE)</f>
        <v>18.3</v>
      </c>
      <c r="D104" s="234">
        <f>VLOOKUP($A104,'IRIS iTunes data'!$M$138:$N$249,2,FALSE)</f>
        <v>0</v>
      </c>
      <c r="E104" s="234">
        <f>VLOOKUP($A104,'IRIS iTunes data'!$S$138:$T$249,2,FALSE)</f>
        <v>0</v>
      </c>
      <c r="F104" s="234">
        <f>VLOOKUP($A104,'IRIS iTunes data'!$Y$138:$Z$249,2,FALSE)</f>
        <v>0</v>
      </c>
      <c r="G104" s="235">
        <f t="shared" si="26"/>
        <v>19.52</v>
      </c>
      <c r="H104" s="215">
        <f t="shared" si="21"/>
        <v>39.04</v>
      </c>
      <c r="I104" s="304">
        <f>VLOOKUP($A104,[6]IRIS!$J:$U,12,FALSE)</f>
        <v>91.957084307316705</v>
      </c>
      <c r="J104" s="237">
        <f t="shared" si="27"/>
        <v>-52.917084307316706</v>
      </c>
      <c r="K104" s="238">
        <f t="shared" si="28"/>
        <v>-0.57545413391392486</v>
      </c>
      <c r="L104" s="259">
        <v>30.042499999999993</v>
      </c>
      <c r="M104" s="236">
        <f t="shared" si="22"/>
        <v>69.082499999999996</v>
      </c>
      <c r="N104" s="236">
        <v>236.66695261634808</v>
      </c>
      <c r="O104" s="237">
        <f t="shared" si="29"/>
        <v>-167.58445261634807</v>
      </c>
      <c r="P104" s="238">
        <f t="shared" si="24"/>
        <v>-0.70810246535777621</v>
      </c>
      <c r="R104" s="208"/>
      <c r="S104" s="154"/>
      <c r="T104" s="104"/>
      <c r="U104" s="104"/>
    </row>
    <row r="105" spans="1:21" s="3" customFormat="1">
      <c r="A105" s="233" t="s">
        <v>162</v>
      </c>
      <c r="B105" s="234">
        <f>VLOOKUP($A105,'IRIS iTunes data'!$A$138:$B$249,2,FALSE)</f>
        <v>0</v>
      </c>
      <c r="C105" s="234">
        <f>VLOOKUP($A105,'IRIS iTunes data'!$G$138:$H$249,2,FALSE)</f>
        <v>0</v>
      </c>
      <c r="D105" s="234">
        <f>VLOOKUP($A105,'IRIS iTunes data'!$M$138:$N$249,2,FALSE)</f>
        <v>0</v>
      </c>
      <c r="E105" s="234">
        <f>VLOOKUP($A105,'IRIS iTunes data'!$S$138:$T$249,2,FALSE)</f>
        <v>0</v>
      </c>
      <c r="F105" s="234">
        <f>VLOOKUP($A105,'IRIS iTunes data'!$Y$138:$Z$249,2,FALSE)</f>
        <v>0</v>
      </c>
      <c r="G105" s="235">
        <f t="shared" si="26"/>
        <v>0</v>
      </c>
      <c r="H105" s="215">
        <f t="shared" si="21"/>
        <v>0</v>
      </c>
      <c r="I105" s="304">
        <f>VLOOKUP($A105,[6]IRIS!$J:$U,12,FALSE)</f>
        <v>1.9327475353350501</v>
      </c>
      <c r="J105" s="237">
        <f t="shared" si="27"/>
        <v>-1.9327475353350501</v>
      </c>
      <c r="K105" s="238">
        <f t="shared" si="28"/>
        <v>-1</v>
      </c>
      <c r="L105" s="259">
        <v>0</v>
      </c>
      <c r="M105" s="236">
        <f t="shared" si="22"/>
        <v>0</v>
      </c>
      <c r="N105" s="236">
        <v>4.9742493774142931</v>
      </c>
      <c r="O105" s="237">
        <f t="shared" si="29"/>
        <v>-4.9742493774142931</v>
      </c>
      <c r="P105" s="238">
        <f t="shared" si="24"/>
        <v>-1</v>
      </c>
      <c r="R105" s="208"/>
      <c r="S105" s="154"/>
      <c r="T105" s="104"/>
      <c r="U105" s="104"/>
    </row>
    <row r="106" spans="1:21" s="3" customFormat="1">
      <c r="A106" s="233" t="s">
        <v>165</v>
      </c>
      <c r="B106" s="234">
        <f>VLOOKUP($A106,'IRIS iTunes data'!$A$138:$B$249,2,FALSE)</f>
        <v>0</v>
      </c>
      <c r="C106" s="234">
        <f>VLOOKUP($A106,'IRIS iTunes data'!$G$138:$H$249,2,FALSE)</f>
        <v>0</v>
      </c>
      <c r="D106" s="234">
        <f>VLOOKUP($A106,'IRIS iTunes data'!$M$138:$N$249,2,FALSE)</f>
        <v>0</v>
      </c>
      <c r="E106" s="234">
        <f>VLOOKUP($A106,'IRIS iTunes data'!$S$138:$T$249,2,FALSE)</f>
        <v>0</v>
      </c>
      <c r="F106" s="234">
        <f>VLOOKUP($A106,'IRIS iTunes data'!$Y$138:$Z$249,2,FALSE)</f>
        <v>0</v>
      </c>
      <c r="G106" s="235">
        <f t="shared" si="26"/>
        <v>0</v>
      </c>
      <c r="H106" s="215">
        <f t="shared" si="21"/>
        <v>0</v>
      </c>
      <c r="I106" s="304">
        <f>VLOOKUP($A106,[6]IRIS!$J:$U,12,FALSE)</f>
        <v>15.406358850265111</v>
      </c>
      <c r="J106" s="237">
        <f t="shared" si="27"/>
        <v>-15.406358850265111</v>
      </c>
      <c r="K106" s="238">
        <f t="shared" si="28"/>
        <v>-1</v>
      </c>
      <c r="L106" s="259">
        <v>94.1</v>
      </c>
      <c r="M106" s="236">
        <f t="shared" si="22"/>
        <v>94.1</v>
      </c>
      <c r="N106" s="236">
        <v>39.650843950432147</v>
      </c>
      <c r="O106" s="237">
        <f t="shared" si="29"/>
        <v>54.449156049567847</v>
      </c>
      <c r="P106" s="238">
        <f t="shared" si="24"/>
        <v>1.3732155642799229</v>
      </c>
      <c r="R106" s="208"/>
      <c r="S106" s="154"/>
      <c r="T106" s="104"/>
      <c r="U106" s="104"/>
    </row>
    <row r="107" spans="1:21" s="3" customFormat="1">
      <c r="A107" s="233" t="s">
        <v>166</v>
      </c>
      <c r="B107" s="234">
        <f>VLOOKUP($A107,'IRIS iTunes data'!$A$138:$B$249,2,FALSE)</f>
        <v>0</v>
      </c>
      <c r="C107" s="234">
        <f>VLOOKUP($A107,'IRIS iTunes data'!$G$138:$H$249,2,FALSE)</f>
        <v>0</v>
      </c>
      <c r="D107" s="234">
        <f>VLOOKUP($A107,'IRIS iTunes data'!$M$138:$N$249,2,FALSE)</f>
        <v>0</v>
      </c>
      <c r="E107" s="234">
        <f>VLOOKUP($A107,'IRIS iTunes data'!$S$138:$T$249,2,FALSE)</f>
        <v>0</v>
      </c>
      <c r="F107" s="234">
        <f>VLOOKUP($A107,'IRIS iTunes data'!$Y$138:$Z$249,2,FALSE)</f>
        <v>0</v>
      </c>
      <c r="G107" s="235">
        <f t="shared" si="26"/>
        <v>0</v>
      </c>
      <c r="H107" s="215">
        <f t="shared" si="21"/>
        <v>0</v>
      </c>
      <c r="I107" s="304">
        <f>VLOOKUP($A107,[6]IRIS!$J:$U,12,FALSE)</f>
        <v>0.22469524758653034</v>
      </c>
      <c r="J107" s="237">
        <f t="shared" si="27"/>
        <v>-0.22469524758653034</v>
      </c>
      <c r="K107" s="238">
        <f t="shared" si="28"/>
        <v>-1</v>
      </c>
      <c r="L107" s="259">
        <v>0</v>
      </c>
      <c r="M107" s="236">
        <f t="shared" si="22"/>
        <v>0</v>
      </c>
      <c r="N107" s="236">
        <v>0.57829083984395957</v>
      </c>
      <c r="O107" s="237">
        <f t="shared" si="29"/>
        <v>-0.57829083984395957</v>
      </c>
      <c r="P107" s="238">
        <f t="shared" si="24"/>
        <v>-1</v>
      </c>
      <c r="R107" s="208"/>
      <c r="S107" s="154"/>
      <c r="T107" s="104"/>
      <c r="U107" s="104"/>
    </row>
    <row r="108" spans="1:21" s="3" customFormat="1">
      <c r="A108" s="233" t="s">
        <v>167</v>
      </c>
      <c r="B108" s="234">
        <f>VLOOKUP($A108,'IRIS iTunes data'!$A$138:$B$249,2,FALSE)</f>
        <v>0</v>
      </c>
      <c r="C108" s="234">
        <f>VLOOKUP($A108,'IRIS iTunes data'!$G$138:$H$249,2,FALSE)</f>
        <v>0</v>
      </c>
      <c r="D108" s="234">
        <f>VLOOKUP($A108,'IRIS iTunes data'!$M$138:$N$249,2,FALSE)</f>
        <v>0</v>
      </c>
      <c r="E108" s="234">
        <f>VLOOKUP($A108,'IRIS iTunes data'!$S$138:$T$249,2,FALSE)</f>
        <v>0</v>
      </c>
      <c r="F108" s="234">
        <f>VLOOKUP($A108,'IRIS iTunes data'!$Y$138:$Z$249,2,FALSE)</f>
        <v>0</v>
      </c>
      <c r="G108" s="235">
        <f t="shared" si="26"/>
        <v>0</v>
      </c>
      <c r="H108" s="215">
        <f t="shared" si="21"/>
        <v>0</v>
      </c>
      <c r="I108" s="304">
        <f>VLOOKUP($A108,[6]IRIS!$J:$U,12,FALSE)</f>
        <v>5.4976666647803691</v>
      </c>
      <c r="J108" s="237">
        <f t="shared" si="27"/>
        <v>-5.4976666647803691</v>
      </c>
      <c r="K108" s="238">
        <f t="shared" si="28"/>
        <v>-1</v>
      </c>
      <c r="L108" s="259">
        <v>0</v>
      </c>
      <c r="M108" s="236">
        <f t="shared" si="22"/>
        <v>0</v>
      </c>
      <c r="N108" s="236">
        <v>14.149165622800489</v>
      </c>
      <c r="O108" s="237">
        <f t="shared" si="29"/>
        <v>-14.149165622800489</v>
      </c>
      <c r="P108" s="238">
        <f t="shared" si="24"/>
        <v>-1</v>
      </c>
      <c r="R108" s="208"/>
      <c r="S108" s="154"/>
      <c r="T108" s="104"/>
      <c r="U108" s="104"/>
    </row>
    <row r="109" spans="1:21" s="3" customFormat="1">
      <c r="A109" s="233" t="s">
        <v>169</v>
      </c>
      <c r="B109" s="234">
        <f>VLOOKUP($A109,'IRIS iTunes data'!$A$138:$B$249,2,FALSE)</f>
        <v>0</v>
      </c>
      <c r="C109" s="234">
        <f>VLOOKUP($A109,'IRIS iTunes data'!$G$138:$H$249,2,FALSE)</f>
        <v>0</v>
      </c>
      <c r="D109" s="234">
        <f>VLOOKUP($A109,'IRIS iTunes data'!$M$138:$N$249,2,FALSE)</f>
        <v>0</v>
      </c>
      <c r="E109" s="234">
        <f>VLOOKUP($A109,'IRIS iTunes data'!$S$138:$T$249,2,FALSE)</f>
        <v>0</v>
      </c>
      <c r="F109" s="234">
        <f>VLOOKUP($A109,'IRIS iTunes data'!$Y$138:$Z$249,2,FALSE)</f>
        <v>0</v>
      </c>
      <c r="G109" s="235">
        <f t="shared" si="26"/>
        <v>0</v>
      </c>
      <c r="H109" s="215">
        <f t="shared" si="21"/>
        <v>0</v>
      </c>
      <c r="I109" s="304">
        <f>VLOOKUP($A109,[6]IRIS!$J:$U,12,FALSE)</f>
        <v>34.473776861681216</v>
      </c>
      <c r="J109" s="237">
        <f t="shared" si="27"/>
        <v>-34.473776861681216</v>
      </c>
      <c r="K109" s="238">
        <f t="shared" si="28"/>
        <v>-1</v>
      </c>
      <c r="L109" s="259">
        <v>0</v>
      </c>
      <c r="M109" s="236">
        <f t="shared" si="22"/>
        <v>0</v>
      </c>
      <c r="N109" s="236">
        <v>88.724036614337251</v>
      </c>
      <c r="O109" s="237">
        <f t="shared" si="29"/>
        <v>-88.724036614337251</v>
      </c>
      <c r="P109" s="238">
        <f t="shared" si="24"/>
        <v>-1</v>
      </c>
      <c r="R109" s="208"/>
      <c r="S109" s="154"/>
      <c r="T109" s="104"/>
      <c r="U109" s="104"/>
    </row>
    <row r="110" spans="1:21" s="3" customFormat="1">
      <c r="A110" s="233" t="s">
        <v>170</v>
      </c>
      <c r="B110" s="234">
        <f>VLOOKUP($A110,'IRIS iTunes data'!$A$138:$B$249,2,FALSE)</f>
        <v>0.61</v>
      </c>
      <c r="C110" s="234">
        <f>VLOOKUP($A110,'IRIS iTunes data'!$G$138:$H$249,2,FALSE)</f>
        <v>0</v>
      </c>
      <c r="D110" s="234">
        <f>VLOOKUP($A110,'IRIS iTunes data'!$M$138:$N$249,2,FALSE)</f>
        <v>0</v>
      </c>
      <c r="E110" s="234">
        <f>VLOOKUP($A110,'IRIS iTunes data'!$S$138:$T$249,2,FALSE)</f>
        <v>0</v>
      </c>
      <c r="F110" s="234">
        <f>VLOOKUP($A110,'IRIS iTunes data'!$Y$138:$Z$249,2,FALSE)</f>
        <v>0</v>
      </c>
      <c r="G110" s="235">
        <f t="shared" si="26"/>
        <v>0.61</v>
      </c>
      <c r="H110" s="215">
        <f t="shared" si="21"/>
        <v>2.44</v>
      </c>
      <c r="I110" s="304">
        <f>VLOOKUP($A110,[6]IRIS!$J:$U,12,FALSE)</f>
        <v>16.231100988609757</v>
      </c>
      <c r="J110" s="237">
        <f t="shared" si="27"/>
        <v>-13.791100988609758</v>
      </c>
      <c r="K110" s="238">
        <f t="shared" si="28"/>
        <v>-0.84967131917223115</v>
      </c>
      <c r="L110" s="259">
        <v>21.045000000000002</v>
      </c>
      <c r="M110" s="236">
        <f t="shared" si="22"/>
        <v>23.485000000000003</v>
      </c>
      <c r="N110" s="236">
        <v>41.773455928036874</v>
      </c>
      <c r="O110" s="237">
        <f t="shared" si="29"/>
        <v>-18.288455928036871</v>
      </c>
      <c r="P110" s="238">
        <f t="shared" si="24"/>
        <v>-0.43780088388048122</v>
      </c>
      <c r="R110" s="208"/>
      <c r="S110" s="154"/>
      <c r="T110" s="104"/>
      <c r="U110" s="104"/>
    </row>
    <row r="111" spans="1:21" s="3" customFormat="1">
      <c r="A111" s="233" t="s">
        <v>171</v>
      </c>
      <c r="B111" s="234">
        <f>VLOOKUP($A111,'IRIS iTunes data'!$A$138:$B$249,2,FALSE)</f>
        <v>0</v>
      </c>
      <c r="C111" s="234">
        <f>VLOOKUP($A111,'IRIS iTunes data'!$G$138:$H$249,2,FALSE)</f>
        <v>0</v>
      </c>
      <c r="D111" s="234">
        <f>VLOOKUP($A111,'IRIS iTunes data'!$M$138:$N$249,2,FALSE)</f>
        <v>0</v>
      </c>
      <c r="E111" s="234">
        <f>VLOOKUP($A111,'IRIS iTunes data'!$S$138:$T$249,2,FALSE)</f>
        <v>0</v>
      </c>
      <c r="F111" s="234">
        <f>VLOOKUP($A111,'IRIS iTunes data'!$Y$138:$Z$249,2,FALSE)</f>
        <v>0</v>
      </c>
      <c r="G111" s="235">
        <f t="shared" si="26"/>
        <v>0</v>
      </c>
      <c r="H111" s="215">
        <f t="shared" si="21"/>
        <v>0</v>
      </c>
      <c r="I111" s="304">
        <f>VLOOKUP($A111,[6]IRIS!$J:$U,12,FALSE)</f>
        <v>2.2837878156240839E-2</v>
      </c>
      <c r="J111" s="237">
        <f t="shared" si="27"/>
        <v>-2.2837878156240839E-2</v>
      </c>
      <c r="K111" s="238">
        <f t="shared" si="28"/>
        <v>-1</v>
      </c>
      <c r="L111" s="259">
        <v>0</v>
      </c>
      <c r="M111" s="236">
        <f t="shared" si="22"/>
        <v>0</v>
      </c>
      <c r="N111" s="236">
        <v>5.8777103125603629E-2</v>
      </c>
      <c r="O111" s="237">
        <f t="shared" si="29"/>
        <v>-5.8777103125603629E-2</v>
      </c>
      <c r="P111" s="238">
        <f t="shared" si="24"/>
        <v>-1</v>
      </c>
      <c r="R111" s="208"/>
      <c r="S111" s="154"/>
      <c r="T111" s="104"/>
      <c r="U111" s="104"/>
    </row>
    <row r="112" spans="1:21" s="3" customFormat="1">
      <c r="A112" s="233" t="s">
        <v>173</v>
      </c>
      <c r="B112" s="234">
        <f>VLOOKUP($A112,'IRIS iTunes data'!$A$138:$B$249,2,FALSE)</f>
        <v>0</v>
      </c>
      <c r="C112" s="234">
        <f>VLOOKUP($A112,'IRIS iTunes data'!$G$138:$H$249,2,FALSE)</f>
        <v>0</v>
      </c>
      <c r="D112" s="234">
        <f>VLOOKUP($A112,'IRIS iTunes data'!$M$138:$N$249,2,FALSE)</f>
        <v>0</v>
      </c>
      <c r="E112" s="234">
        <f>VLOOKUP($A112,'IRIS iTunes data'!$S$138:$T$249,2,FALSE)</f>
        <v>0</v>
      </c>
      <c r="F112" s="234">
        <f>VLOOKUP($A112,'IRIS iTunes data'!$Y$138:$Z$249,2,FALSE)</f>
        <v>0</v>
      </c>
      <c r="G112" s="235">
        <f t="shared" si="26"/>
        <v>0</v>
      </c>
      <c r="H112" s="215">
        <f t="shared" si="21"/>
        <v>0</v>
      </c>
      <c r="I112" s="304">
        <f>VLOOKUP($A112,[6]IRIS!$J:$U,12,FALSE)</f>
        <v>3.0083379106212385</v>
      </c>
      <c r="J112" s="237">
        <f t="shared" si="27"/>
        <v>-3.0083379106212385</v>
      </c>
      <c r="K112" s="238">
        <f t="shared" si="28"/>
        <v>-1</v>
      </c>
      <c r="L112" s="259">
        <v>0</v>
      </c>
      <c r="M112" s="236">
        <f t="shared" si="22"/>
        <v>0</v>
      </c>
      <c r="N112" s="236">
        <v>7.7424612916996418</v>
      </c>
      <c r="O112" s="237">
        <f t="shared" si="29"/>
        <v>-7.7424612916996418</v>
      </c>
      <c r="P112" s="238">
        <f t="shared" si="24"/>
        <v>-1</v>
      </c>
      <c r="R112" s="208"/>
      <c r="S112" s="154"/>
      <c r="T112" s="104"/>
      <c r="U112" s="104"/>
    </row>
    <row r="113" spans="1:21" s="3" customFormat="1">
      <c r="A113" s="233" t="s">
        <v>174</v>
      </c>
      <c r="B113" s="234">
        <f>VLOOKUP($A113,'IRIS iTunes data'!$A$138:$B$249,2,FALSE)</f>
        <v>10.37</v>
      </c>
      <c r="C113" s="234">
        <f>VLOOKUP($A113,'IRIS iTunes data'!$G$138:$H$249,2,FALSE)</f>
        <v>2.44</v>
      </c>
      <c r="D113" s="234">
        <f>VLOOKUP($A113,'IRIS iTunes data'!$M$138:$N$249,2,FALSE)</f>
        <v>0</v>
      </c>
      <c r="E113" s="234">
        <f>VLOOKUP($A113,'IRIS iTunes data'!$S$138:$T$249,2,FALSE)</f>
        <v>0</v>
      </c>
      <c r="F113" s="234">
        <f>VLOOKUP($A113,'IRIS iTunes data'!$Y$138:$Z$249,2,FALSE)</f>
        <v>0</v>
      </c>
      <c r="G113" s="235">
        <f t="shared" si="26"/>
        <v>12.809999999999999</v>
      </c>
      <c r="H113" s="215">
        <f t="shared" si="21"/>
        <v>25.619999999999997</v>
      </c>
      <c r="I113" s="304">
        <f>VLOOKUP($A113,[6]IRIS!$J:$U,12,FALSE)</f>
        <v>200.00050701482985</v>
      </c>
      <c r="J113" s="237">
        <f t="shared" si="27"/>
        <v>-174.38050701482985</v>
      </c>
      <c r="K113" s="238">
        <f t="shared" si="28"/>
        <v>-0.87190032474217527</v>
      </c>
      <c r="L113" s="259">
        <v>54.489999999999995</v>
      </c>
      <c r="M113" s="236">
        <f t="shared" si="22"/>
        <v>80.109999999999985</v>
      </c>
      <c r="N113" s="236">
        <v>514.73479040220241</v>
      </c>
      <c r="O113" s="237">
        <f t="shared" si="29"/>
        <v>-434.62479040220239</v>
      </c>
      <c r="P113" s="238">
        <f t="shared" si="24"/>
        <v>-0.84436645532079957</v>
      </c>
      <c r="R113" s="208"/>
      <c r="S113" s="154"/>
      <c r="T113" s="104"/>
      <c r="U113" s="104"/>
    </row>
    <row r="114" spans="1:21" s="3" customFormat="1">
      <c r="A114" s="233" t="s">
        <v>176</v>
      </c>
      <c r="B114" s="234">
        <f>VLOOKUP($A114,'IRIS iTunes data'!$A$138:$B$249,2,FALSE)</f>
        <v>0</v>
      </c>
      <c r="C114" s="234">
        <f>VLOOKUP($A114,'IRIS iTunes data'!$G$138:$H$249,2,FALSE)</f>
        <v>0</v>
      </c>
      <c r="D114" s="234">
        <f>VLOOKUP($A114,'IRIS iTunes data'!$M$138:$N$249,2,FALSE)</f>
        <v>0</v>
      </c>
      <c r="E114" s="234">
        <f>VLOOKUP($A114,'IRIS iTunes data'!$S$138:$T$249,2,FALSE)</f>
        <v>0</v>
      </c>
      <c r="F114" s="234">
        <f>VLOOKUP($A114,'IRIS iTunes data'!$Y$138:$Z$249,2,FALSE)</f>
        <v>0</v>
      </c>
      <c r="G114" s="235">
        <f t="shared" si="26"/>
        <v>0</v>
      </c>
      <c r="H114" s="215">
        <f t="shared" si="21"/>
        <v>0</v>
      </c>
      <c r="I114" s="304">
        <f>VLOOKUP($A114,[6]IRIS!$J:$U,12,FALSE)</f>
        <v>3.762356237905442</v>
      </c>
      <c r="J114" s="237">
        <f t="shared" si="27"/>
        <v>-3.762356237905442</v>
      </c>
      <c r="K114" s="238">
        <f t="shared" si="28"/>
        <v>-1</v>
      </c>
      <c r="L114" s="259">
        <v>0</v>
      </c>
      <c r="M114" s="236">
        <f t="shared" si="22"/>
        <v>0</v>
      </c>
      <c r="N114" s="236">
        <v>9.6830537004242618</v>
      </c>
      <c r="O114" s="237">
        <f t="shared" si="29"/>
        <v>-9.6830537004242618</v>
      </c>
      <c r="P114" s="238">
        <f t="shared" si="24"/>
        <v>-1</v>
      </c>
      <c r="R114" s="208"/>
      <c r="S114" s="154"/>
      <c r="T114" s="104"/>
      <c r="U114" s="104"/>
    </row>
    <row r="115" spans="1:21" s="3" customFormat="1">
      <c r="A115" s="233" t="s">
        <v>181</v>
      </c>
      <c r="B115" s="234">
        <f>VLOOKUP($A115,'IRIS iTunes data'!$A$138:$B$249,2,FALSE)</f>
        <v>0</v>
      </c>
      <c r="C115" s="234">
        <f>VLOOKUP($A115,'IRIS iTunes data'!$G$138:$H$249,2,FALSE)</f>
        <v>0</v>
      </c>
      <c r="D115" s="234">
        <f>VLOOKUP($A115,'IRIS iTunes data'!$M$138:$N$249,2,FALSE)</f>
        <v>0</v>
      </c>
      <c r="E115" s="234">
        <f>VLOOKUP($A115,'IRIS iTunes data'!$S$138:$T$249,2,FALSE)</f>
        <v>0</v>
      </c>
      <c r="F115" s="234">
        <f>VLOOKUP($A115,'IRIS iTunes data'!$Y$138:$Z$249,2,FALSE)</f>
        <v>0</v>
      </c>
      <c r="G115" s="235">
        <f t="shared" si="26"/>
        <v>0</v>
      </c>
      <c r="H115" s="215">
        <f t="shared" si="21"/>
        <v>0</v>
      </c>
      <c r="I115" s="304">
        <f>VLOOKUP($A115,[6]IRIS!$J:$U,12,FALSE)</f>
        <v>3.7745119061733989</v>
      </c>
      <c r="J115" s="237">
        <f t="shared" si="27"/>
        <v>-3.7745119061733989</v>
      </c>
      <c r="K115" s="238">
        <f t="shared" si="28"/>
        <v>-1</v>
      </c>
      <c r="L115" s="259">
        <v>0</v>
      </c>
      <c r="M115" s="236">
        <f t="shared" si="22"/>
        <v>0</v>
      </c>
      <c r="N115" s="236">
        <v>9.7143383479058887</v>
      </c>
      <c r="O115" s="237">
        <f t="shared" si="29"/>
        <v>-9.7143383479058887</v>
      </c>
      <c r="P115" s="238">
        <f t="shared" si="24"/>
        <v>-1</v>
      </c>
      <c r="R115" s="208"/>
      <c r="S115" s="154"/>
      <c r="T115" s="104"/>
      <c r="U115" s="104"/>
    </row>
    <row r="116" spans="1:21" s="3" customFormat="1">
      <c r="A116" s="233" t="s">
        <v>183</v>
      </c>
      <c r="B116" s="234">
        <f>VLOOKUP($A116,'IRIS iTunes data'!$A$138:$B$249,2,FALSE)</f>
        <v>273.32366380000076</v>
      </c>
      <c r="C116" s="234">
        <f>VLOOKUP($A116,'IRIS iTunes data'!$G$138:$H$249,2,FALSE)</f>
        <v>157.18411499999991</v>
      </c>
      <c r="D116" s="234">
        <f>VLOOKUP($A116,'IRIS iTunes data'!$M$138:$N$249,2,FALSE)</f>
        <v>0</v>
      </c>
      <c r="E116" s="234">
        <f>VLOOKUP($A116,'IRIS iTunes data'!$S$138:$T$249,2,FALSE)</f>
        <v>0</v>
      </c>
      <c r="F116" s="234">
        <f>VLOOKUP($A116,'IRIS iTunes data'!$Y$138:$Z$249,2,FALSE)</f>
        <v>0</v>
      </c>
      <c r="G116" s="235">
        <f t="shared" si="26"/>
        <v>430.50777880000066</v>
      </c>
      <c r="H116" s="215">
        <f t="shared" si="21"/>
        <v>861.01555760000133</v>
      </c>
      <c r="I116" s="304">
        <f>VLOOKUP($A116,[6]IRIS!$J:$U,12,FALSE)</f>
        <v>1974.4216519075399</v>
      </c>
      <c r="J116" s="237">
        <f t="shared" si="27"/>
        <v>-1113.4060943075385</v>
      </c>
      <c r="K116" s="238">
        <f t="shared" si="28"/>
        <v>-0.56391505493866934</v>
      </c>
      <c r="L116" s="259">
        <v>1638.2326106000014</v>
      </c>
      <c r="M116" s="236">
        <f t="shared" si="22"/>
        <v>2499.2481682000025</v>
      </c>
      <c r="N116" s="236">
        <v>5081.5046938098003</v>
      </c>
      <c r="O116" s="237">
        <f t="shared" si="29"/>
        <v>-2582.2565256097978</v>
      </c>
      <c r="P116" s="238">
        <f t="shared" si="24"/>
        <v>-0.50816769465065281</v>
      </c>
      <c r="R116" s="208"/>
      <c r="S116" s="154"/>
      <c r="T116" s="104"/>
      <c r="U116" s="104"/>
    </row>
    <row r="117" spans="1:21" s="3" customFormat="1">
      <c r="A117" s="233" t="s">
        <v>185</v>
      </c>
      <c r="B117" s="234">
        <f>VLOOKUP($A117,'IRIS iTunes data'!$A$138:$B$249,2,FALSE)</f>
        <v>0</v>
      </c>
      <c r="C117" s="234">
        <f>VLOOKUP($A117,'IRIS iTunes data'!$G$138:$H$249,2,FALSE)</f>
        <v>0</v>
      </c>
      <c r="D117" s="234">
        <f>VLOOKUP($A117,'IRIS iTunes data'!$M$138:$N$249,2,FALSE)</f>
        <v>0</v>
      </c>
      <c r="E117" s="234">
        <f>VLOOKUP($A117,'IRIS iTunes data'!$S$138:$T$249,2,FALSE)</f>
        <v>0</v>
      </c>
      <c r="F117" s="234">
        <f>VLOOKUP($A117,'IRIS iTunes data'!$Y$138:$Z$249,2,FALSE)</f>
        <v>0</v>
      </c>
      <c r="G117" s="235">
        <f t="shared" si="26"/>
        <v>0</v>
      </c>
      <c r="H117" s="215">
        <f t="shared" si="21"/>
        <v>0</v>
      </c>
      <c r="I117" s="304">
        <f>VLOOKUP($A117,[6]IRIS!$J:$U,12,FALSE)</f>
        <v>0.60667718341339971</v>
      </c>
      <c r="J117" s="237">
        <f t="shared" si="27"/>
        <v>-0.60667718341339971</v>
      </c>
      <c r="K117" s="238">
        <f t="shared" si="28"/>
        <v>-1</v>
      </c>
      <c r="L117" s="259">
        <v>0</v>
      </c>
      <c r="M117" s="236">
        <f t="shared" si="22"/>
        <v>0</v>
      </c>
      <c r="N117" s="236">
        <v>1.5613853060029481</v>
      </c>
      <c r="O117" s="237">
        <f t="shared" si="29"/>
        <v>-1.5613853060029481</v>
      </c>
      <c r="P117" s="238">
        <f t="shared" si="24"/>
        <v>-1</v>
      </c>
      <c r="R117" s="208"/>
      <c r="S117" s="154"/>
      <c r="T117" s="104"/>
      <c r="U117" s="104"/>
    </row>
    <row r="118" spans="1:21" s="3" customFormat="1">
      <c r="A118" s="233" t="s">
        <v>187</v>
      </c>
      <c r="B118" s="234">
        <f>VLOOKUP($A118,'IRIS iTunes data'!$A$138:$B$249,2,FALSE)</f>
        <v>0</v>
      </c>
      <c r="C118" s="234">
        <f>VLOOKUP($A118,'IRIS iTunes data'!$G$138:$H$249,2,FALSE)</f>
        <v>0</v>
      </c>
      <c r="D118" s="234">
        <f>VLOOKUP($A118,'IRIS iTunes data'!$M$138:$N$249,2,FALSE)</f>
        <v>0</v>
      </c>
      <c r="E118" s="234">
        <f>VLOOKUP($A118,'IRIS iTunes data'!$S$138:$T$249,2,FALSE)</f>
        <v>0</v>
      </c>
      <c r="F118" s="234">
        <f>VLOOKUP($A118,'IRIS iTunes data'!$Y$138:$Z$249,2,FALSE)</f>
        <v>0</v>
      </c>
      <c r="G118" s="235">
        <f t="shared" si="26"/>
        <v>0</v>
      </c>
      <c r="H118" s="215">
        <f t="shared" si="21"/>
        <v>0</v>
      </c>
      <c r="I118" s="304">
        <f>VLOOKUP($A118,[6]IRIS!$J:$U,12,FALSE)</f>
        <v>1.6200159521889581</v>
      </c>
      <c r="J118" s="237">
        <f t="shared" si="27"/>
        <v>-1.6200159521889581</v>
      </c>
      <c r="K118" s="238">
        <f t="shared" si="28"/>
        <v>-1</v>
      </c>
      <c r="L118" s="259">
        <v>0</v>
      </c>
      <c r="M118" s="236">
        <f t="shared" si="22"/>
        <v>0</v>
      </c>
      <c r="N118" s="236">
        <v>4.1693822882977818</v>
      </c>
      <c r="O118" s="237">
        <f t="shared" si="29"/>
        <v>-4.1693822882977818</v>
      </c>
      <c r="P118" s="238">
        <f t="shared" si="24"/>
        <v>-1</v>
      </c>
      <c r="R118" s="208"/>
      <c r="S118" s="154"/>
      <c r="T118" s="104"/>
      <c r="U118" s="104"/>
    </row>
    <row r="119" spans="1:21" s="3" customFormat="1">
      <c r="A119" s="233" t="s">
        <v>189</v>
      </c>
      <c r="B119" s="234">
        <f>VLOOKUP($A119,'IRIS iTunes data'!$A$138:$B$249,2,FALSE)</f>
        <v>3.6599999999999997</v>
      </c>
      <c r="C119" s="234">
        <f>VLOOKUP($A119,'IRIS iTunes data'!$G$138:$H$249,2,FALSE)</f>
        <v>1.22</v>
      </c>
      <c r="D119" s="234">
        <f>VLOOKUP($A119,'IRIS iTunes data'!$M$138:$N$249,2,FALSE)</f>
        <v>0</v>
      </c>
      <c r="E119" s="234">
        <f>VLOOKUP($A119,'IRIS iTunes data'!$S$138:$T$249,2,FALSE)</f>
        <v>0</v>
      </c>
      <c r="F119" s="234">
        <f>VLOOKUP($A119,'IRIS iTunes data'!$Y$138:$Z$249,2,FALSE)</f>
        <v>0</v>
      </c>
      <c r="G119" s="235">
        <f t="shared" si="26"/>
        <v>4.88</v>
      </c>
      <c r="H119" s="215">
        <f t="shared" si="21"/>
        <v>9.76</v>
      </c>
      <c r="I119" s="304">
        <f>VLOOKUP($A119,[6]IRIS!$J:$U,12,FALSE)</f>
        <v>57.26340086423162</v>
      </c>
      <c r="J119" s="237">
        <f t="shared" si="27"/>
        <v>-47.503400864231622</v>
      </c>
      <c r="K119" s="238">
        <f t="shared" si="28"/>
        <v>-0.82955954671395749</v>
      </c>
      <c r="L119" s="259">
        <v>45.2575</v>
      </c>
      <c r="M119" s="236">
        <f t="shared" si="22"/>
        <v>55.017499999999998</v>
      </c>
      <c r="N119" s="236">
        <v>147.37694959634268</v>
      </c>
      <c r="O119" s="237">
        <f t="shared" si="29"/>
        <v>-92.359449596342685</v>
      </c>
      <c r="P119" s="238">
        <f t="shared" si="24"/>
        <v>-0.62668856866226441</v>
      </c>
      <c r="R119" s="208"/>
      <c r="S119" s="154"/>
      <c r="T119" s="104"/>
      <c r="U119" s="104"/>
    </row>
    <row r="120" spans="1:21" s="3" customFormat="1">
      <c r="A120" s="233" t="s">
        <v>191</v>
      </c>
      <c r="B120" s="234">
        <f>VLOOKUP($A120,'IRIS iTunes data'!$A$138:$B$249,2,FALSE)</f>
        <v>0</v>
      </c>
      <c r="C120" s="234">
        <f>VLOOKUP($A120,'IRIS iTunes data'!$G$138:$H$249,2,FALSE)</f>
        <v>0</v>
      </c>
      <c r="D120" s="234">
        <f>VLOOKUP($A120,'IRIS iTunes data'!$M$138:$N$249,2,FALSE)</f>
        <v>0</v>
      </c>
      <c r="E120" s="234">
        <f>VLOOKUP($A120,'IRIS iTunes data'!$S$138:$T$249,2,FALSE)</f>
        <v>0</v>
      </c>
      <c r="F120" s="234">
        <f>VLOOKUP($A120,'IRIS iTunes data'!$Y$138:$Z$249,2,FALSE)</f>
        <v>0</v>
      </c>
      <c r="G120" s="235">
        <f t="shared" si="26"/>
        <v>0</v>
      </c>
      <c r="H120" s="215">
        <f t="shared" si="21"/>
        <v>0</v>
      </c>
      <c r="I120" s="304">
        <f>VLOOKUP($A120,[6]IRIS!$J:$U,12,FALSE)</f>
        <v>0.45196898037305722</v>
      </c>
      <c r="J120" s="237">
        <f t="shared" si="27"/>
        <v>-0.45196898037305722</v>
      </c>
      <c r="K120" s="238">
        <f t="shared" si="28"/>
        <v>-1</v>
      </c>
      <c r="L120" s="259">
        <v>0</v>
      </c>
      <c r="M120" s="236">
        <f t="shared" si="22"/>
        <v>0</v>
      </c>
      <c r="N120" s="236">
        <v>1.1632178430596301</v>
      </c>
      <c r="O120" s="237">
        <f t="shared" si="29"/>
        <v>-1.1632178430596301</v>
      </c>
      <c r="P120" s="238">
        <f t="shared" si="24"/>
        <v>-1</v>
      </c>
      <c r="R120" s="208"/>
      <c r="S120" s="154"/>
      <c r="T120" s="104"/>
      <c r="U120" s="104"/>
    </row>
    <row r="121" spans="1:21" s="3" customFormat="1">
      <c r="A121" s="233" t="s">
        <v>192</v>
      </c>
      <c r="B121" s="234">
        <f>VLOOKUP($A121,'IRIS iTunes data'!$A$138:$B$249,2,FALSE)</f>
        <v>0</v>
      </c>
      <c r="C121" s="234">
        <f>VLOOKUP($A121,'IRIS iTunes data'!$G$138:$H$249,2,FALSE)</f>
        <v>0</v>
      </c>
      <c r="D121" s="234">
        <f>VLOOKUP($A121,'IRIS iTunes data'!$M$138:$N$249,2,FALSE)</f>
        <v>0</v>
      </c>
      <c r="E121" s="234">
        <f>VLOOKUP($A121,'IRIS iTunes data'!$S$138:$T$249,2,FALSE)</f>
        <v>0</v>
      </c>
      <c r="F121" s="234">
        <f>VLOOKUP($A121,'IRIS iTunes data'!$Y$138:$Z$249,2,FALSE)</f>
        <v>0</v>
      </c>
      <c r="G121" s="235">
        <f t="shared" si="26"/>
        <v>0</v>
      </c>
      <c r="H121" s="215">
        <f t="shared" si="21"/>
        <v>0</v>
      </c>
      <c r="I121" s="304">
        <f>VLOOKUP($A121,[6]IRIS!$J:$U,12,FALSE)</f>
        <v>4.0669840787988152</v>
      </c>
      <c r="J121" s="237">
        <f t="shared" si="27"/>
        <v>-4.0669840787988152</v>
      </c>
      <c r="K121" s="238">
        <f t="shared" si="28"/>
        <v>-1</v>
      </c>
      <c r="L121" s="259">
        <v>5.49</v>
      </c>
      <c r="M121" s="236">
        <f t="shared" si="22"/>
        <v>5.49</v>
      </c>
      <c r="N121" s="236">
        <v>10.467064452063502</v>
      </c>
      <c r="O121" s="237">
        <f t="shared" si="29"/>
        <v>-4.9770644520635017</v>
      </c>
      <c r="P121" s="238">
        <f t="shared" si="24"/>
        <v>-0.47549764070501271</v>
      </c>
      <c r="R121" s="208"/>
      <c r="S121" s="154"/>
      <c r="T121" s="104"/>
      <c r="U121" s="104"/>
    </row>
    <row r="122" spans="1:21" s="3" customFormat="1">
      <c r="A122" s="233" t="s">
        <v>193</v>
      </c>
      <c r="B122" s="234">
        <f>VLOOKUP($A122,'IRIS iTunes data'!$A$138:$B$249,2,FALSE)</f>
        <v>0</v>
      </c>
      <c r="C122" s="234">
        <f>VLOOKUP($A122,'IRIS iTunes data'!$G$138:$H$249,2,FALSE)</f>
        <v>0</v>
      </c>
      <c r="D122" s="234">
        <f>VLOOKUP($A122,'IRIS iTunes data'!$M$138:$N$249,2,FALSE)</f>
        <v>0</v>
      </c>
      <c r="E122" s="234">
        <f>VLOOKUP($A122,'IRIS iTunes data'!$S$138:$T$249,2,FALSE)</f>
        <v>0</v>
      </c>
      <c r="F122" s="234">
        <f>VLOOKUP($A122,'IRIS iTunes data'!$Y$138:$Z$249,2,FALSE)</f>
        <v>0</v>
      </c>
      <c r="G122" s="235">
        <f t="shared" si="26"/>
        <v>0</v>
      </c>
      <c r="H122" s="215">
        <f t="shared" si="21"/>
        <v>0</v>
      </c>
      <c r="I122" s="304">
        <f>VLOOKUP($A122,[6]IRIS!$J:$U,12,FALSE)</f>
        <v>83.861794223607376</v>
      </c>
      <c r="J122" s="237">
        <f t="shared" si="27"/>
        <v>-83.861794223607376</v>
      </c>
      <c r="K122" s="238">
        <f t="shared" si="28"/>
        <v>-1</v>
      </c>
      <c r="L122" s="259">
        <v>57.949999999999996</v>
      </c>
      <c r="M122" s="236">
        <f t="shared" si="22"/>
        <v>57.949999999999996</v>
      </c>
      <c r="N122" s="236">
        <v>215.83236821114866</v>
      </c>
      <c r="O122" s="237">
        <f t="shared" si="29"/>
        <v>-157.88236821114867</v>
      </c>
      <c r="P122" s="238">
        <f t="shared" si="24"/>
        <v>-0.73150459089941722</v>
      </c>
      <c r="R122" s="208"/>
      <c r="S122" s="154"/>
      <c r="T122" s="104"/>
      <c r="U122" s="104"/>
    </row>
    <row r="123" spans="1:21" s="3" customFormat="1">
      <c r="A123" s="233" t="s">
        <v>194</v>
      </c>
      <c r="B123" s="234">
        <f>VLOOKUP($A123,'IRIS iTunes data'!$A$138:$B$249,2,FALSE)</f>
        <v>0</v>
      </c>
      <c r="C123" s="234">
        <f>VLOOKUP($A123,'IRIS iTunes data'!$G$138:$H$249,2,FALSE)</f>
        <v>0</v>
      </c>
      <c r="D123" s="234">
        <f>VLOOKUP($A123,'IRIS iTunes data'!$M$138:$N$249,2,FALSE)</f>
        <v>0</v>
      </c>
      <c r="E123" s="234">
        <f>VLOOKUP($A123,'IRIS iTunes data'!$S$138:$T$249,2,FALSE)</f>
        <v>0</v>
      </c>
      <c r="F123" s="234">
        <f>VLOOKUP($A123,'IRIS iTunes data'!$Y$138:$Z$249,2,FALSE)</f>
        <v>0</v>
      </c>
      <c r="G123" s="235">
        <f t="shared" si="26"/>
        <v>0</v>
      </c>
      <c r="H123" s="215">
        <f t="shared" si="21"/>
        <v>0</v>
      </c>
      <c r="I123" s="304">
        <f>VLOOKUP($A123,[6]IRIS!$J:$U,12,FALSE)</f>
        <v>0.96029597085797147</v>
      </c>
      <c r="J123" s="237">
        <f t="shared" si="27"/>
        <v>-0.96029597085797147</v>
      </c>
      <c r="K123" s="238">
        <f t="shared" si="28"/>
        <v>-1</v>
      </c>
      <c r="L123" s="259">
        <v>0</v>
      </c>
      <c r="M123" s="236">
        <f t="shared" si="22"/>
        <v>0</v>
      </c>
      <c r="N123" s="236">
        <v>2.4714824610269899</v>
      </c>
      <c r="O123" s="237">
        <f t="shared" si="29"/>
        <v>-2.4714824610269899</v>
      </c>
      <c r="P123" s="238">
        <f t="shared" si="24"/>
        <v>-1</v>
      </c>
      <c r="R123" s="208"/>
      <c r="S123" s="154"/>
      <c r="T123" s="104"/>
      <c r="U123" s="104"/>
    </row>
    <row r="124" spans="1:21" s="3" customFormat="1">
      <c r="A124" s="233" t="s">
        <v>197</v>
      </c>
      <c r="B124" s="234">
        <f>VLOOKUP($A124,'IRIS iTunes data'!$A$138:$B$249,2,FALSE)</f>
        <v>0</v>
      </c>
      <c r="C124" s="234">
        <f>VLOOKUP($A124,'IRIS iTunes data'!$G$138:$H$249,2,FALSE)</f>
        <v>0</v>
      </c>
      <c r="D124" s="234">
        <f>VLOOKUP($A124,'IRIS iTunes data'!$M$138:$N$249,2,FALSE)</f>
        <v>0</v>
      </c>
      <c r="E124" s="234">
        <f>VLOOKUP($A124,'IRIS iTunes data'!$S$138:$T$249,2,FALSE)</f>
        <v>0</v>
      </c>
      <c r="F124" s="234">
        <f>VLOOKUP($A124,'IRIS iTunes data'!$Y$138:$Z$249,2,FALSE)</f>
        <v>0</v>
      </c>
      <c r="G124" s="235">
        <f t="shared" si="26"/>
        <v>0</v>
      </c>
      <c r="H124" s="215">
        <f t="shared" si="21"/>
        <v>0</v>
      </c>
      <c r="I124" s="304">
        <f>VLOOKUP($A124,[6]IRIS!$J:$U,12,FALSE)</f>
        <v>4.9595030916845761</v>
      </c>
      <c r="J124" s="237">
        <f t="shared" si="27"/>
        <v>-4.9595030916845761</v>
      </c>
      <c r="K124" s="238">
        <f t="shared" si="28"/>
        <v>-1</v>
      </c>
      <c r="L124" s="259">
        <v>0</v>
      </c>
      <c r="M124" s="236">
        <f t="shared" si="22"/>
        <v>0</v>
      </c>
      <c r="N124" s="236">
        <v>12.764111564017412</v>
      </c>
      <c r="O124" s="237">
        <f t="shared" si="29"/>
        <v>-12.764111564017412</v>
      </c>
      <c r="P124" s="238">
        <f t="shared" si="24"/>
        <v>-1</v>
      </c>
      <c r="R124" s="208"/>
      <c r="S124" s="154"/>
      <c r="T124" s="104"/>
      <c r="U124" s="104"/>
    </row>
    <row r="125" spans="1:21" s="3" customFormat="1">
      <c r="A125" s="233" t="s">
        <v>198</v>
      </c>
      <c r="B125" s="234">
        <f>VLOOKUP($A125,'IRIS iTunes data'!$A$138:$B$249,2,FALSE)</f>
        <v>0</v>
      </c>
      <c r="C125" s="234">
        <f>VLOOKUP($A125,'IRIS iTunes data'!$G$138:$H$249,2,FALSE)</f>
        <v>0</v>
      </c>
      <c r="D125" s="234">
        <f>VLOOKUP($A125,'IRIS iTunes data'!$M$138:$N$249,2,FALSE)</f>
        <v>0</v>
      </c>
      <c r="E125" s="234">
        <f>VLOOKUP($A125,'IRIS iTunes data'!$S$138:$T$249,2,FALSE)</f>
        <v>0</v>
      </c>
      <c r="F125" s="234">
        <f>VLOOKUP($A125,'IRIS iTunes data'!$Y$138:$Z$249,2,FALSE)</f>
        <v>0</v>
      </c>
      <c r="G125" s="235">
        <f t="shared" si="26"/>
        <v>0</v>
      </c>
      <c r="H125" s="215">
        <f t="shared" si="21"/>
        <v>0</v>
      </c>
      <c r="I125" s="304">
        <f>VLOOKUP($A125,[6]IRIS!$J:$U,12,FALSE)</f>
        <v>4.9355601362102473</v>
      </c>
      <c r="J125" s="237">
        <f t="shared" si="27"/>
        <v>-4.9355601362102473</v>
      </c>
      <c r="K125" s="238">
        <f t="shared" si="28"/>
        <v>-1</v>
      </c>
      <c r="L125" s="259">
        <v>32.209999999999994</v>
      </c>
      <c r="M125" s="236">
        <f t="shared" si="22"/>
        <v>32.209999999999994</v>
      </c>
      <c r="N125" s="236">
        <v>12.702490359393295</v>
      </c>
      <c r="O125" s="237">
        <f>M125-N125</f>
        <v>19.507509640606699</v>
      </c>
      <c r="P125" s="238">
        <f>O125/N125</f>
        <v>1.5357232391978317</v>
      </c>
      <c r="R125" s="208"/>
      <c r="S125" s="154"/>
      <c r="T125" s="104"/>
      <c r="U125" s="104"/>
    </row>
    <row r="126" spans="1:21" ht="13" thickBot="1">
      <c r="A126" s="100"/>
      <c r="B126" s="101"/>
      <c r="C126" s="101"/>
      <c r="D126" s="101"/>
      <c r="E126" s="102"/>
      <c r="F126" s="102"/>
      <c r="G126" s="103"/>
      <c r="H126" s="107"/>
      <c r="I126" s="106"/>
      <c r="J126" s="50"/>
      <c r="K126" s="110"/>
      <c r="L126" s="255"/>
      <c r="M126" s="28"/>
      <c r="N126" s="29"/>
      <c r="O126" s="29"/>
      <c r="P126" s="78"/>
    </row>
    <row r="127" spans="1:21" ht="13" thickBot="1">
      <c r="A127" s="30" t="s">
        <v>15</v>
      </c>
      <c r="B127" s="35">
        <f t="shared" ref="B127:H127" si="30">SUM(B4,B8:B9,B14,B18,B22,B27,B30:B31,B34:B36,B49,B67,B81)</f>
        <v>37906.337110102439</v>
      </c>
      <c r="C127" s="35">
        <f t="shared" si="30"/>
        <v>36336.563193702466</v>
      </c>
      <c r="D127" s="35">
        <f t="shared" si="30"/>
        <v>0</v>
      </c>
      <c r="E127" s="35">
        <f t="shared" si="30"/>
        <v>0</v>
      </c>
      <c r="F127" s="35">
        <f t="shared" si="30"/>
        <v>0</v>
      </c>
      <c r="G127" s="35">
        <f t="shared" si="30"/>
        <v>74242.900303804898</v>
      </c>
      <c r="H127" s="35">
        <f t="shared" si="30"/>
        <v>148485.8006076098</v>
      </c>
      <c r="I127" s="35">
        <f>SUM(I4,I8:I9,I14,I18,I22,I27,I30:I31,I34:I36,I49,I67,I81)</f>
        <v>276197.91725133994</v>
      </c>
      <c r="J127" s="51">
        <f>H127-I127</f>
        <v>-127712.11664373014</v>
      </c>
      <c r="K127" s="111">
        <f>J127/I127</f>
        <v>-0.46239348187232054</v>
      </c>
      <c r="L127" s="261">
        <f>SUM(L4,L8:L9,L14,L18,L22,L27,L30:L31,L34:L36,L49,L67,L81)</f>
        <v>402631.86247272481</v>
      </c>
      <c r="M127" s="35">
        <f>SUM(M4,M8:M9,M14,M18,M22,M27,M30:M31,M34:M36,M49,M67,M81)</f>
        <v>551117.66308033455</v>
      </c>
      <c r="N127" s="35">
        <f>SUM(N4,N8:N9,N14,N18,N22,N27,N30:N31,N34:N36,N49,N67,N81)</f>
        <v>710841.583193345</v>
      </c>
      <c r="O127" s="112">
        <f>M127-N127</f>
        <v>-159723.92011301045</v>
      </c>
      <c r="P127" s="36">
        <f>O127/N127</f>
        <v>-0.22469692810524061</v>
      </c>
      <c r="S127" s="104">
        <f>I127-25000</f>
        <v>251197.91725133994</v>
      </c>
    </row>
    <row r="129" spans="1:12" s="263" customFormat="1" ht="14">
      <c r="A129" s="339" t="s">
        <v>9</v>
      </c>
      <c r="B129" s="247">
        <f>B$4</f>
        <v>24704.017657502442</v>
      </c>
      <c r="C129" s="247">
        <f t="shared" ref="C129:K129" si="31">C$4</f>
        <v>23964.451456902465</v>
      </c>
      <c r="D129" s="247">
        <f t="shared" si="31"/>
        <v>0</v>
      </c>
      <c r="E129" s="247">
        <f t="shared" si="31"/>
        <v>0</v>
      </c>
      <c r="F129" s="247">
        <f t="shared" si="31"/>
        <v>0</v>
      </c>
      <c r="G129" s="247">
        <f t="shared" si="31"/>
        <v>48668.469114404907</v>
      </c>
      <c r="H129" s="247">
        <f t="shared" si="31"/>
        <v>97336.938228809813</v>
      </c>
      <c r="I129" s="247">
        <f t="shared" si="31"/>
        <v>162263.99078923994</v>
      </c>
      <c r="J129" s="247">
        <f t="shared" si="31"/>
        <v>-64927.052560430122</v>
      </c>
      <c r="K129" s="247">
        <f t="shared" si="31"/>
        <v>-0.40013223047596563</v>
      </c>
      <c r="L129" s="73"/>
    </row>
    <row r="130" spans="1:12" s="263" customFormat="1" ht="14">
      <c r="A130" s="340" t="s">
        <v>24</v>
      </c>
      <c r="B130" s="247">
        <f>B$8+B$9+B$14+B$18+B$22+B$27+B$36</f>
        <v>7449.6541080000516</v>
      </c>
      <c r="C130" s="247">
        <f t="shared" ref="C130:K130" si="32">C$8+C$9+C$14+C$18+C$22+C$27+C$36</f>
        <v>7156.4583090000478</v>
      </c>
      <c r="D130" s="247">
        <f t="shared" si="32"/>
        <v>0</v>
      </c>
      <c r="E130" s="247">
        <f t="shared" si="32"/>
        <v>0</v>
      </c>
      <c r="F130" s="247">
        <f t="shared" si="32"/>
        <v>0</v>
      </c>
      <c r="G130" s="247">
        <f t="shared" si="32"/>
        <v>14606.1124170001</v>
      </c>
      <c r="H130" s="247">
        <f t="shared" si="32"/>
        <v>29212.224834000201</v>
      </c>
      <c r="I130" s="247">
        <f t="shared" si="32"/>
        <v>72160.345969654343</v>
      </c>
      <c r="J130" s="247">
        <f t="shared" si="32"/>
        <v>-42948.121135654132</v>
      </c>
      <c r="K130" s="247">
        <f t="shared" si="32"/>
        <v>-4.1374780790592176</v>
      </c>
      <c r="L130" s="73"/>
    </row>
    <row r="131" spans="1:12" s="263" customFormat="1" ht="14">
      <c r="A131" s="340" t="s">
        <v>26</v>
      </c>
      <c r="B131" s="247">
        <f>B$30+B$31+B$34+B$35+B$49+B$67+B$81</f>
        <v>5752.6653445999409</v>
      </c>
      <c r="C131" s="247">
        <f t="shared" ref="C131:K131" si="33">C$30+C$31+C$34+C$35+C$49+C$67+C$81</f>
        <v>5215.6534277999535</v>
      </c>
      <c r="D131" s="247">
        <f t="shared" si="33"/>
        <v>0</v>
      </c>
      <c r="E131" s="247">
        <f t="shared" si="33"/>
        <v>0</v>
      </c>
      <c r="F131" s="247">
        <f t="shared" si="33"/>
        <v>0</v>
      </c>
      <c r="G131" s="247">
        <f t="shared" si="33"/>
        <v>10968.318772399896</v>
      </c>
      <c r="H131" s="247">
        <f t="shared" si="33"/>
        <v>21936.637544799793</v>
      </c>
      <c r="I131" s="247">
        <f t="shared" si="33"/>
        <v>41773.580492445792</v>
      </c>
      <c r="J131" s="247">
        <f t="shared" si="33"/>
        <v>-19836.942947645999</v>
      </c>
      <c r="K131" s="247">
        <f t="shared" si="33"/>
        <v>-4.3628234102812842</v>
      </c>
      <c r="L131" s="73"/>
    </row>
  </sheetData>
  <mergeCells count="2">
    <mergeCell ref="A1:K1"/>
    <mergeCell ref="M1:P1"/>
  </mergeCells>
  <pageMargins left="0" right="0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249977111117893"/>
  </sheetPr>
  <dimension ref="A1:AD310"/>
  <sheetViews>
    <sheetView zoomScale="85" zoomScaleNormal="85" zoomScalePageLayoutView="85" workbookViewId="0">
      <selection activeCell="H108" sqref="H108"/>
    </sheetView>
  </sheetViews>
  <sheetFormatPr baseColWidth="10" defaultColWidth="8.83203125" defaultRowHeight="14" x14ac:dyDescent="0"/>
  <cols>
    <col min="1" max="1" width="19.1640625" style="10" bestFit="1" customWidth="1"/>
    <col min="2" max="2" width="15.1640625" style="10" bestFit="1" customWidth="1"/>
    <col min="3" max="3" width="13.5" style="10" customWidth="1"/>
    <col min="4" max="4" width="11.83203125" style="10" bestFit="1" customWidth="1"/>
    <col min="5" max="5" width="7.83203125" style="10" customWidth="1"/>
    <col min="6" max="6" width="3.1640625" style="9" customWidth="1"/>
    <col min="7" max="7" width="21.33203125" style="10" bestFit="1" customWidth="1"/>
    <col min="8" max="8" width="17.33203125" style="10" bestFit="1" customWidth="1"/>
    <col min="9" max="9" width="13.5" style="10" customWidth="1"/>
    <col min="10" max="10" width="12.33203125" style="10" bestFit="1" customWidth="1"/>
    <col min="11" max="11" width="7.83203125" style="10" customWidth="1"/>
    <col min="12" max="12" width="3.1640625" style="9" customWidth="1"/>
    <col min="13" max="13" width="21.33203125" style="10" bestFit="1" customWidth="1"/>
    <col min="14" max="14" width="14.5" style="10" bestFit="1" customWidth="1"/>
    <col min="15" max="15" width="12.83203125" style="10" bestFit="1" customWidth="1"/>
    <col min="16" max="16" width="11.6640625" style="10" bestFit="1" customWidth="1"/>
    <col min="17" max="17" width="7.83203125" style="10" customWidth="1"/>
    <col min="18" max="18" width="3.1640625" style="9" customWidth="1"/>
    <col min="19" max="19" width="19.1640625" style="10" bestFit="1" customWidth="1"/>
    <col min="20" max="20" width="14.33203125" style="133" bestFit="1" customWidth="1"/>
    <col min="21" max="21" width="12.83203125" style="10" bestFit="1" customWidth="1"/>
    <col min="22" max="22" width="11.6640625" style="10" bestFit="1" customWidth="1"/>
    <col min="23" max="23" width="7.83203125" style="10" customWidth="1"/>
    <col min="24" max="24" width="3.1640625" style="9" customWidth="1"/>
    <col min="25" max="25" width="19.1640625" style="10" bestFit="1" customWidth="1"/>
    <col min="26" max="26" width="14.5" style="10" bestFit="1" customWidth="1"/>
    <col min="27" max="27" width="13.1640625" style="10" bestFit="1" customWidth="1"/>
    <col min="28" max="28" width="11.5" style="10" bestFit="1" customWidth="1"/>
    <col min="29" max="29" width="7.83203125" style="10" customWidth="1"/>
    <col min="30" max="30" width="3.1640625" style="9" customWidth="1"/>
    <col min="31" max="16384" width="8.83203125" style="10"/>
  </cols>
  <sheetData>
    <row r="1" spans="1:30" s="4" customFormat="1">
      <c r="A1" s="4" t="s">
        <v>16</v>
      </c>
      <c r="F1" s="5"/>
      <c r="G1" s="4" t="s">
        <v>17</v>
      </c>
      <c r="L1" s="5"/>
      <c r="M1" s="4" t="s">
        <v>18</v>
      </c>
      <c r="R1" s="5"/>
      <c r="S1" s="4" t="s">
        <v>19</v>
      </c>
      <c r="T1" s="195"/>
      <c r="X1" s="5"/>
      <c r="Y1" s="4" t="s">
        <v>20</v>
      </c>
      <c r="AD1" s="5"/>
    </row>
    <row r="2" spans="1:30" s="4" customFormat="1">
      <c r="A2" s="82" t="s">
        <v>203</v>
      </c>
      <c r="B2" s="73"/>
      <c r="D2"/>
      <c r="F2" s="5"/>
      <c r="G2" s="82" t="s">
        <v>124</v>
      </c>
      <c r="H2" s="73">
        <v>0</v>
      </c>
      <c r="I2"/>
      <c r="J2"/>
      <c r="L2" s="5"/>
      <c r="M2" s="82" t="s">
        <v>124</v>
      </c>
      <c r="N2" s="73"/>
      <c r="O2"/>
      <c r="P2"/>
      <c r="R2" s="5"/>
      <c r="S2" s="82" t="s">
        <v>124</v>
      </c>
      <c r="T2" s="73"/>
      <c r="U2" s="73"/>
      <c r="V2"/>
      <c r="X2" s="5"/>
      <c r="Y2" s="82" t="s">
        <v>124</v>
      </c>
      <c r="Z2" s="73"/>
      <c r="AA2"/>
      <c r="AB2"/>
      <c r="AD2" s="5"/>
    </row>
    <row r="3" spans="1:30">
      <c r="A3" s="56" t="s">
        <v>204</v>
      </c>
      <c r="B3" s="73">
        <v>1.22</v>
      </c>
      <c r="C3" s="263"/>
      <c r="D3"/>
      <c r="E3" s="8">
        <f>C3/B3</f>
        <v>0</v>
      </c>
      <c r="G3" s="56" t="s">
        <v>125</v>
      </c>
      <c r="H3" s="73">
        <v>1.83</v>
      </c>
      <c r="I3"/>
      <c r="J3"/>
      <c r="K3" s="8">
        <f>I3/H3</f>
        <v>0</v>
      </c>
      <c r="M3" s="56" t="s">
        <v>125</v>
      </c>
      <c r="N3" s="73"/>
      <c r="O3"/>
      <c r="P3"/>
      <c r="Q3" s="8" t="e">
        <f>O3/N3</f>
        <v>#DIV/0!</v>
      </c>
      <c r="S3" s="56" t="s">
        <v>125</v>
      </c>
      <c r="T3" s="73"/>
      <c r="U3" s="73"/>
      <c r="V3"/>
      <c r="W3" s="37" t="e">
        <f>U3/T3</f>
        <v>#DIV/0!</v>
      </c>
      <c r="Y3" s="56" t="s">
        <v>125</v>
      </c>
      <c r="Z3" s="73"/>
      <c r="AA3"/>
      <c r="AB3"/>
      <c r="AC3" s="37" t="e">
        <f>AA3/Z3</f>
        <v>#DIV/0!</v>
      </c>
    </row>
    <row r="4" spans="1:30">
      <c r="A4" s="56" t="s">
        <v>205</v>
      </c>
      <c r="B4" s="73">
        <v>1729.66</v>
      </c>
      <c r="C4" s="263"/>
      <c r="D4"/>
      <c r="E4" s="8">
        <f>C4/B4</f>
        <v>0</v>
      </c>
      <c r="G4" s="56" t="s">
        <v>126</v>
      </c>
      <c r="H4" s="73">
        <v>1356.15</v>
      </c>
      <c r="I4"/>
      <c r="J4"/>
      <c r="K4" s="8">
        <f>I4/H4</f>
        <v>0</v>
      </c>
      <c r="M4" s="56" t="s">
        <v>126</v>
      </c>
      <c r="N4" s="73"/>
      <c r="O4"/>
      <c r="P4"/>
      <c r="Q4" s="8" t="e">
        <f>O4/N4</f>
        <v>#DIV/0!</v>
      </c>
      <c r="S4" s="56" t="s">
        <v>126</v>
      </c>
      <c r="T4" s="73"/>
      <c r="U4" s="73"/>
      <c r="V4"/>
      <c r="W4" s="37" t="e">
        <f>U4/T4</f>
        <v>#DIV/0!</v>
      </c>
      <c r="Y4" s="56" t="s">
        <v>126</v>
      </c>
      <c r="Z4" s="73"/>
      <c r="AA4"/>
      <c r="AB4"/>
      <c r="AC4" s="37" t="e">
        <f>AA4/Z4</f>
        <v>#DIV/0!</v>
      </c>
    </row>
    <row r="5" spans="1:30">
      <c r="A5" s="56" t="s">
        <v>206</v>
      </c>
      <c r="B5" s="73">
        <v>24.6</v>
      </c>
      <c r="C5" s="263"/>
      <c r="D5"/>
      <c r="E5" s="8">
        <f>C5/B5</f>
        <v>0</v>
      </c>
      <c r="G5" s="56" t="s">
        <v>127</v>
      </c>
      <c r="H5" s="73">
        <v>11.16</v>
      </c>
      <c r="I5"/>
      <c r="J5"/>
      <c r="K5" s="8">
        <f>I5/H5</f>
        <v>0</v>
      </c>
      <c r="M5" s="56" t="s">
        <v>127</v>
      </c>
      <c r="N5" s="73"/>
      <c r="O5"/>
      <c r="P5"/>
      <c r="Q5" s="8" t="e">
        <f>O5/N5</f>
        <v>#DIV/0!</v>
      </c>
      <c r="S5" s="56" t="s">
        <v>127</v>
      </c>
      <c r="T5" s="73"/>
      <c r="U5" s="73"/>
      <c r="V5"/>
      <c r="W5" s="8" t="e">
        <f>U5/T5</f>
        <v>#DIV/0!</v>
      </c>
      <c r="Y5" s="56" t="s">
        <v>127</v>
      </c>
      <c r="Z5" s="73"/>
      <c r="AA5"/>
      <c r="AB5"/>
      <c r="AC5" s="8" t="e">
        <f>AA5/Z5</f>
        <v>#DIV/0!</v>
      </c>
    </row>
    <row r="6" spans="1:30">
      <c r="A6" s="56" t="s">
        <v>207</v>
      </c>
      <c r="B6" s="73">
        <v>46113.065168000001</v>
      </c>
      <c r="C6" s="263"/>
      <c r="D6"/>
      <c r="E6" s="8"/>
      <c r="G6" s="56" t="s">
        <v>33</v>
      </c>
      <c r="H6" s="73">
        <v>46709.081539999999</v>
      </c>
      <c r="I6"/>
      <c r="J6"/>
      <c r="K6" s="8"/>
      <c r="M6" s="56" t="s">
        <v>33</v>
      </c>
      <c r="N6" s="73"/>
      <c r="O6"/>
      <c r="P6"/>
      <c r="Q6" s="8"/>
      <c r="S6" s="56" t="s">
        <v>33</v>
      </c>
      <c r="T6" s="73"/>
      <c r="U6" s="73"/>
      <c r="V6"/>
      <c r="W6" s="8"/>
      <c r="Y6" s="56" t="s">
        <v>33</v>
      </c>
      <c r="Z6" s="73"/>
      <c r="AA6"/>
      <c r="AB6"/>
      <c r="AC6" s="8"/>
    </row>
    <row r="7" spans="1:30">
      <c r="A7" s="56" t="s">
        <v>208</v>
      </c>
      <c r="B7" s="73">
        <v>3317.7075359999999</v>
      </c>
      <c r="C7" s="263"/>
      <c r="D7"/>
      <c r="E7" s="8"/>
      <c r="G7" s="56" t="s">
        <v>34</v>
      </c>
      <c r="H7" s="73">
        <v>3215.499456</v>
      </c>
      <c r="I7"/>
      <c r="J7"/>
      <c r="K7" s="8"/>
      <c r="M7" s="56" t="s">
        <v>34</v>
      </c>
      <c r="N7" s="73"/>
      <c r="O7"/>
      <c r="P7"/>
      <c r="Q7" s="8"/>
      <c r="S7" s="56" t="s">
        <v>34</v>
      </c>
      <c r="T7" s="73"/>
      <c r="U7" s="73"/>
      <c r="V7"/>
      <c r="W7" s="8"/>
      <c r="Y7" s="56" t="s">
        <v>34</v>
      </c>
      <c r="Z7" s="73"/>
      <c r="AA7"/>
      <c r="AB7"/>
      <c r="AC7" s="8"/>
    </row>
    <row r="8" spans="1:30">
      <c r="A8" s="56" t="s">
        <v>209</v>
      </c>
      <c r="B8" s="73">
        <v>91.56</v>
      </c>
      <c r="C8" s="263"/>
      <c r="D8"/>
      <c r="E8" s="8"/>
      <c r="G8" s="56" t="s">
        <v>128</v>
      </c>
      <c r="H8" s="73">
        <v>113.16</v>
      </c>
      <c r="I8"/>
      <c r="J8"/>
      <c r="K8" s="8"/>
      <c r="M8" s="56" t="s">
        <v>128</v>
      </c>
      <c r="N8" s="73"/>
      <c r="O8"/>
      <c r="P8"/>
      <c r="Q8" s="8"/>
      <c r="S8" s="56" t="s">
        <v>128</v>
      </c>
      <c r="T8" s="73"/>
      <c r="U8" s="73"/>
      <c r="V8"/>
      <c r="W8" s="8"/>
      <c r="Y8" s="56" t="s">
        <v>128</v>
      </c>
      <c r="Z8" s="73"/>
      <c r="AA8"/>
      <c r="AB8"/>
      <c r="AC8" s="8"/>
    </row>
    <row r="9" spans="1:30">
      <c r="A9" s="56" t="s">
        <v>210</v>
      </c>
      <c r="B9" s="73">
        <v>6.1</v>
      </c>
      <c r="C9" s="263"/>
      <c r="D9"/>
      <c r="E9" s="8">
        <f t="shared" ref="E9:E63" si="0">C9/B9</f>
        <v>0</v>
      </c>
      <c r="G9" s="56" t="s">
        <v>129</v>
      </c>
      <c r="H9" s="73">
        <v>21.71</v>
      </c>
      <c r="I9"/>
      <c r="J9"/>
      <c r="K9" s="8">
        <f t="shared" ref="K9:K63" si="1">I9/H9</f>
        <v>0</v>
      </c>
      <c r="M9" s="56" t="s">
        <v>129</v>
      </c>
      <c r="N9" s="73"/>
      <c r="O9"/>
      <c r="P9"/>
      <c r="Q9" s="8" t="e">
        <f t="shared" ref="Q9:Q63" si="2">O9/N9</f>
        <v>#DIV/0!</v>
      </c>
      <c r="S9" s="56" t="s">
        <v>129</v>
      </c>
      <c r="T9" s="73"/>
      <c r="U9" s="73"/>
      <c r="V9"/>
      <c r="W9" s="8" t="e">
        <f>U9/T9</f>
        <v>#DIV/0!</v>
      </c>
      <c r="Y9" s="56" t="s">
        <v>129</v>
      </c>
      <c r="Z9" s="73"/>
      <c r="AA9"/>
      <c r="AB9"/>
      <c r="AC9" s="8" t="e">
        <f>AA9/Z9</f>
        <v>#DIV/0!</v>
      </c>
    </row>
    <row r="10" spans="1:30">
      <c r="A10" s="56" t="s">
        <v>211</v>
      </c>
      <c r="B10" s="73">
        <v>16.47</v>
      </c>
      <c r="C10" s="263"/>
      <c r="D10"/>
      <c r="E10" s="8"/>
      <c r="G10" s="56" t="s">
        <v>130</v>
      </c>
      <c r="H10" s="73">
        <v>14.64</v>
      </c>
      <c r="I10"/>
      <c r="J10"/>
      <c r="K10" s="8"/>
      <c r="M10" s="56" t="s">
        <v>130</v>
      </c>
      <c r="N10" s="73"/>
      <c r="O10"/>
      <c r="P10"/>
      <c r="Q10" s="8"/>
      <c r="S10" s="56" t="s">
        <v>130</v>
      </c>
      <c r="T10" s="73"/>
      <c r="U10" s="73"/>
      <c r="V10"/>
      <c r="W10" s="8"/>
      <c r="Y10" s="56" t="s">
        <v>130</v>
      </c>
      <c r="Z10" s="73"/>
      <c r="AA10"/>
      <c r="AB10"/>
      <c r="AC10" s="8"/>
    </row>
    <row r="11" spans="1:30">
      <c r="A11" s="56" t="s">
        <v>212</v>
      </c>
      <c r="B11" s="73">
        <v>68.94</v>
      </c>
      <c r="C11" s="263"/>
      <c r="D11"/>
      <c r="E11" s="8">
        <f t="shared" si="0"/>
        <v>0</v>
      </c>
      <c r="G11" s="56" t="s">
        <v>131</v>
      </c>
      <c r="H11" s="73">
        <v>60</v>
      </c>
      <c r="I11"/>
      <c r="J11"/>
      <c r="K11" s="8">
        <f t="shared" si="1"/>
        <v>0</v>
      </c>
      <c r="M11" s="56" t="s">
        <v>131</v>
      </c>
      <c r="N11" s="73"/>
      <c r="O11"/>
      <c r="P11"/>
      <c r="Q11" s="8" t="e">
        <f t="shared" si="2"/>
        <v>#DIV/0!</v>
      </c>
      <c r="S11" s="56" t="s">
        <v>131</v>
      </c>
      <c r="T11" s="73"/>
      <c r="U11" s="73"/>
      <c r="V11"/>
      <c r="W11" s="8" t="e">
        <f t="shared" ref="W11:W63" si="3">U11/T11</f>
        <v>#DIV/0!</v>
      </c>
      <c r="Y11" s="56" t="s">
        <v>131</v>
      </c>
      <c r="Z11" s="73"/>
      <c r="AA11"/>
      <c r="AB11"/>
      <c r="AC11" s="8" t="e">
        <f t="shared" ref="AC11:AC63" si="4">AA11/Z11</f>
        <v>#DIV/0!</v>
      </c>
    </row>
    <row r="12" spans="1:30">
      <c r="A12" s="56" t="s">
        <v>213</v>
      </c>
      <c r="B12" s="73">
        <v>4938.6586079999997</v>
      </c>
      <c r="C12" s="263"/>
      <c r="D12"/>
      <c r="E12" s="8"/>
      <c r="G12" s="56" t="s">
        <v>35</v>
      </c>
      <c r="H12" s="73">
        <v>4844.6502</v>
      </c>
      <c r="I12"/>
      <c r="J12"/>
      <c r="K12" s="8"/>
      <c r="M12" s="56" t="s">
        <v>35</v>
      </c>
      <c r="N12" s="73"/>
      <c r="O12"/>
      <c r="P12"/>
      <c r="Q12" s="8"/>
      <c r="S12" s="56" t="s">
        <v>35</v>
      </c>
      <c r="T12" s="73"/>
      <c r="U12" s="73"/>
      <c r="V12"/>
      <c r="W12" s="8"/>
      <c r="Y12" s="56" t="s">
        <v>35</v>
      </c>
      <c r="Z12" s="73"/>
      <c r="AA12"/>
      <c r="AB12"/>
      <c r="AC12" s="8"/>
    </row>
    <row r="13" spans="1:30">
      <c r="A13" s="56" t="s">
        <v>214</v>
      </c>
      <c r="B13" s="73">
        <v>0.61</v>
      </c>
      <c r="C13" s="263"/>
      <c r="D13"/>
      <c r="E13" s="8"/>
      <c r="G13" s="56" t="s">
        <v>132</v>
      </c>
      <c r="H13" s="73">
        <v>0.61</v>
      </c>
      <c r="I13"/>
      <c r="J13"/>
      <c r="K13" s="8"/>
      <c r="M13" s="56" t="s">
        <v>132</v>
      </c>
      <c r="N13" s="73"/>
      <c r="O13"/>
      <c r="P13"/>
      <c r="Q13" s="8"/>
      <c r="S13" s="56" t="s">
        <v>132</v>
      </c>
      <c r="T13" s="73"/>
      <c r="U13" s="73"/>
      <c r="V13"/>
      <c r="W13" s="8"/>
      <c r="Y13" s="56" t="s">
        <v>132</v>
      </c>
      <c r="Z13" s="73"/>
      <c r="AA13"/>
      <c r="AB13"/>
      <c r="AC13" s="8"/>
    </row>
    <row r="14" spans="1:30">
      <c r="A14" s="56" t="s">
        <v>215</v>
      </c>
      <c r="B14" s="73">
        <v>32.08</v>
      </c>
      <c r="C14" s="263"/>
      <c r="D14"/>
      <c r="E14" s="8"/>
      <c r="G14" s="56" t="s">
        <v>133</v>
      </c>
      <c r="H14" s="73">
        <v>42.09</v>
      </c>
      <c r="I14"/>
      <c r="J14"/>
      <c r="K14" s="8"/>
      <c r="M14" s="56" t="s">
        <v>133</v>
      </c>
      <c r="N14" s="73"/>
      <c r="O14"/>
      <c r="P14"/>
      <c r="Q14" s="8"/>
      <c r="S14" s="56" t="s">
        <v>133</v>
      </c>
      <c r="T14" s="73"/>
      <c r="U14" s="73"/>
      <c r="V14"/>
      <c r="W14" s="8"/>
      <c r="Y14" s="56" t="s">
        <v>133</v>
      </c>
      <c r="Z14" s="73"/>
      <c r="AA14"/>
      <c r="AB14"/>
      <c r="AC14" s="8"/>
    </row>
    <row r="15" spans="1:30">
      <c r="A15" s="56" t="s">
        <v>216</v>
      </c>
      <c r="B15" s="73">
        <v>34.770000000000003</v>
      </c>
      <c r="C15" s="263"/>
      <c r="D15"/>
      <c r="E15" s="8">
        <f t="shared" si="0"/>
        <v>0</v>
      </c>
      <c r="G15" s="56" t="s">
        <v>134</v>
      </c>
      <c r="H15" s="73">
        <v>8.9700000000000006</v>
      </c>
      <c r="I15"/>
      <c r="J15"/>
      <c r="K15" s="8">
        <f t="shared" si="1"/>
        <v>0</v>
      </c>
      <c r="M15" s="56" t="s">
        <v>134</v>
      </c>
      <c r="N15" s="73"/>
      <c r="O15"/>
      <c r="P15"/>
      <c r="Q15" s="8" t="e">
        <f t="shared" si="2"/>
        <v>#DIV/0!</v>
      </c>
      <c r="S15" s="56" t="s">
        <v>134</v>
      </c>
      <c r="T15" s="73"/>
      <c r="U15" s="73"/>
      <c r="V15"/>
      <c r="W15" s="8" t="e">
        <f>U15/T15</f>
        <v>#DIV/0!</v>
      </c>
      <c r="Y15" s="56" t="s">
        <v>134</v>
      </c>
      <c r="Z15" s="73"/>
      <c r="AA15"/>
      <c r="AB15"/>
      <c r="AC15" s="8" t="e">
        <f>AA15/Z15</f>
        <v>#DIV/0!</v>
      </c>
    </row>
    <row r="16" spans="1:30">
      <c r="A16" s="56" t="s">
        <v>217</v>
      </c>
      <c r="B16" s="73">
        <v>12.81</v>
      </c>
      <c r="C16" s="263"/>
      <c r="D16"/>
      <c r="E16" s="8">
        <f t="shared" si="0"/>
        <v>0</v>
      </c>
      <c r="G16" s="56" t="s">
        <v>135</v>
      </c>
      <c r="H16" s="73">
        <v>64.23</v>
      </c>
      <c r="I16"/>
      <c r="J16"/>
      <c r="K16" s="8">
        <f t="shared" si="1"/>
        <v>0</v>
      </c>
      <c r="M16" s="56" t="s">
        <v>135</v>
      </c>
      <c r="N16" s="73"/>
      <c r="O16"/>
      <c r="P16"/>
      <c r="Q16" s="8" t="e">
        <f t="shared" si="2"/>
        <v>#DIV/0!</v>
      </c>
      <c r="S16" s="56" t="s">
        <v>135</v>
      </c>
      <c r="T16" s="73"/>
      <c r="U16" s="73"/>
      <c r="V16"/>
      <c r="W16" s="8" t="e">
        <f t="shared" si="3"/>
        <v>#DIV/0!</v>
      </c>
      <c r="Y16" s="56" t="s">
        <v>135</v>
      </c>
      <c r="Z16" s="73"/>
      <c r="AA16"/>
      <c r="AB16"/>
      <c r="AC16" s="8" t="e">
        <f t="shared" si="4"/>
        <v>#DIV/0!</v>
      </c>
    </row>
    <row r="17" spans="1:29">
      <c r="A17" s="56" t="s">
        <v>218</v>
      </c>
      <c r="B17" s="73">
        <v>9286.92</v>
      </c>
      <c r="C17" s="263"/>
      <c r="D17"/>
      <c r="E17" s="8">
        <f t="shared" si="0"/>
        <v>0</v>
      </c>
      <c r="G17" s="56" t="s">
        <v>136</v>
      </c>
      <c r="H17" s="73">
        <v>9513.6</v>
      </c>
      <c r="I17"/>
      <c r="J17"/>
      <c r="K17" s="8">
        <f t="shared" si="1"/>
        <v>0</v>
      </c>
      <c r="M17" s="56" t="s">
        <v>136</v>
      </c>
      <c r="N17" s="73"/>
      <c r="O17"/>
      <c r="P17"/>
      <c r="Q17" s="8" t="e">
        <f t="shared" si="2"/>
        <v>#DIV/0!</v>
      </c>
      <c r="S17" s="56" t="s">
        <v>136</v>
      </c>
      <c r="T17" s="73"/>
      <c r="U17" s="73"/>
      <c r="V17"/>
      <c r="W17" s="8" t="e">
        <f t="shared" si="3"/>
        <v>#DIV/0!</v>
      </c>
      <c r="Y17" s="56" t="s">
        <v>136</v>
      </c>
      <c r="Z17" s="73"/>
      <c r="AA17"/>
      <c r="AB17"/>
      <c r="AC17" s="8" t="e">
        <f t="shared" si="4"/>
        <v>#DIV/0!</v>
      </c>
    </row>
    <row r="18" spans="1:29">
      <c r="A18" s="56" t="s">
        <v>219</v>
      </c>
      <c r="B18" s="73">
        <v>38.44</v>
      </c>
      <c r="C18" s="263"/>
      <c r="D18"/>
      <c r="E18" s="8"/>
      <c r="G18" s="56" t="s">
        <v>137</v>
      </c>
      <c r="H18" s="73">
        <v>16.12</v>
      </c>
      <c r="I18"/>
      <c r="J18"/>
      <c r="K18" s="8"/>
      <c r="M18" s="56" t="s">
        <v>137</v>
      </c>
      <c r="N18" s="73"/>
      <c r="O18"/>
      <c r="P18"/>
      <c r="Q18" s="8"/>
      <c r="S18" s="56" t="s">
        <v>137</v>
      </c>
      <c r="T18" s="73"/>
      <c r="U18" s="73"/>
      <c r="V18"/>
      <c r="W18" s="8"/>
      <c r="Y18" s="56" t="s">
        <v>137</v>
      </c>
      <c r="Z18" s="73"/>
      <c r="AA18"/>
      <c r="AB18"/>
      <c r="AC18" s="8"/>
    </row>
    <row r="19" spans="1:29">
      <c r="A19" s="56" t="s">
        <v>220</v>
      </c>
      <c r="B19" s="73">
        <v>130.68307200000001</v>
      </c>
      <c r="C19" s="263"/>
      <c r="D19"/>
      <c r="E19" s="8"/>
      <c r="G19" s="56" t="s">
        <v>62</v>
      </c>
      <c r="H19" s="73">
        <v>174.82826399999999</v>
      </c>
      <c r="I19"/>
      <c r="J19"/>
      <c r="K19" s="8"/>
      <c r="M19" s="56" t="s">
        <v>62</v>
      </c>
      <c r="N19" s="73"/>
      <c r="O19"/>
      <c r="P19"/>
      <c r="Q19" s="8"/>
      <c r="S19" s="56" t="s">
        <v>62</v>
      </c>
      <c r="T19" s="73"/>
      <c r="U19" s="73"/>
      <c r="V19"/>
      <c r="W19" s="8"/>
      <c r="Y19" s="56" t="s">
        <v>62</v>
      </c>
      <c r="Z19" s="73"/>
      <c r="AA19"/>
      <c r="AB19"/>
      <c r="AC19" s="8"/>
    </row>
    <row r="20" spans="1:29">
      <c r="A20" s="56" t="s">
        <v>221</v>
      </c>
      <c r="B20" s="73"/>
      <c r="C20" s="263"/>
      <c r="D20"/>
      <c r="E20" s="8"/>
      <c r="G20" s="56" t="s">
        <v>138</v>
      </c>
      <c r="H20" s="73">
        <v>10.98</v>
      </c>
      <c r="I20"/>
      <c r="J20"/>
      <c r="K20" s="8"/>
      <c r="M20" s="56" t="s">
        <v>138</v>
      </c>
      <c r="N20" s="73"/>
      <c r="O20"/>
      <c r="P20"/>
      <c r="Q20" s="8"/>
      <c r="S20" s="56" t="s">
        <v>138</v>
      </c>
      <c r="T20" s="73"/>
      <c r="U20" s="73"/>
      <c r="V20"/>
      <c r="W20" s="8"/>
      <c r="Y20" s="56" t="s">
        <v>138</v>
      </c>
      <c r="Z20" s="73"/>
      <c r="AA20"/>
      <c r="AB20"/>
      <c r="AC20" s="8"/>
    </row>
    <row r="21" spans="1:29">
      <c r="A21" s="56" t="s">
        <v>222</v>
      </c>
      <c r="B21" s="73">
        <v>0.62</v>
      </c>
      <c r="C21" s="263"/>
      <c r="D21"/>
      <c r="E21" s="8">
        <f t="shared" si="0"/>
        <v>0</v>
      </c>
      <c r="G21" s="56" t="s">
        <v>139</v>
      </c>
      <c r="H21" s="73">
        <v>5.58</v>
      </c>
      <c r="I21"/>
      <c r="J21"/>
      <c r="K21" s="8">
        <f t="shared" si="1"/>
        <v>0</v>
      </c>
      <c r="M21" s="56" t="s">
        <v>139</v>
      </c>
      <c r="N21" s="73"/>
      <c r="O21"/>
      <c r="P21"/>
      <c r="Q21" s="8" t="e">
        <f t="shared" si="2"/>
        <v>#DIV/0!</v>
      </c>
      <c r="S21" s="56" t="s">
        <v>139</v>
      </c>
      <c r="T21" s="73"/>
      <c r="U21" s="73"/>
      <c r="V21"/>
      <c r="W21" s="8" t="e">
        <f t="shared" si="3"/>
        <v>#DIV/0!</v>
      </c>
      <c r="Y21" s="56" t="s">
        <v>139</v>
      </c>
      <c r="Z21" s="73"/>
      <c r="AA21"/>
      <c r="AB21"/>
      <c r="AC21" s="8" t="e">
        <f t="shared" si="4"/>
        <v>#DIV/0!</v>
      </c>
    </row>
    <row r="22" spans="1:29">
      <c r="A22" s="56" t="s">
        <v>223</v>
      </c>
      <c r="B22" s="73">
        <v>52408.562007</v>
      </c>
      <c r="C22" s="263"/>
      <c r="D22"/>
      <c r="E22" s="8">
        <f t="shared" si="0"/>
        <v>0</v>
      </c>
      <c r="G22" s="56" t="s">
        <v>36</v>
      </c>
      <c r="H22" s="73">
        <v>48761.307674999996</v>
      </c>
      <c r="I22"/>
      <c r="J22"/>
      <c r="K22" s="8">
        <f t="shared" si="1"/>
        <v>0</v>
      </c>
      <c r="M22" s="56" t="s">
        <v>36</v>
      </c>
      <c r="N22" s="73"/>
      <c r="O22"/>
      <c r="P22"/>
      <c r="Q22" s="8" t="e">
        <f t="shared" si="2"/>
        <v>#DIV/0!</v>
      </c>
      <c r="S22" s="56" t="s">
        <v>36</v>
      </c>
      <c r="T22" s="73"/>
      <c r="U22" s="73"/>
      <c r="V22"/>
      <c r="W22" s="8" t="e">
        <f t="shared" si="3"/>
        <v>#DIV/0!</v>
      </c>
      <c r="Y22" s="56" t="s">
        <v>36</v>
      </c>
      <c r="Z22" s="73"/>
      <c r="AA22"/>
      <c r="AB22"/>
      <c r="AC22" s="8" t="e">
        <f t="shared" si="4"/>
        <v>#DIV/0!</v>
      </c>
    </row>
    <row r="23" spans="1:29">
      <c r="A23" s="56" t="s">
        <v>224</v>
      </c>
      <c r="B23" s="73">
        <v>1.22</v>
      </c>
      <c r="C23" s="263"/>
      <c r="D23"/>
      <c r="E23" s="8">
        <f t="shared" si="0"/>
        <v>0</v>
      </c>
      <c r="G23" s="56" t="s">
        <v>140</v>
      </c>
      <c r="H23" s="73">
        <v>1.83</v>
      </c>
      <c r="I23"/>
      <c r="J23"/>
      <c r="K23" s="8">
        <f t="shared" si="1"/>
        <v>0</v>
      </c>
      <c r="M23" s="56" t="s">
        <v>140</v>
      </c>
      <c r="N23" s="73"/>
      <c r="O23"/>
      <c r="P23"/>
      <c r="Q23" s="8" t="e">
        <f t="shared" si="2"/>
        <v>#DIV/0!</v>
      </c>
      <c r="S23" s="56" t="s">
        <v>140</v>
      </c>
      <c r="T23" s="73"/>
      <c r="U23" s="73"/>
      <c r="V23"/>
      <c r="W23" s="8" t="e">
        <f t="shared" si="3"/>
        <v>#DIV/0!</v>
      </c>
      <c r="Y23" s="56" t="s">
        <v>140</v>
      </c>
      <c r="Z23" s="73"/>
      <c r="AA23"/>
      <c r="AB23"/>
      <c r="AC23" s="8" t="e">
        <f t="shared" si="4"/>
        <v>#DIV/0!</v>
      </c>
    </row>
    <row r="24" spans="1:29">
      <c r="A24" s="56" t="s">
        <v>225</v>
      </c>
      <c r="B24" s="73">
        <v>5.49</v>
      </c>
      <c r="C24" s="263"/>
      <c r="D24"/>
      <c r="E24" s="8">
        <f t="shared" si="0"/>
        <v>0</v>
      </c>
      <c r="G24" s="56" t="s">
        <v>141</v>
      </c>
      <c r="H24" s="73">
        <v>13.78</v>
      </c>
      <c r="I24"/>
      <c r="J24"/>
      <c r="K24" s="8">
        <f t="shared" si="1"/>
        <v>0</v>
      </c>
      <c r="M24" s="56" t="s">
        <v>141</v>
      </c>
      <c r="N24" s="73"/>
      <c r="O24"/>
      <c r="P24"/>
      <c r="Q24" s="8" t="e">
        <f t="shared" si="2"/>
        <v>#DIV/0!</v>
      </c>
      <c r="S24" s="56" t="s">
        <v>141</v>
      </c>
      <c r="T24" s="73"/>
      <c r="U24" s="73"/>
      <c r="V24"/>
      <c r="W24" s="8" t="e">
        <f t="shared" si="3"/>
        <v>#DIV/0!</v>
      </c>
      <c r="Y24" s="56" t="s">
        <v>141</v>
      </c>
      <c r="Z24" s="73"/>
      <c r="AA24"/>
      <c r="AB24"/>
      <c r="AC24" s="8" t="e">
        <f t="shared" si="4"/>
        <v>#DIV/0!</v>
      </c>
    </row>
    <row r="25" spans="1:29">
      <c r="A25" s="56" t="s">
        <v>226</v>
      </c>
      <c r="B25" s="73">
        <v>2413.27</v>
      </c>
      <c r="C25" s="263"/>
      <c r="D25"/>
      <c r="E25" s="8">
        <f t="shared" si="0"/>
        <v>0</v>
      </c>
      <c r="G25" s="56" t="s">
        <v>142</v>
      </c>
      <c r="H25" s="73">
        <v>2521.09</v>
      </c>
      <c r="I25"/>
      <c r="J25"/>
      <c r="K25" s="8">
        <f t="shared" si="1"/>
        <v>0</v>
      </c>
      <c r="M25" s="56" t="s">
        <v>142</v>
      </c>
      <c r="N25" s="73"/>
      <c r="O25"/>
      <c r="P25"/>
      <c r="Q25" s="8" t="e">
        <f t="shared" si="2"/>
        <v>#DIV/0!</v>
      </c>
      <c r="S25" s="56" t="s">
        <v>142</v>
      </c>
      <c r="T25" s="73"/>
      <c r="U25" s="73"/>
      <c r="V25"/>
      <c r="W25" s="8" t="e">
        <f t="shared" si="3"/>
        <v>#DIV/0!</v>
      </c>
      <c r="Y25" s="56" t="s">
        <v>142</v>
      </c>
      <c r="Z25" s="73"/>
      <c r="AA25"/>
      <c r="AB25"/>
      <c r="AC25" s="8" t="e">
        <f t="shared" si="4"/>
        <v>#DIV/0!</v>
      </c>
    </row>
    <row r="26" spans="1:29">
      <c r="A26" s="56" t="s">
        <v>227</v>
      </c>
      <c r="B26" s="73">
        <v>1804.31</v>
      </c>
      <c r="C26" s="263"/>
      <c r="D26"/>
      <c r="E26" s="8"/>
      <c r="G26" s="56" t="s">
        <v>143</v>
      </c>
      <c r="H26" s="73">
        <v>1841.18</v>
      </c>
      <c r="I26"/>
      <c r="J26"/>
      <c r="K26" s="8"/>
      <c r="M26" s="56" t="s">
        <v>143</v>
      </c>
      <c r="N26" s="73"/>
      <c r="O26"/>
      <c r="P26"/>
      <c r="Q26" s="8"/>
      <c r="S26" s="56" t="s">
        <v>143</v>
      </c>
      <c r="T26" s="73"/>
      <c r="U26" s="73"/>
      <c r="V26"/>
      <c r="W26" s="8"/>
      <c r="Y26" s="56" t="s">
        <v>143</v>
      </c>
      <c r="Z26" s="73"/>
      <c r="AA26"/>
      <c r="AB26"/>
      <c r="AC26" s="8"/>
    </row>
    <row r="27" spans="1:29">
      <c r="A27" s="56" t="s">
        <v>228</v>
      </c>
      <c r="B27" s="73">
        <v>349.53</v>
      </c>
      <c r="C27" s="263"/>
      <c r="D27"/>
      <c r="E27" s="8"/>
      <c r="G27" s="56" t="s">
        <v>144</v>
      </c>
      <c r="H27" s="73">
        <v>473.9</v>
      </c>
      <c r="I27"/>
      <c r="J27"/>
      <c r="K27" s="8"/>
      <c r="M27" s="56" t="s">
        <v>144</v>
      </c>
      <c r="N27" s="73"/>
      <c r="O27"/>
      <c r="P27"/>
      <c r="Q27" s="8"/>
      <c r="S27" s="56" t="s">
        <v>144</v>
      </c>
      <c r="T27" s="73"/>
      <c r="U27" s="73"/>
      <c r="V27"/>
      <c r="W27" s="8"/>
      <c r="Y27" s="56" t="s">
        <v>144</v>
      </c>
      <c r="Z27" s="73"/>
      <c r="AA27"/>
      <c r="AB27"/>
      <c r="AC27" s="8"/>
    </row>
    <row r="28" spans="1:29">
      <c r="A28" s="83" t="s">
        <v>229</v>
      </c>
      <c r="B28" s="73">
        <v>180.443952</v>
      </c>
      <c r="C28" s="263"/>
      <c r="D28"/>
      <c r="E28" s="8"/>
      <c r="G28" s="83" t="s">
        <v>61</v>
      </c>
      <c r="H28" s="73">
        <v>139.381632</v>
      </c>
      <c r="I28"/>
      <c r="J28"/>
      <c r="K28" s="8"/>
      <c r="M28" s="83" t="s">
        <v>61</v>
      </c>
      <c r="N28" s="73"/>
      <c r="O28"/>
      <c r="P28"/>
      <c r="Q28" s="8"/>
      <c r="S28" s="83" t="s">
        <v>61</v>
      </c>
      <c r="T28" s="73"/>
      <c r="U28" s="73"/>
      <c r="V28"/>
      <c r="W28" s="8"/>
      <c r="Y28" s="83" t="s">
        <v>61</v>
      </c>
      <c r="Z28" s="73"/>
      <c r="AA28"/>
      <c r="AB28"/>
      <c r="AC28" s="8"/>
    </row>
    <row r="29" spans="1:29">
      <c r="A29" s="56" t="s">
        <v>230</v>
      </c>
      <c r="B29" s="73">
        <v>784.32868800000006</v>
      </c>
      <c r="C29" s="263"/>
      <c r="D29"/>
      <c r="E29" s="8">
        <f t="shared" si="0"/>
        <v>0</v>
      </c>
      <c r="G29" s="56" t="s">
        <v>60</v>
      </c>
      <c r="H29" s="73">
        <v>672.75686399999995</v>
      </c>
      <c r="I29"/>
      <c r="J29"/>
      <c r="K29" s="8">
        <f t="shared" si="1"/>
        <v>0</v>
      </c>
      <c r="M29" s="56" t="s">
        <v>60</v>
      </c>
      <c r="N29" s="73"/>
      <c r="O29"/>
      <c r="P29"/>
      <c r="Q29" s="8" t="e">
        <f t="shared" si="2"/>
        <v>#DIV/0!</v>
      </c>
      <c r="S29" s="56" t="s">
        <v>60</v>
      </c>
      <c r="T29" s="73"/>
      <c r="U29" s="73"/>
      <c r="V29"/>
      <c r="W29" s="8" t="e">
        <f t="shared" si="3"/>
        <v>#DIV/0!</v>
      </c>
      <c r="Y29" s="56" t="s">
        <v>60</v>
      </c>
      <c r="Z29" s="73"/>
      <c r="AA29"/>
      <c r="AB29"/>
      <c r="AC29" s="8" t="e">
        <f t="shared" si="4"/>
        <v>#DIV/0!</v>
      </c>
    </row>
    <row r="30" spans="1:29">
      <c r="A30" s="56" t="s">
        <v>231</v>
      </c>
      <c r="B30" s="73">
        <v>4779.487752</v>
      </c>
      <c r="C30" s="263"/>
      <c r="D30"/>
      <c r="E30" s="8">
        <f t="shared" si="0"/>
        <v>0</v>
      </c>
      <c r="G30" s="56" t="s">
        <v>37</v>
      </c>
      <c r="H30" s="73">
        <v>4621.6088879999998</v>
      </c>
      <c r="I30"/>
      <c r="J30"/>
      <c r="K30" s="8">
        <f t="shared" si="1"/>
        <v>0</v>
      </c>
      <c r="M30" s="56" t="s">
        <v>37</v>
      </c>
      <c r="N30" s="73"/>
      <c r="O30"/>
      <c r="P30"/>
      <c r="Q30" s="8" t="e">
        <f t="shared" si="2"/>
        <v>#DIV/0!</v>
      </c>
      <c r="S30" s="56" t="s">
        <v>37</v>
      </c>
      <c r="T30" s="73"/>
      <c r="U30" s="73"/>
      <c r="V30"/>
      <c r="W30" s="8" t="e">
        <f t="shared" si="3"/>
        <v>#DIV/0!</v>
      </c>
      <c r="Y30" s="56" t="s">
        <v>37</v>
      </c>
      <c r="Z30" s="73"/>
      <c r="AA30"/>
      <c r="AB30"/>
      <c r="AC30" s="8" t="e">
        <f t="shared" si="4"/>
        <v>#DIV/0!</v>
      </c>
    </row>
    <row r="31" spans="1:29">
      <c r="A31" s="56" t="s">
        <v>232</v>
      </c>
      <c r="B31" s="73">
        <v>0.61</v>
      </c>
      <c r="C31" s="263"/>
      <c r="D31"/>
      <c r="E31" s="8">
        <f t="shared" si="0"/>
        <v>0</v>
      </c>
      <c r="G31" s="56" t="s">
        <v>145</v>
      </c>
      <c r="H31" s="73">
        <v>0.61</v>
      </c>
      <c r="I31"/>
      <c r="J31"/>
      <c r="K31" s="8">
        <f t="shared" si="1"/>
        <v>0</v>
      </c>
      <c r="M31" s="56" t="s">
        <v>145</v>
      </c>
      <c r="N31" s="73"/>
      <c r="O31"/>
      <c r="P31"/>
      <c r="Q31" s="8" t="e">
        <f t="shared" si="2"/>
        <v>#DIV/0!</v>
      </c>
      <c r="S31" s="56" t="s">
        <v>145</v>
      </c>
      <c r="T31" s="73"/>
      <c r="U31" s="73"/>
      <c r="V31"/>
      <c r="W31" s="8" t="e">
        <f t="shared" si="3"/>
        <v>#DIV/0!</v>
      </c>
      <c r="Y31" s="56" t="s">
        <v>145</v>
      </c>
      <c r="Z31" s="73"/>
      <c r="AA31"/>
      <c r="AB31"/>
      <c r="AC31" s="8" t="e">
        <f t="shared" si="4"/>
        <v>#DIV/0!</v>
      </c>
    </row>
    <row r="32" spans="1:29">
      <c r="A32" s="56" t="s">
        <v>233</v>
      </c>
      <c r="B32" s="73">
        <v>192.94</v>
      </c>
      <c r="C32" s="263"/>
      <c r="D32"/>
      <c r="E32" s="8">
        <f t="shared" si="0"/>
        <v>0</v>
      </c>
      <c r="G32" s="56" t="s">
        <v>146</v>
      </c>
      <c r="H32" s="73">
        <v>166.28</v>
      </c>
      <c r="I32"/>
      <c r="J32"/>
      <c r="K32" s="8">
        <f t="shared" si="1"/>
        <v>0</v>
      </c>
      <c r="M32" s="56" t="s">
        <v>146</v>
      </c>
      <c r="N32" s="73"/>
      <c r="O32"/>
      <c r="P32"/>
      <c r="Q32" s="8" t="e">
        <f t="shared" si="2"/>
        <v>#DIV/0!</v>
      </c>
      <c r="S32" s="56" t="s">
        <v>146</v>
      </c>
      <c r="T32" s="73"/>
      <c r="U32" s="73"/>
      <c r="V32"/>
      <c r="W32" s="8" t="e">
        <f t="shared" si="3"/>
        <v>#DIV/0!</v>
      </c>
      <c r="Y32" s="56" t="s">
        <v>146</v>
      </c>
      <c r="Z32" s="73"/>
      <c r="AA32"/>
      <c r="AB32"/>
      <c r="AC32" s="8" t="e">
        <f t="shared" si="4"/>
        <v>#DIV/0!</v>
      </c>
    </row>
    <row r="33" spans="1:29">
      <c r="A33" s="83" t="s">
        <v>234</v>
      </c>
      <c r="B33" s="73">
        <v>437.91</v>
      </c>
      <c r="C33" s="263"/>
      <c r="D33"/>
      <c r="E33" s="8"/>
      <c r="G33" s="83" t="s">
        <v>147</v>
      </c>
      <c r="H33" s="73">
        <v>459.01</v>
      </c>
      <c r="I33"/>
      <c r="J33"/>
      <c r="K33" s="8"/>
      <c r="M33" s="83" t="s">
        <v>147</v>
      </c>
      <c r="N33" s="73"/>
      <c r="O33"/>
      <c r="P33"/>
      <c r="Q33" s="8"/>
      <c r="S33" s="83" t="s">
        <v>147</v>
      </c>
      <c r="T33" s="73"/>
      <c r="U33" s="73"/>
      <c r="V33"/>
      <c r="W33" s="8"/>
      <c r="Y33" s="83" t="s">
        <v>147</v>
      </c>
      <c r="Z33" s="73"/>
      <c r="AA33"/>
      <c r="AB33"/>
      <c r="AC33" s="8"/>
    </row>
    <row r="34" spans="1:29">
      <c r="A34" s="56" t="s">
        <v>235</v>
      </c>
      <c r="B34" s="73">
        <v>84.97</v>
      </c>
      <c r="C34" s="263"/>
      <c r="D34"/>
      <c r="E34" s="8">
        <f t="shared" si="0"/>
        <v>0</v>
      </c>
      <c r="G34" s="56" t="s">
        <v>148</v>
      </c>
      <c r="H34" s="73">
        <v>137.43</v>
      </c>
      <c r="I34"/>
      <c r="J34"/>
      <c r="K34" s="8">
        <f t="shared" si="1"/>
        <v>0</v>
      </c>
      <c r="M34" s="56" t="s">
        <v>148</v>
      </c>
      <c r="N34" s="73"/>
      <c r="O34"/>
      <c r="P34"/>
      <c r="Q34" s="8" t="e">
        <f t="shared" si="2"/>
        <v>#DIV/0!</v>
      </c>
      <c r="S34" s="56" t="s">
        <v>148</v>
      </c>
      <c r="T34" s="73"/>
      <c r="U34" s="73"/>
      <c r="V34"/>
      <c r="W34" s="8" t="e">
        <f t="shared" si="3"/>
        <v>#DIV/0!</v>
      </c>
      <c r="Y34" s="56" t="s">
        <v>148</v>
      </c>
      <c r="Z34" s="73"/>
      <c r="AA34"/>
      <c r="AB34"/>
      <c r="AC34" s="8" t="e">
        <f t="shared" si="4"/>
        <v>#DIV/0!</v>
      </c>
    </row>
    <row r="35" spans="1:29">
      <c r="A35" s="56" t="s">
        <v>236</v>
      </c>
      <c r="B35" s="73">
        <v>146.250936</v>
      </c>
      <c r="C35" s="263"/>
      <c r="D35"/>
      <c r="E35" s="8">
        <f t="shared" si="0"/>
        <v>0</v>
      </c>
      <c r="G35" s="56" t="s">
        <v>59</v>
      </c>
      <c r="H35" s="73">
        <v>147.862728</v>
      </c>
      <c r="I35"/>
      <c r="J35"/>
      <c r="K35" s="8">
        <f t="shared" si="1"/>
        <v>0</v>
      </c>
      <c r="M35" s="56" t="s">
        <v>59</v>
      </c>
      <c r="N35" s="73"/>
      <c r="O35"/>
      <c r="P35"/>
      <c r="Q35" s="8" t="e">
        <f t="shared" si="2"/>
        <v>#DIV/0!</v>
      </c>
      <c r="S35" s="56" t="s">
        <v>59</v>
      </c>
      <c r="T35" s="73"/>
      <c r="U35" s="73"/>
      <c r="V35"/>
      <c r="W35" s="8" t="e">
        <f t="shared" si="3"/>
        <v>#DIV/0!</v>
      </c>
      <c r="Y35" s="56" t="s">
        <v>59</v>
      </c>
      <c r="Z35" s="73"/>
      <c r="AA35"/>
      <c r="AB35"/>
      <c r="AC35" s="8" t="e">
        <f t="shared" si="4"/>
        <v>#DIV/0!</v>
      </c>
    </row>
    <row r="36" spans="1:29">
      <c r="A36" s="56" t="s">
        <v>237</v>
      </c>
      <c r="B36" s="73">
        <v>4.2699999999999996</v>
      </c>
      <c r="C36" s="263"/>
      <c r="D36"/>
      <c r="E36" s="8">
        <f t="shared" si="0"/>
        <v>0</v>
      </c>
      <c r="G36" s="56" t="s">
        <v>149</v>
      </c>
      <c r="H36" s="73">
        <v>0.61</v>
      </c>
      <c r="I36"/>
      <c r="J36"/>
      <c r="K36" s="8">
        <f t="shared" si="1"/>
        <v>0</v>
      </c>
      <c r="M36" s="56" t="s">
        <v>149</v>
      </c>
      <c r="N36" s="73"/>
      <c r="O36"/>
      <c r="P36"/>
      <c r="Q36" s="8" t="e">
        <f t="shared" si="2"/>
        <v>#DIV/0!</v>
      </c>
      <c r="S36" s="56" t="s">
        <v>149</v>
      </c>
      <c r="T36" s="73"/>
      <c r="U36" s="73"/>
      <c r="V36"/>
      <c r="W36" s="8" t="e">
        <f t="shared" si="3"/>
        <v>#DIV/0!</v>
      </c>
      <c r="Y36" s="56" t="s">
        <v>149</v>
      </c>
      <c r="Z36" s="73"/>
      <c r="AA36"/>
      <c r="AB36"/>
      <c r="AC36" s="8" t="e">
        <f t="shared" si="4"/>
        <v>#DIV/0!</v>
      </c>
    </row>
    <row r="37" spans="1:29">
      <c r="A37" s="56" t="s">
        <v>238</v>
      </c>
      <c r="B37" s="73">
        <v>838.25976000000003</v>
      </c>
      <c r="C37" s="263"/>
      <c r="D37"/>
      <c r="E37" s="8"/>
      <c r="G37" s="56" t="s">
        <v>38</v>
      </c>
      <c r="H37" s="73">
        <v>949.52457600000002</v>
      </c>
      <c r="I37"/>
      <c r="J37"/>
      <c r="K37" s="8"/>
      <c r="M37" s="56" t="s">
        <v>38</v>
      </c>
      <c r="N37" s="73"/>
      <c r="O37"/>
      <c r="P37"/>
      <c r="Q37" s="8"/>
      <c r="S37" s="56" t="s">
        <v>38</v>
      </c>
      <c r="T37" s="73"/>
      <c r="U37" s="73"/>
      <c r="V37"/>
      <c r="W37" s="8"/>
      <c r="Y37" s="56" t="s">
        <v>38</v>
      </c>
      <c r="Z37" s="73"/>
      <c r="AA37"/>
      <c r="AB37"/>
      <c r="AC37" s="8"/>
    </row>
    <row r="38" spans="1:29">
      <c r="A38" s="83" t="s">
        <v>239</v>
      </c>
      <c r="B38" s="73">
        <v>20906.643575999999</v>
      </c>
      <c r="C38" s="263"/>
      <c r="D38"/>
      <c r="E38" s="8"/>
      <c r="G38" s="83" t="s">
        <v>39</v>
      </c>
      <c r="H38" s="73">
        <v>20776.484976</v>
      </c>
      <c r="I38"/>
      <c r="J38"/>
      <c r="K38" s="8"/>
      <c r="M38" s="83" t="s">
        <v>39</v>
      </c>
      <c r="N38" s="73"/>
      <c r="O38"/>
      <c r="P38"/>
      <c r="Q38" s="8"/>
      <c r="S38" s="83" t="s">
        <v>39</v>
      </c>
      <c r="T38" s="73"/>
      <c r="U38" s="73"/>
      <c r="V38"/>
      <c r="W38" s="8"/>
      <c r="Y38" s="83" t="s">
        <v>39</v>
      </c>
      <c r="Z38" s="73"/>
      <c r="AA38"/>
      <c r="AB38"/>
      <c r="AC38" s="8"/>
    </row>
    <row r="39" spans="1:29">
      <c r="A39" s="56" t="s">
        <v>240</v>
      </c>
      <c r="B39" s="73"/>
      <c r="C39" s="263"/>
      <c r="D39"/>
      <c r="E39" s="8" t="e">
        <f t="shared" si="0"/>
        <v>#DIV/0!</v>
      </c>
      <c r="G39" s="56" t="s">
        <v>150</v>
      </c>
      <c r="H39" s="73">
        <v>0</v>
      </c>
      <c r="I39"/>
      <c r="J39"/>
      <c r="K39" s="8" t="e">
        <f t="shared" si="1"/>
        <v>#DIV/0!</v>
      </c>
      <c r="M39" s="56" t="s">
        <v>150</v>
      </c>
      <c r="N39" s="73"/>
      <c r="O39"/>
      <c r="P39"/>
      <c r="Q39" s="8" t="e">
        <f t="shared" si="2"/>
        <v>#DIV/0!</v>
      </c>
      <c r="S39" s="56" t="s">
        <v>150</v>
      </c>
      <c r="T39" s="73"/>
      <c r="U39" s="73"/>
      <c r="V39"/>
      <c r="W39" s="8" t="e">
        <f t="shared" si="3"/>
        <v>#DIV/0!</v>
      </c>
      <c r="Y39" s="56" t="s">
        <v>150</v>
      </c>
      <c r="Z39" s="73"/>
      <c r="AA39"/>
      <c r="AB39"/>
      <c r="AC39" s="8" t="e">
        <f t="shared" si="4"/>
        <v>#DIV/0!</v>
      </c>
    </row>
    <row r="40" spans="1:29">
      <c r="A40" s="83" t="s">
        <v>241</v>
      </c>
      <c r="B40" s="73">
        <v>29412.364175999999</v>
      </c>
      <c r="C40" s="263"/>
      <c r="D40"/>
      <c r="E40" s="8">
        <f t="shared" si="0"/>
        <v>0</v>
      </c>
      <c r="G40" s="83" t="s">
        <v>40</v>
      </c>
      <c r="H40" s="73">
        <v>31844.711808</v>
      </c>
      <c r="I40"/>
      <c r="J40"/>
      <c r="K40" s="8">
        <f t="shared" si="1"/>
        <v>0</v>
      </c>
      <c r="M40" s="83" t="s">
        <v>40</v>
      </c>
      <c r="N40" s="73"/>
      <c r="O40"/>
      <c r="P40"/>
      <c r="Q40" s="8" t="e">
        <f t="shared" si="2"/>
        <v>#DIV/0!</v>
      </c>
      <c r="S40" s="83" t="s">
        <v>40</v>
      </c>
      <c r="T40" s="73"/>
      <c r="U40" s="73"/>
      <c r="V40"/>
      <c r="W40" s="8" t="e">
        <f t="shared" si="3"/>
        <v>#DIV/0!</v>
      </c>
      <c r="Y40" s="83" t="s">
        <v>40</v>
      </c>
      <c r="Z40" s="73"/>
      <c r="AA40"/>
      <c r="AB40"/>
      <c r="AC40" s="8" t="e">
        <f t="shared" si="4"/>
        <v>#DIV/0!</v>
      </c>
    </row>
    <row r="41" spans="1:29">
      <c r="A41" s="56" t="s">
        <v>242</v>
      </c>
      <c r="B41" s="73">
        <v>28.06</v>
      </c>
      <c r="C41" s="263"/>
      <c r="D41"/>
      <c r="E41" s="8">
        <f t="shared" si="0"/>
        <v>0</v>
      </c>
      <c r="G41" s="56" t="s">
        <v>151</v>
      </c>
      <c r="H41" s="73">
        <v>13.42</v>
      </c>
      <c r="I41"/>
      <c r="J41"/>
      <c r="K41" s="8">
        <f t="shared" si="1"/>
        <v>0</v>
      </c>
      <c r="M41" s="56" t="s">
        <v>151</v>
      </c>
      <c r="N41" s="73"/>
      <c r="O41"/>
      <c r="P41"/>
      <c r="Q41" s="8" t="e">
        <f t="shared" si="2"/>
        <v>#DIV/0!</v>
      </c>
      <c r="S41" s="56" t="s">
        <v>151</v>
      </c>
      <c r="T41" s="73"/>
      <c r="U41" s="73"/>
      <c r="V41"/>
      <c r="W41" s="8" t="e">
        <f t="shared" si="3"/>
        <v>#DIV/0!</v>
      </c>
      <c r="Y41" s="56" t="s">
        <v>151</v>
      </c>
      <c r="Z41" s="73"/>
      <c r="AA41"/>
      <c r="AB41"/>
      <c r="AC41" s="8" t="e">
        <f t="shared" si="4"/>
        <v>#DIV/0!</v>
      </c>
    </row>
    <row r="42" spans="1:29" ht="16.5" customHeight="1">
      <c r="A42" s="56" t="s">
        <v>243</v>
      </c>
      <c r="B42" s="73">
        <v>1176.902376</v>
      </c>
      <c r="C42" s="263"/>
      <c r="D42"/>
      <c r="E42" s="8">
        <f t="shared" si="0"/>
        <v>0</v>
      </c>
      <c r="G42" s="56" t="s">
        <v>41</v>
      </c>
      <c r="H42" s="73">
        <v>1174.1009280000001</v>
      </c>
      <c r="I42"/>
      <c r="J42"/>
      <c r="K42" s="8">
        <f t="shared" si="1"/>
        <v>0</v>
      </c>
      <c r="M42" s="56" t="s">
        <v>41</v>
      </c>
      <c r="N42" s="73"/>
      <c r="O42"/>
      <c r="P42"/>
      <c r="Q42" s="8" t="e">
        <f t="shared" si="2"/>
        <v>#DIV/0!</v>
      </c>
      <c r="S42" s="56" t="s">
        <v>41</v>
      </c>
      <c r="T42" s="73"/>
      <c r="U42" s="73"/>
      <c r="V42"/>
      <c r="W42" s="8" t="e">
        <f t="shared" si="3"/>
        <v>#DIV/0!</v>
      </c>
      <c r="Y42" s="56" t="s">
        <v>41</v>
      </c>
      <c r="Z42" s="73"/>
      <c r="AA42"/>
      <c r="AB42"/>
      <c r="AC42" s="8" t="e">
        <f t="shared" si="4"/>
        <v>#DIV/0!</v>
      </c>
    </row>
    <row r="43" spans="1:29" ht="16.5" customHeight="1">
      <c r="A43" s="56" t="s">
        <v>244</v>
      </c>
      <c r="B43" s="73">
        <v>0.61</v>
      </c>
      <c r="C43" s="263"/>
      <c r="D43"/>
      <c r="E43" s="8"/>
      <c r="G43" s="56" t="s">
        <v>152</v>
      </c>
      <c r="H43" s="73">
        <v>7.32</v>
      </c>
      <c r="I43"/>
      <c r="J43"/>
      <c r="K43" s="8"/>
      <c r="M43" s="56" t="s">
        <v>152</v>
      </c>
      <c r="N43" s="73"/>
      <c r="O43"/>
      <c r="P43"/>
      <c r="Q43" s="8"/>
      <c r="S43" s="56" t="s">
        <v>152</v>
      </c>
      <c r="T43" s="73"/>
      <c r="U43" s="73"/>
      <c r="V43"/>
      <c r="W43" s="8"/>
      <c r="Y43" s="56" t="s">
        <v>152</v>
      </c>
      <c r="Z43" s="73"/>
      <c r="AA43"/>
      <c r="AB43"/>
      <c r="AC43" s="8"/>
    </row>
    <row r="44" spans="1:29">
      <c r="A44" s="56" t="s">
        <v>245</v>
      </c>
      <c r="B44" s="73">
        <v>188.24</v>
      </c>
      <c r="C44" s="263"/>
      <c r="D44"/>
      <c r="E44" s="8">
        <f t="shared" si="0"/>
        <v>0</v>
      </c>
      <c r="G44" s="56" t="s">
        <v>153</v>
      </c>
      <c r="H44" s="73">
        <v>208.19</v>
      </c>
      <c r="I44"/>
      <c r="J44"/>
      <c r="K44" s="8">
        <f t="shared" si="1"/>
        <v>0</v>
      </c>
      <c r="M44" s="56" t="s">
        <v>153</v>
      </c>
      <c r="N44" s="73"/>
      <c r="O44"/>
      <c r="P44"/>
      <c r="Q44" s="8" t="e">
        <f t="shared" si="2"/>
        <v>#DIV/0!</v>
      </c>
      <c r="S44" s="56" t="s">
        <v>153</v>
      </c>
      <c r="T44" s="73"/>
      <c r="U44" s="73"/>
      <c r="V44"/>
      <c r="W44" s="8" t="e">
        <f t="shared" si="3"/>
        <v>#DIV/0!</v>
      </c>
      <c r="Y44" s="56" t="s">
        <v>153</v>
      </c>
      <c r="Z44" s="73"/>
      <c r="AA44"/>
      <c r="AB44"/>
      <c r="AC44" s="8" t="e">
        <f t="shared" si="4"/>
        <v>#DIV/0!</v>
      </c>
    </row>
    <row r="45" spans="1:29">
      <c r="A45" s="56" t="s">
        <v>246</v>
      </c>
      <c r="B45" s="73"/>
      <c r="C45" s="263"/>
      <c r="D45"/>
      <c r="E45" s="8"/>
      <c r="G45" s="56" t="s">
        <v>154</v>
      </c>
      <c r="H45" s="73">
        <v>0</v>
      </c>
      <c r="I45"/>
      <c r="J45"/>
      <c r="K45" s="8"/>
      <c r="M45" s="56" t="s">
        <v>154</v>
      </c>
      <c r="N45" s="73"/>
      <c r="O45"/>
      <c r="P45"/>
      <c r="Q45" s="8"/>
      <c r="S45" s="56" t="s">
        <v>154</v>
      </c>
      <c r="T45" s="73"/>
      <c r="U45" s="73"/>
      <c r="V45"/>
      <c r="W45" s="8"/>
      <c r="Y45" s="56" t="s">
        <v>154</v>
      </c>
      <c r="Z45" s="73"/>
      <c r="AA45"/>
      <c r="AB45"/>
      <c r="AC45" s="8"/>
    </row>
    <row r="46" spans="1:29">
      <c r="A46" s="56" t="s">
        <v>247</v>
      </c>
      <c r="B46" s="73">
        <v>156.77000000000001</v>
      </c>
      <c r="C46" s="263"/>
      <c r="D46"/>
      <c r="E46" s="8"/>
      <c r="G46" s="56" t="s">
        <v>155</v>
      </c>
      <c r="H46" s="73">
        <v>81.92</v>
      </c>
      <c r="I46"/>
      <c r="J46"/>
      <c r="K46" s="8"/>
      <c r="M46" s="56" t="s">
        <v>155</v>
      </c>
      <c r="N46" s="73"/>
      <c r="O46"/>
      <c r="P46"/>
      <c r="Q46" s="8"/>
      <c r="S46" s="56" t="s">
        <v>155</v>
      </c>
      <c r="T46" s="73"/>
      <c r="U46" s="73"/>
      <c r="V46"/>
      <c r="W46" s="8"/>
      <c r="Y46" s="56" t="s">
        <v>155</v>
      </c>
      <c r="Z46" s="73"/>
      <c r="AA46"/>
      <c r="AB46"/>
      <c r="AC46" s="8"/>
    </row>
    <row r="47" spans="1:29">
      <c r="A47" s="56" t="s">
        <v>248</v>
      </c>
      <c r="B47" s="73">
        <v>708.22645599999998</v>
      </c>
      <c r="C47" s="263"/>
      <c r="D47"/>
      <c r="E47" s="8"/>
      <c r="G47" s="56" t="s">
        <v>156</v>
      </c>
      <c r="H47" s="73">
        <v>768.56828599999994</v>
      </c>
      <c r="I47"/>
      <c r="J47"/>
      <c r="K47" s="8"/>
      <c r="M47" s="56" t="s">
        <v>156</v>
      </c>
      <c r="N47" s="73"/>
      <c r="O47"/>
      <c r="P47"/>
      <c r="Q47" s="8"/>
      <c r="S47" s="56" t="s">
        <v>156</v>
      </c>
      <c r="T47" s="73"/>
      <c r="U47" s="73"/>
      <c r="V47"/>
      <c r="W47" s="8"/>
      <c r="Y47" s="56" t="s">
        <v>156</v>
      </c>
      <c r="Z47" s="73"/>
      <c r="AA47"/>
      <c r="AB47"/>
      <c r="AC47" s="8"/>
    </row>
    <row r="48" spans="1:29">
      <c r="A48" s="83" t="s">
        <v>249</v>
      </c>
      <c r="B48" s="73">
        <v>316.06473599999998</v>
      </c>
      <c r="C48" s="263"/>
      <c r="D48"/>
      <c r="E48" s="8"/>
      <c r="G48" s="83" t="s">
        <v>58</v>
      </c>
      <c r="H48" s="73">
        <v>411.46747199999999</v>
      </c>
      <c r="I48"/>
      <c r="J48"/>
      <c r="K48" s="8"/>
      <c r="M48" s="83" t="s">
        <v>58</v>
      </c>
      <c r="N48" s="73"/>
      <c r="O48"/>
      <c r="P48"/>
      <c r="Q48" s="8"/>
      <c r="S48" s="83" t="s">
        <v>58</v>
      </c>
      <c r="T48" s="73"/>
      <c r="U48" s="73"/>
      <c r="V48"/>
      <c r="W48" s="8"/>
      <c r="Y48" s="83" t="s">
        <v>58</v>
      </c>
      <c r="Z48" s="73"/>
      <c r="AA48"/>
      <c r="AB48"/>
      <c r="AC48" s="8"/>
    </row>
    <row r="49" spans="1:29">
      <c r="A49" s="56" t="s">
        <v>250</v>
      </c>
      <c r="B49" s="73">
        <v>1371.6181349999999</v>
      </c>
      <c r="C49" s="263"/>
      <c r="D49"/>
      <c r="E49" s="8">
        <f t="shared" si="0"/>
        <v>0</v>
      </c>
      <c r="G49" s="56" t="s">
        <v>157</v>
      </c>
      <c r="H49" s="73">
        <v>1387.7029239999999</v>
      </c>
      <c r="I49"/>
      <c r="J49"/>
      <c r="K49" s="8">
        <f t="shared" si="1"/>
        <v>0</v>
      </c>
      <c r="M49" s="56" t="s">
        <v>157</v>
      </c>
      <c r="N49" s="73"/>
      <c r="O49"/>
      <c r="P49"/>
      <c r="Q49" s="8" t="e">
        <f t="shared" si="2"/>
        <v>#DIV/0!</v>
      </c>
      <c r="S49" s="56" t="s">
        <v>157</v>
      </c>
      <c r="T49" s="73"/>
      <c r="U49" s="73"/>
      <c r="V49"/>
      <c r="W49" s="8" t="e">
        <f t="shared" si="3"/>
        <v>#DIV/0!</v>
      </c>
      <c r="Y49" s="56" t="s">
        <v>157</v>
      </c>
      <c r="Z49" s="73"/>
      <c r="AA49"/>
      <c r="AB49"/>
      <c r="AC49" s="8" t="e">
        <f t="shared" si="4"/>
        <v>#DIV/0!</v>
      </c>
    </row>
    <row r="50" spans="1:29">
      <c r="A50" s="56" t="s">
        <v>251</v>
      </c>
      <c r="B50" s="73">
        <v>879.274</v>
      </c>
      <c r="C50" s="263"/>
      <c r="D50"/>
      <c r="E50" s="8">
        <f t="shared" si="0"/>
        <v>0</v>
      </c>
      <c r="G50" s="56" t="s">
        <v>158</v>
      </c>
      <c r="H50" s="73">
        <v>879.85799999999995</v>
      </c>
      <c r="I50"/>
      <c r="J50"/>
      <c r="K50" s="8">
        <f t="shared" si="1"/>
        <v>0</v>
      </c>
      <c r="M50" s="56" t="s">
        <v>158</v>
      </c>
      <c r="N50" s="73"/>
      <c r="O50"/>
      <c r="P50"/>
      <c r="Q50" s="8" t="e">
        <f t="shared" si="2"/>
        <v>#DIV/0!</v>
      </c>
      <c r="S50" s="56" t="s">
        <v>158</v>
      </c>
      <c r="T50" s="73"/>
      <c r="U50" s="73"/>
      <c r="V50"/>
      <c r="W50" s="8" t="e">
        <f t="shared" si="3"/>
        <v>#DIV/0!</v>
      </c>
      <c r="Y50" s="56" t="s">
        <v>158</v>
      </c>
      <c r="Z50" s="73"/>
      <c r="AA50"/>
      <c r="AB50"/>
      <c r="AC50" s="8" t="e">
        <f t="shared" si="4"/>
        <v>#DIV/0!</v>
      </c>
    </row>
    <row r="51" spans="1:29">
      <c r="A51" s="56" t="s">
        <v>252</v>
      </c>
      <c r="B51" s="73">
        <v>4323.1587360000003</v>
      </c>
      <c r="C51" s="263"/>
      <c r="D51"/>
      <c r="E51" s="8">
        <f t="shared" si="0"/>
        <v>0</v>
      </c>
      <c r="G51" s="56" t="s">
        <v>42</v>
      </c>
      <c r="H51" s="73">
        <v>4464.3312480000004</v>
      </c>
      <c r="I51"/>
      <c r="J51"/>
      <c r="K51" s="8">
        <f t="shared" si="1"/>
        <v>0</v>
      </c>
      <c r="M51" s="56" t="s">
        <v>42</v>
      </c>
      <c r="N51" s="73"/>
      <c r="O51"/>
      <c r="P51"/>
      <c r="Q51" s="8" t="e">
        <f t="shared" si="2"/>
        <v>#DIV/0!</v>
      </c>
      <c r="S51" s="56" t="s">
        <v>42</v>
      </c>
      <c r="T51" s="73"/>
      <c r="U51" s="73"/>
      <c r="V51"/>
      <c r="W51" s="8" t="e">
        <f t="shared" si="3"/>
        <v>#DIV/0!</v>
      </c>
      <c r="Y51" s="56" t="s">
        <v>42</v>
      </c>
      <c r="Z51" s="73"/>
      <c r="AA51"/>
      <c r="AB51"/>
      <c r="AC51" s="8" t="e">
        <f t="shared" si="4"/>
        <v>#DIV/0!</v>
      </c>
    </row>
    <row r="52" spans="1:29">
      <c r="A52" s="83" t="s">
        <v>253</v>
      </c>
      <c r="B52" s="73">
        <v>998.33281999999997</v>
      </c>
      <c r="C52" s="263"/>
      <c r="D52"/>
      <c r="E52" s="8"/>
      <c r="G52" s="83" t="s">
        <v>159</v>
      </c>
      <c r="H52" s="73">
        <v>1037.779456</v>
      </c>
      <c r="I52"/>
      <c r="J52"/>
      <c r="K52" s="8"/>
      <c r="M52" s="83" t="s">
        <v>159</v>
      </c>
      <c r="N52" s="73"/>
      <c r="O52"/>
      <c r="P52"/>
      <c r="Q52" s="8"/>
      <c r="S52" s="83" t="s">
        <v>159</v>
      </c>
      <c r="T52" s="73"/>
      <c r="U52" s="73"/>
      <c r="V52"/>
      <c r="W52" s="8"/>
      <c r="Y52" s="83" t="s">
        <v>159</v>
      </c>
      <c r="Z52" s="73"/>
      <c r="AA52"/>
      <c r="AB52"/>
      <c r="AC52" s="8"/>
    </row>
    <row r="53" spans="1:29">
      <c r="A53" s="56" t="s">
        <v>254</v>
      </c>
      <c r="B53" s="73">
        <v>15776.296848</v>
      </c>
      <c r="C53" s="263"/>
      <c r="D53"/>
      <c r="E53" s="8">
        <f t="shared" si="0"/>
        <v>0</v>
      </c>
      <c r="G53" s="56" t="s">
        <v>11</v>
      </c>
      <c r="H53" s="73">
        <v>14798.988047999999</v>
      </c>
      <c r="I53"/>
      <c r="J53"/>
      <c r="K53" s="8">
        <f t="shared" si="1"/>
        <v>0</v>
      </c>
      <c r="M53" s="56" t="s">
        <v>11</v>
      </c>
      <c r="N53" s="73"/>
      <c r="O53"/>
      <c r="P53"/>
      <c r="Q53" s="8" t="e">
        <f t="shared" si="2"/>
        <v>#DIV/0!</v>
      </c>
      <c r="S53" s="56" t="s">
        <v>11</v>
      </c>
      <c r="T53" s="73"/>
      <c r="U53" s="73"/>
      <c r="V53"/>
      <c r="W53" s="8" t="e">
        <f t="shared" si="3"/>
        <v>#DIV/0!</v>
      </c>
      <c r="Y53" s="56" t="s">
        <v>11</v>
      </c>
      <c r="Z53" s="73"/>
      <c r="AA53"/>
      <c r="AB53"/>
      <c r="AC53" s="8" t="e">
        <f t="shared" si="4"/>
        <v>#DIV/0!</v>
      </c>
    </row>
    <row r="54" spans="1:29">
      <c r="A54" s="56" t="s">
        <v>255</v>
      </c>
      <c r="B54" s="73">
        <v>18882.084194999999</v>
      </c>
      <c r="C54" s="263"/>
      <c r="D54"/>
      <c r="E54" s="8">
        <f t="shared" si="0"/>
        <v>0</v>
      </c>
      <c r="G54" s="56" t="s">
        <v>13</v>
      </c>
      <c r="H54" s="73">
        <v>18735.534674999999</v>
      </c>
      <c r="I54"/>
      <c r="J54"/>
      <c r="K54" s="8">
        <f t="shared" si="1"/>
        <v>0</v>
      </c>
      <c r="M54" s="56" t="s">
        <v>13</v>
      </c>
      <c r="N54" s="73"/>
      <c r="O54"/>
      <c r="P54"/>
      <c r="Q54" s="8" t="e">
        <f t="shared" si="2"/>
        <v>#DIV/0!</v>
      </c>
      <c r="S54" s="56" t="s">
        <v>13</v>
      </c>
      <c r="T54" s="73"/>
      <c r="U54" s="73"/>
      <c r="V54"/>
      <c r="W54" s="8" t="e">
        <f t="shared" si="3"/>
        <v>#DIV/0!</v>
      </c>
      <c r="Y54" s="56" t="s">
        <v>13</v>
      </c>
      <c r="Z54" s="73"/>
      <c r="AA54"/>
      <c r="AB54"/>
      <c r="AC54" s="8" t="e">
        <f t="shared" si="4"/>
        <v>#DIV/0!</v>
      </c>
    </row>
    <row r="55" spans="1:29">
      <c r="A55" s="56" t="s">
        <v>256</v>
      </c>
      <c r="B55" s="73">
        <v>293.52</v>
      </c>
      <c r="C55" s="263"/>
      <c r="D55"/>
      <c r="E55" s="8">
        <f t="shared" si="0"/>
        <v>0</v>
      </c>
      <c r="G55" s="56" t="s">
        <v>160</v>
      </c>
      <c r="H55" s="73">
        <v>460.56</v>
      </c>
      <c r="I55"/>
      <c r="J55"/>
      <c r="K55" s="8">
        <f t="shared" si="1"/>
        <v>0</v>
      </c>
      <c r="M55" s="56" t="s">
        <v>160</v>
      </c>
      <c r="N55" s="73"/>
      <c r="O55"/>
      <c r="P55"/>
      <c r="Q55" s="8" t="e">
        <f t="shared" si="2"/>
        <v>#DIV/0!</v>
      </c>
      <c r="S55" s="56" t="s">
        <v>160</v>
      </c>
      <c r="T55" s="73"/>
      <c r="U55" s="73"/>
      <c r="V55"/>
      <c r="W55" s="8" t="e">
        <f t="shared" si="3"/>
        <v>#DIV/0!</v>
      </c>
      <c r="Y55" s="56" t="s">
        <v>160</v>
      </c>
      <c r="Z55" s="73"/>
      <c r="AA55"/>
      <c r="AB55"/>
      <c r="AC55" s="8" t="e">
        <f t="shared" si="4"/>
        <v>#DIV/0!</v>
      </c>
    </row>
    <row r="56" spans="1:29">
      <c r="A56" s="56" t="s">
        <v>257</v>
      </c>
      <c r="B56" s="73">
        <v>129.32</v>
      </c>
      <c r="C56" s="263"/>
      <c r="D56"/>
      <c r="E56" s="8"/>
      <c r="G56" s="56" t="s">
        <v>161</v>
      </c>
      <c r="H56" s="73">
        <v>159.82</v>
      </c>
      <c r="I56"/>
      <c r="J56"/>
      <c r="K56" s="8"/>
      <c r="M56" s="56" t="s">
        <v>161</v>
      </c>
      <c r="N56" s="73"/>
      <c r="O56"/>
      <c r="P56"/>
      <c r="Q56" s="8"/>
      <c r="S56" s="56" t="s">
        <v>161</v>
      </c>
      <c r="T56" s="73"/>
      <c r="U56" s="73"/>
      <c r="V56"/>
      <c r="W56" s="8"/>
      <c r="Y56" s="56" t="s">
        <v>161</v>
      </c>
      <c r="Z56" s="73"/>
      <c r="AA56"/>
      <c r="AB56"/>
      <c r="AC56" s="8"/>
    </row>
    <row r="57" spans="1:29">
      <c r="A57" s="56" t="s">
        <v>258</v>
      </c>
      <c r="B57" s="73">
        <v>3.6</v>
      </c>
      <c r="C57" s="263"/>
      <c r="D57"/>
      <c r="E57" s="8">
        <f t="shared" si="0"/>
        <v>0</v>
      </c>
      <c r="G57" s="56" t="s">
        <v>162</v>
      </c>
      <c r="H57" s="73">
        <v>7.2</v>
      </c>
      <c r="I57"/>
      <c r="J57"/>
      <c r="K57" s="8">
        <f t="shared" si="1"/>
        <v>0</v>
      </c>
      <c r="M57" s="56" t="s">
        <v>162</v>
      </c>
      <c r="N57" s="73"/>
      <c r="O57"/>
      <c r="P57"/>
      <c r="Q57" s="8" t="e">
        <f t="shared" si="2"/>
        <v>#DIV/0!</v>
      </c>
      <c r="S57" s="56" t="s">
        <v>162</v>
      </c>
      <c r="T57" s="73"/>
      <c r="U57" s="73"/>
      <c r="V57"/>
      <c r="W57" s="8" t="e">
        <f t="shared" si="3"/>
        <v>#DIV/0!</v>
      </c>
      <c r="Y57" s="56" t="s">
        <v>162</v>
      </c>
      <c r="Z57" s="73"/>
      <c r="AA57"/>
      <c r="AB57"/>
      <c r="AC57" s="8" t="e">
        <f t="shared" si="4"/>
        <v>#DIV/0!</v>
      </c>
    </row>
    <row r="58" spans="1:29">
      <c r="A58" s="56" t="s">
        <v>312</v>
      </c>
      <c r="B58" s="73">
        <v>0.62</v>
      </c>
      <c r="C58" s="263"/>
      <c r="D58"/>
      <c r="E58" s="8"/>
      <c r="G58" s="40" t="s">
        <v>201</v>
      </c>
      <c r="H58" s="73">
        <v>0</v>
      </c>
      <c r="I58"/>
      <c r="J58"/>
      <c r="K58" s="8"/>
      <c r="M58" s="40" t="s">
        <v>201</v>
      </c>
      <c r="N58" s="73"/>
      <c r="O58"/>
      <c r="P58"/>
      <c r="Q58" s="8"/>
      <c r="S58" s="40" t="s">
        <v>201</v>
      </c>
      <c r="T58" s="73"/>
      <c r="U58" s="73"/>
      <c r="V58"/>
      <c r="W58" s="8"/>
      <c r="Y58" s="40" t="s">
        <v>201</v>
      </c>
      <c r="Z58" s="73"/>
      <c r="AA58"/>
      <c r="AB58"/>
      <c r="AC58" s="8"/>
    </row>
    <row r="59" spans="1:29">
      <c r="A59" s="83" t="s">
        <v>259</v>
      </c>
      <c r="B59" s="73">
        <v>264.78160800000001</v>
      </c>
      <c r="C59" s="263"/>
      <c r="D59"/>
      <c r="E59" s="8">
        <f t="shared" si="0"/>
        <v>0</v>
      </c>
      <c r="G59" s="56" t="s">
        <v>57</v>
      </c>
      <c r="H59" s="73">
        <v>301.469064</v>
      </c>
      <c r="I59"/>
      <c r="J59"/>
      <c r="K59" s="8">
        <f t="shared" si="1"/>
        <v>0</v>
      </c>
      <c r="M59" s="56" t="s">
        <v>57</v>
      </c>
      <c r="N59" s="73"/>
      <c r="O59"/>
      <c r="P59"/>
      <c r="Q59" s="8" t="e">
        <f t="shared" si="2"/>
        <v>#DIV/0!</v>
      </c>
      <c r="S59" s="56" t="s">
        <v>57</v>
      </c>
      <c r="T59" s="73"/>
      <c r="U59" s="73"/>
      <c r="V59"/>
      <c r="W59" s="8" t="e">
        <f t="shared" si="3"/>
        <v>#DIV/0!</v>
      </c>
      <c r="Y59" s="56" t="s">
        <v>57</v>
      </c>
      <c r="Z59" s="73"/>
      <c r="AA59"/>
      <c r="AB59"/>
      <c r="AC59" s="8" t="e">
        <f t="shared" si="4"/>
        <v>#DIV/0!</v>
      </c>
    </row>
    <row r="60" spans="1:29">
      <c r="A60" s="83" t="s">
        <v>260</v>
      </c>
      <c r="B60" s="73">
        <v>66.505607999999995</v>
      </c>
      <c r="C60" s="263"/>
      <c r="D60"/>
      <c r="E60" s="8"/>
      <c r="G60" s="83" t="s">
        <v>56</v>
      </c>
      <c r="H60" s="73">
        <v>59.956104000000003</v>
      </c>
      <c r="I60"/>
      <c r="J60"/>
      <c r="K60" s="8"/>
      <c r="M60" s="83" t="s">
        <v>56</v>
      </c>
      <c r="N60" s="73"/>
      <c r="O60"/>
      <c r="P60"/>
      <c r="Q60" s="8"/>
      <c r="S60" s="83" t="s">
        <v>56</v>
      </c>
      <c r="T60" s="73"/>
      <c r="U60" s="73"/>
      <c r="V60"/>
      <c r="W60" s="8"/>
      <c r="Y60" s="83" t="s">
        <v>56</v>
      </c>
      <c r="Z60" s="73"/>
      <c r="AA60"/>
      <c r="AB60"/>
      <c r="AC60" s="8"/>
    </row>
    <row r="61" spans="1:29">
      <c r="A61" s="56" t="s">
        <v>261</v>
      </c>
      <c r="B61" s="73">
        <v>702.67735200000004</v>
      </c>
      <c r="C61" s="263"/>
      <c r="D61"/>
      <c r="E61" s="8"/>
      <c r="G61" s="83" t="s">
        <v>43</v>
      </c>
      <c r="H61" s="73">
        <v>735.71908800000006</v>
      </c>
      <c r="I61"/>
      <c r="J61"/>
      <c r="K61" s="8"/>
      <c r="M61" s="83" t="s">
        <v>43</v>
      </c>
      <c r="N61" s="73"/>
      <c r="O61"/>
      <c r="P61"/>
      <c r="Q61" s="8"/>
      <c r="S61" s="83" t="s">
        <v>43</v>
      </c>
      <c r="T61" s="73"/>
      <c r="U61" s="73"/>
      <c r="V61"/>
      <c r="W61" s="8"/>
      <c r="Y61" s="83" t="s">
        <v>43</v>
      </c>
      <c r="Z61" s="73"/>
      <c r="AA61"/>
      <c r="AB61"/>
      <c r="AC61" s="8"/>
    </row>
    <row r="62" spans="1:29">
      <c r="A62" s="56" t="s">
        <v>262</v>
      </c>
      <c r="B62" s="73">
        <v>25.42</v>
      </c>
      <c r="C62" s="263"/>
      <c r="D62"/>
      <c r="E62" s="8">
        <f t="shared" si="0"/>
        <v>0</v>
      </c>
      <c r="G62" s="56" t="s">
        <v>163</v>
      </c>
      <c r="H62" s="73">
        <v>37.200000000000003</v>
      </c>
      <c r="I62"/>
      <c r="J62"/>
      <c r="K62" s="8">
        <f t="shared" si="1"/>
        <v>0</v>
      </c>
      <c r="M62" s="56" t="s">
        <v>163</v>
      </c>
      <c r="N62" s="73"/>
      <c r="O62"/>
      <c r="P62"/>
      <c r="Q62" s="8" t="e">
        <f t="shared" si="2"/>
        <v>#DIV/0!</v>
      </c>
      <c r="S62" s="56" t="s">
        <v>163</v>
      </c>
      <c r="T62" s="73"/>
      <c r="U62" s="73"/>
      <c r="V62"/>
      <c r="W62" s="8" t="e">
        <f t="shared" si="3"/>
        <v>#DIV/0!</v>
      </c>
      <c r="Y62" s="56" t="s">
        <v>163</v>
      </c>
      <c r="Z62" s="73"/>
      <c r="AA62"/>
      <c r="AB62"/>
      <c r="AC62" s="8" t="e">
        <f t="shared" si="4"/>
        <v>#DIV/0!</v>
      </c>
    </row>
    <row r="63" spans="1:29">
      <c r="A63" s="56" t="s">
        <v>263</v>
      </c>
      <c r="B63" s="73">
        <v>470.44</v>
      </c>
      <c r="C63" s="263"/>
      <c r="D63"/>
      <c r="E63" s="8">
        <f t="shared" si="0"/>
        <v>0</v>
      </c>
      <c r="G63" s="56" t="s">
        <v>164</v>
      </c>
      <c r="H63" s="73">
        <v>522.52</v>
      </c>
      <c r="I63"/>
      <c r="J63"/>
      <c r="K63" s="8">
        <f t="shared" si="1"/>
        <v>0</v>
      </c>
      <c r="M63" s="56" t="s">
        <v>164</v>
      </c>
      <c r="N63" s="73"/>
      <c r="O63"/>
      <c r="P63"/>
      <c r="Q63" s="8" t="e">
        <f t="shared" si="2"/>
        <v>#DIV/0!</v>
      </c>
      <c r="S63" s="56" t="s">
        <v>164</v>
      </c>
      <c r="T63" s="73"/>
      <c r="U63" s="73"/>
      <c r="V63"/>
      <c r="W63" s="8" t="e">
        <f t="shared" si="3"/>
        <v>#DIV/0!</v>
      </c>
      <c r="Y63" s="56" t="s">
        <v>164</v>
      </c>
      <c r="Z63" s="73"/>
      <c r="AA63"/>
      <c r="AB63"/>
      <c r="AC63" s="8" t="e">
        <f t="shared" si="4"/>
        <v>#DIV/0!</v>
      </c>
    </row>
    <row r="64" spans="1:29">
      <c r="A64" s="83" t="s">
        <v>264</v>
      </c>
      <c r="B64" s="73">
        <v>93.675815999999998</v>
      </c>
      <c r="C64" s="263"/>
      <c r="D64"/>
      <c r="E64" s="8"/>
      <c r="G64" s="56" t="s">
        <v>55</v>
      </c>
      <c r="H64" s="73">
        <v>43.595135999999997</v>
      </c>
      <c r="I64"/>
      <c r="J64"/>
      <c r="K64" s="8"/>
      <c r="M64" s="56" t="s">
        <v>55</v>
      </c>
      <c r="N64" s="73"/>
      <c r="O64"/>
      <c r="P64"/>
      <c r="Q64" s="8"/>
      <c r="S64" s="56" t="s">
        <v>55</v>
      </c>
      <c r="T64" s="73"/>
      <c r="U64" s="73"/>
      <c r="V64"/>
      <c r="W64" s="8"/>
      <c r="Y64" s="56" t="s">
        <v>55</v>
      </c>
      <c r="Z64" s="73"/>
      <c r="AA64"/>
      <c r="AB64"/>
      <c r="AC64" s="8"/>
    </row>
    <row r="65" spans="1:29">
      <c r="A65" s="83" t="s">
        <v>265</v>
      </c>
      <c r="B65" s="73">
        <v>35.130000000000003</v>
      </c>
      <c r="C65" s="263"/>
      <c r="D65"/>
      <c r="E65" s="8"/>
      <c r="G65" s="83" t="s">
        <v>165</v>
      </c>
      <c r="H65" s="73">
        <v>55.51</v>
      </c>
      <c r="I65"/>
      <c r="J65"/>
      <c r="K65" s="8"/>
      <c r="M65" s="83" t="s">
        <v>165</v>
      </c>
      <c r="N65" s="73"/>
      <c r="O65"/>
      <c r="P65"/>
      <c r="Q65" s="8"/>
      <c r="S65" s="83" t="s">
        <v>165</v>
      </c>
      <c r="T65" s="73"/>
      <c r="U65" s="73"/>
      <c r="V65"/>
      <c r="W65" s="8"/>
      <c r="Y65" s="83" t="s">
        <v>165</v>
      </c>
      <c r="Z65" s="73"/>
      <c r="AA65"/>
      <c r="AB65"/>
      <c r="AC65" s="8"/>
    </row>
    <row r="66" spans="1:29">
      <c r="A66" s="83" t="s">
        <v>266</v>
      </c>
      <c r="B66" s="73">
        <v>19294.572208000001</v>
      </c>
      <c r="C66" s="263"/>
      <c r="D66"/>
      <c r="E66" s="8"/>
      <c r="G66" s="83" t="s">
        <v>73</v>
      </c>
      <c r="H66" s="73">
        <v>18416.869674000001</v>
      </c>
      <c r="I66"/>
      <c r="J66"/>
      <c r="K66" s="8"/>
      <c r="M66" s="83" t="s">
        <v>73</v>
      </c>
      <c r="N66" s="73"/>
      <c r="O66"/>
      <c r="P66"/>
      <c r="Q66" s="8"/>
      <c r="S66" s="83" t="s">
        <v>73</v>
      </c>
      <c r="T66" s="73"/>
      <c r="U66" s="73"/>
      <c r="V66"/>
      <c r="W66" s="8"/>
      <c r="Y66" s="83" t="s">
        <v>73</v>
      </c>
      <c r="Z66" s="73"/>
      <c r="AA66"/>
      <c r="AB66"/>
      <c r="AC66" s="8"/>
    </row>
    <row r="67" spans="1:29">
      <c r="A67" s="83" t="s">
        <v>267</v>
      </c>
      <c r="B67" s="73"/>
      <c r="C67" s="263"/>
      <c r="D67"/>
      <c r="E67" s="8"/>
      <c r="G67" s="83" t="s">
        <v>166</v>
      </c>
      <c r="H67" s="73">
        <v>1.22</v>
      </c>
      <c r="I67"/>
      <c r="J67"/>
      <c r="K67" s="8"/>
      <c r="M67" s="83" t="s">
        <v>166</v>
      </c>
      <c r="N67" s="73"/>
      <c r="O67"/>
      <c r="P67"/>
      <c r="Q67" s="8"/>
      <c r="S67" s="83" t="s">
        <v>166</v>
      </c>
      <c r="T67" s="73"/>
      <c r="U67" s="73"/>
      <c r="V67"/>
      <c r="W67" s="8"/>
      <c r="Y67" s="83" t="s">
        <v>166</v>
      </c>
      <c r="Z67" s="73"/>
      <c r="AA67"/>
      <c r="AB67"/>
      <c r="AC67" s="8"/>
    </row>
    <row r="68" spans="1:29">
      <c r="A68" s="83" t="s">
        <v>311</v>
      </c>
      <c r="B68" s="73">
        <v>4.8</v>
      </c>
      <c r="C68" s="263"/>
      <c r="D68"/>
      <c r="E68" s="8"/>
      <c r="G68" s="83" t="s">
        <v>167</v>
      </c>
      <c r="H68" s="73">
        <v>13.8</v>
      </c>
      <c r="I68"/>
      <c r="J68"/>
      <c r="K68" s="8"/>
      <c r="M68" s="83" t="s">
        <v>167</v>
      </c>
      <c r="N68" s="73"/>
      <c r="O68"/>
      <c r="P68"/>
      <c r="Q68" s="8"/>
      <c r="S68" s="83" t="s">
        <v>167</v>
      </c>
      <c r="T68" s="73"/>
      <c r="U68" s="73"/>
      <c r="V68"/>
      <c r="W68" s="8"/>
      <c r="Y68" s="83" t="s">
        <v>167</v>
      </c>
      <c r="Z68" s="73"/>
      <c r="AA68"/>
      <c r="AB68"/>
      <c r="AC68" s="8"/>
    </row>
    <row r="69" spans="1:29">
      <c r="A69" s="83" t="s">
        <v>268</v>
      </c>
      <c r="B69" s="73">
        <v>7.44</v>
      </c>
      <c r="C69" s="263"/>
      <c r="D69"/>
      <c r="E69" s="8"/>
      <c r="G69" s="83" t="s">
        <v>168</v>
      </c>
      <c r="H69" s="73">
        <v>19.84</v>
      </c>
      <c r="I69"/>
      <c r="J69"/>
      <c r="K69" s="8"/>
      <c r="M69" s="83" t="s">
        <v>168</v>
      </c>
      <c r="N69" s="73"/>
      <c r="O69"/>
      <c r="P69"/>
      <c r="Q69" s="8"/>
      <c r="S69" s="83" t="s">
        <v>168</v>
      </c>
      <c r="T69" s="73"/>
      <c r="U69" s="73"/>
      <c r="V69"/>
      <c r="W69" s="8"/>
      <c r="Y69" s="83" t="s">
        <v>168</v>
      </c>
      <c r="Z69" s="73"/>
      <c r="AA69"/>
      <c r="AB69"/>
      <c r="AC69" s="8"/>
    </row>
    <row r="70" spans="1:29">
      <c r="A70" s="83" t="s">
        <v>310</v>
      </c>
      <c r="B70" s="73"/>
      <c r="C70" s="263"/>
      <c r="D70"/>
      <c r="E70" s="8"/>
      <c r="G70" s="40" t="s">
        <v>202</v>
      </c>
      <c r="H70" s="73">
        <v>0</v>
      </c>
      <c r="I70"/>
      <c r="J70"/>
      <c r="K70" s="8"/>
      <c r="M70" s="40" t="s">
        <v>202</v>
      </c>
      <c r="N70" s="73"/>
      <c r="O70"/>
      <c r="P70"/>
      <c r="Q70" s="8"/>
      <c r="S70" s="40" t="s">
        <v>202</v>
      </c>
      <c r="T70" s="73"/>
      <c r="U70" s="73"/>
      <c r="V70"/>
      <c r="W70" s="8"/>
      <c r="Y70" s="40" t="s">
        <v>202</v>
      </c>
      <c r="Z70" s="73"/>
      <c r="AA70"/>
      <c r="AB70"/>
      <c r="AC70" s="8"/>
    </row>
    <row r="71" spans="1:29">
      <c r="A71" s="83" t="s">
        <v>269</v>
      </c>
      <c r="B71" s="73">
        <v>25.62</v>
      </c>
      <c r="C71" s="263"/>
      <c r="D71"/>
      <c r="E71" s="8"/>
      <c r="G71" s="83" t="s">
        <v>169</v>
      </c>
      <c r="H71" s="73">
        <v>47.58</v>
      </c>
      <c r="I71"/>
      <c r="J71"/>
      <c r="K71" s="8"/>
      <c r="M71" s="83" t="s">
        <v>169</v>
      </c>
      <c r="N71" s="73"/>
      <c r="O71"/>
      <c r="P71"/>
      <c r="Q71" s="8"/>
      <c r="S71" s="83" t="s">
        <v>169</v>
      </c>
      <c r="T71" s="73"/>
      <c r="U71" s="73"/>
      <c r="V71"/>
      <c r="W71" s="8"/>
      <c r="Y71" s="83" t="s">
        <v>169</v>
      </c>
      <c r="Z71" s="73"/>
      <c r="AA71"/>
      <c r="AB71"/>
      <c r="AC71" s="8"/>
    </row>
    <row r="72" spans="1:29">
      <c r="A72" s="83" t="s">
        <v>94</v>
      </c>
      <c r="B72" s="73">
        <v>52.64</v>
      </c>
      <c r="C72" s="263"/>
      <c r="D72"/>
      <c r="E72" s="8"/>
      <c r="G72" s="83" t="s">
        <v>170</v>
      </c>
      <c r="H72" s="73">
        <v>103.09</v>
      </c>
      <c r="I72"/>
      <c r="J72"/>
      <c r="K72" s="8"/>
      <c r="M72" s="83" t="s">
        <v>170</v>
      </c>
      <c r="N72" s="73"/>
      <c r="O72"/>
      <c r="P72"/>
      <c r="Q72" s="8"/>
      <c r="S72" s="83" t="s">
        <v>170</v>
      </c>
      <c r="T72" s="73"/>
      <c r="U72" s="73"/>
      <c r="V72"/>
      <c r="W72" s="8"/>
      <c r="Y72" s="83" t="s">
        <v>170</v>
      </c>
      <c r="Z72" s="73"/>
      <c r="AA72"/>
      <c r="AB72"/>
      <c r="AC72" s="8"/>
    </row>
    <row r="73" spans="1:29">
      <c r="A73" s="83" t="s">
        <v>270</v>
      </c>
      <c r="B73" s="73"/>
      <c r="C73" s="263"/>
      <c r="D73"/>
      <c r="E73" s="8"/>
      <c r="G73" s="83" t="s">
        <v>171</v>
      </c>
      <c r="H73" s="73">
        <v>0</v>
      </c>
      <c r="I73"/>
      <c r="J73"/>
      <c r="K73" s="8"/>
      <c r="M73" s="83" t="s">
        <v>171</v>
      </c>
      <c r="N73" s="73"/>
      <c r="O73"/>
      <c r="P73"/>
      <c r="Q73" s="8"/>
      <c r="S73" s="83" t="s">
        <v>171</v>
      </c>
      <c r="T73" s="73"/>
      <c r="U73" s="73"/>
      <c r="V73"/>
      <c r="W73" s="8"/>
      <c r="Y73" s="83" t="s">
        <v>171</v>
      </c>
      <c r="Z73" s="73"/>
      <c r="AA73"/>
      <c r="AB73"/>
      <c r="AC73" s="8"/>
    </row>
    <row r="74" spans="1:29">
      <c r="A74" s="83" t="s">
        <v>271</v>
      </c>
      <c r="B74" s="73">
        <v>4506.0459600000004</v>
      </c>
      <c r="C74" s="263"/>
      <c r="D74"/>
      <c r="E74" s="8"/>
      <c r="G74" s="83" t="s">
        <v>44</v>
      </c>
      <c r="H74" s="73">
        <v>5150.0847839999997</v>
      </c>
      <c r="I74"/>
      <c r="J74"/>
      <c r="K74" s="8"/>
      <c r="M74" s="83" t="s">
        <v>44</v>
      </c>
      <c r="N74" s="73"/>
      <c r="O74"/>
      <c r="P74"/>
      <c r="Q74" s="8"/>
      <c r="S74" s="83" t="s">
        <v>44</v>
      </c>
      <c r="T74" s="73"/>
      <c r="U74" s="73"/>
      <c r="V74"/>
      <c r="W74" s="8"/>
      <c r="Y74" s="83" t="s">
        <v>44</v>
      </c>
      <c r="Z74" s="73"/>
      <c r="AA74"/>
      <c r="AB74"/>
      <c r="AC74" s="8"/>
    </row>
    <row r="75" spans="1:29">
      <c r="A75" s="83" t="s">
        <v>272</v>
      </c>
      <c r="B75" s="73">
        <v>4710.8989240000001</v>
      </c>
      <c r="C75" s="263"/>
      <c r="D75"/>
      <c r="E75" s="8"/>
      <c r="G75" s="83" t="s">
        <v>45</v>
      </c>
      <c r="H75" s="73">
        <v>4231.0648119999996</v>
      </c>
      <c r="I75"/>
      <c r="J75"/>
      <c r="K75" s="8"/>
      <c r="M75" s="83" t="s">
        <v>45</v>
      </c>
      <c r="N75" s="73"/>
      <c r="O75"/>
      <c r="P75"/>
      <c r="Q75" s="8"/>
      <c r="S75" s="83" t="s">
        <v>45</v>
      </c>
      <c r="T75" s="73"/>
      <c r="U75" s="73"/>
      <c r="V75"/>
      <c r="W75" s="8"/>
      <c r="Y75" s="83" t="s">
        <v>45</v>
      </c>
      <c r="Z75" s="73"/>
      <c r="AA75"/>
      <c r="AB75"/>
      <c r="AC75" s="8"/>
    </row>
    <row r="76" spans="1:29">
      <c r="A76" s="83" t="s">
        <v>273</v>
      </c>
      <c r="B76" s="73">
        <v>51.24</v>
      </c>
      <c r="C76" s="263"/>
      <c r="D76"/>
      <c r="E76" s="8"/>
      <c r="G76" s="83" t="s">
        <v>172</v>
      </c>
      <c r="H76" s="73">
        <v>84.79</v>
      </c>
      <c r="I76"/>
      <c r="J76"/>
      <c r="K76" s="8"/>
      <c r="M76" s="83" t="s">
        <v>172</v>
      </c>
      <c r="N76" s="73"/>
      <c r="O76"/>
      <c r="P76"/>
      <c r="Q76" s="8"/>
      <c r="S76" s="83" t="s">
        <v>172</v>
      </c>
      <c r="T76" s="73"/>
      <c r="U76" s="73"/>
      <c r="V76"/>
      <c r="W76" s="8"/>
      <c r="Y76" s="83" t="s">
        <v>172</v>
      </c>
      <c r="Z76" s="73"/>
      <c r="AA76"/>
      <c r="AB76"/>
      <c r="AC76" s="8"/>
    </row>
    <row r="77" spans="1:29">
      <c r="A77" s="83" t="s">
        <v>274</v>
      </c>
      <c r="B77" s="73"/>
      <c r="C77" s="263"/>
      <c r="D77"/>
      <c r="E77" s="8"/>
      <c r="G77" s="83" t="s">
        <v>173</v>
      </c>
      <c r="H77" s="73">
        <v>3.05</v>
      </c>
      <c r="I77"/>
      <c r="J77"/>
      <c r="K77" s="8"/>
      <c r="M77" s="83" t="s">
        <v>173</v>
      </c>
      <c r="N77" s="73"/>
      <c r="O77"/>
      <c r="P77"/>
      <c r="Q77" s="8"/>
      <c r="S77" s="83" t="s">
        <v>173</v>
      </c>
      <c r="T77" s="73"/>
      <c r="U77" s="73"/>
      <c r="V77"/>
      <c r="W77" s="8"/>
      <c r="Y77" s="83" t="s">
        <v>173</v>
      </c>
      <c r="Z77" s="73"/>
      <c r="AA77"/>
      <c r="AB77"/>
      <c r="AC77" s="8"/>
    </row>
    <row r="78" spans="1:29">
      <c r="A78" s="83" t="s">
        <v>275</v>
      </c>
      <c r="B78" s="73">
        <v>488.35</v>
      </c>
      <c r="C78" s="263"/>
      <c r="D78"/>
      <c r="E78" s="8"/>
      <c r="G78" s="83" t="s">
        <v>174</v>
      </c>
      <c r="H78" s="73">
        <v>562.02</v>
      </c>
      <c r="I78"/>
      <c r="J78"/>
      <c r="K78" s="8"/>
      <c r="M78" s="83" t="s">
        <v>174</v>
      </c>
      <c r="N78" s="73"/>
      <c r="O78"/>
      <c r="P78"/>
      <c r="Q78" s="8"/>
      <c r="S78" s="83" t="s">
        <v>174</v>
      </c>
      <c r="T78" s="73"/>
      <c r="U78" s="73"/>
      <c r="V78"/>
      <c r="W78" s="8"/>
      <c r="Y78" s="83" t="s">
        <v>174</v>
      </c>
      <c r="Z78" s="73"/>
      <c r="AA78"/>
      <c r="AB78"/>
      <c r="AC78" s="8"/>
    </row>
    <row r="79" spans="1:29">
      <c r="A79" s="83" t="s">
        <v>276</v>
      </c>
      <c r="B79" s="73">
        <v>2222.6227920000001</v>
      </c>
      <c r="C79" s="263"/>
      <c r="D79"/>
      <c r="E79" s="8"/>
      <c r="G79" s="83" t="s">
        <v>46</v>
      </c>
      <c r="H79" s="73">
        <v>2435.0339520000002</v>
      </c>
      <c r="I79"/>
      <c r="J79"/>
      <c r="K79" s="8"/>
      <c r="M79" s="83" t="s">
        <v>46</v>
      </c>
      <c r="N79" s="73"/>
      <c r="O79"/>
      <c r="P79"/>
      <c r="Q79" s="8"/>
      <c r="S79" s="83" t="s">
        <v>46</v>
      </c>
      <c r="T79" s="73"/>
      <c r="U79" s="73"/>
      <c r="V79"/>
      <c r="W79" s="8"/>
      <c r="Y79" s="83" t="s">
        <v>46</v>
      </c>
      <c r="Z79" s="73"/>
      <c r="AA79"/>
      <c r="AB79"/>
      <c r="AC79" s="8"/>
    </row>
    <row r="80" spans="1:29">
      <c r="A80" s="83" t="s">
        <v>277</v>
      </c>
      <c r="B80" s="73">
        <v>187.13</v>
      </c>
      <c r="C80" s="263"/>
      <c r="D80"/>
      <c r="E80" s="8"/>
      <c r="G80" s="83" t="s">
        <v>175</v>
      </c>
      <c r="H80" s="73">
        <v>167.14</v>
      </c>
      <c r="I80"/>
      <c r="J80"/>
      <c r="K80" s="8"/>
      <c r="M80" s="83" t="s">
        <v>175</v>
      </c>
      <c r="N80" s="73"/>
      <c r="O80"/>
      <c r="P80"/>
      <c r="Q80" s="8"/>
      <c r="S80" s="83" t="s">
        <v>175</v>
      </c>
      <c r="T80" s="73"/>
      <c r="U80" s="73"/>
      <c r="V80"/>
      <c r="W80" s="8"/>
      <c r="Y80" s="83" t="s">
        <v>175</v>
      </c>
      <c r="Z80" s="73"/>
      <c r="AA80"/>
      <c r="AB80"/>
      <c r="AC80" s="8"/>
    </row>
    <row r="81" spans="1:29">
      <c r="A81" s="83" t="s">
        <v>278</v>
      </c>
      <c r="B81" s="73">
        <v>0.61</v>
      </c>
      <c r="C81" s="263"/>
      <c r="D81"/>
      <c r="E81" s="8"/>
      <c r="G81" s="83" t="s">
        <v>176</v>
      </c>
      <c r="H81" s="73">
        <v>8.5399999999999991</v>
      </c>
      <c r="I81"/>
      <c r="J81"/>
      <c r="K81" s="8"/>
      <c r="M81" s="83" t="s">
        <v>176</v>
      </c>
      <c r="N81" s="73"/>
      <c r="O81"/>
      <c r="P81"/>
      <c r="Q81" s="8"/>
      <c r="S81" s="83" t="s">
        <v>176</v>
      </c>
      <c r="T81" s="73"/>
      <c r="U81" s="73"/>
      <c r="V81"/>
      <c r="W81" s="8"/>
      <c r="Y81" s="83" t="s">
        <v>176</v>
      </c>
      <c r="Z81" s="73"/>
      <c r="AA81"/>
      <c r="AB81"/>
      <c r="AC81" s="8"/>
    </row>
    <row r="82" spans="1:29">
      <c r="A82" s="83" t="s">
        <v>279</v>
      </c>
      <c r="B82" s="73">
        <v>88.77</v>
      </c>
      <c r="C82" s="263"/>
      <c r="D82"/>
      <c r="E82" s="8"/>
      <c r="G82" s="83" t="s">
        <v>177</v>
      </c>
      <c r="H82" s="73">
        <v>112.24</v>
      </c>
      <c r="I82"/>
      <c r="J82"/>
      <c r="K82" s="8"/>
      <c r="M82" s="83" t="s">
        <v>177</v>
      </c>
      <c r="N82" s="73"/>
      <c r="O82"/>
      <c r="P82"/>
      <c r="Q82" s="8"/>
      <c r="S82" s="83" t="s">
        <v>177</v>
      </c>
      <c r="T82" s="73"/>
      <c r="U82" s="73"/>
      <c r="V82"/>
      <c r="W82" s="8"/>
      <c r="Y82" s="83" t="s">
        <v>177</v>
      </c>
      <c r="Z82" s="73"/>
      <c r="AA82"/>
      <c r="AB82"/>
      <c r="AC82" s="8"/>
    </row>
    <row r="83" spans="1:29">
      <c r="A83" s="83" t="s">
        <v>280</v>
      </c>
      <c r="B83" s="73">
        <v>889.35</v>
      </c>
      <c r="C83" s="263"/>
      <c r="D83"/>
      <c r="E83" s="8"/>
      <c r="G83" s="83" t="s">
        <v>178</v>
      </c>
      <c r="H83" s="73">
        <v>981.1</v>
      </c>
      <c r="I83"/>
      <c r="J83"/>
      <c r="K83" s="8"/>
      <c r="M83" s="83" t="s">
        <v>178</v>
      </c>
      <c r="N83" s="73"/>
      <c r="O83"/>
      <c r="P83"/>
      <c r="Q83" s="8"/>
      <c r="S83" s="83" t="s">
        <v>178</v>
      </c>
      <c r="T83" s="73"/>
      <c r="U83" s="73"/>
      <c r="V83"/>
      <c r="W83" s="8"/>
      <c r="Y83" s="83" t="s">
        <v>178</v>
      </c>
      <c r="Z83" s="73"/>
      <c r="AA83"/>
      <c r="AB83"/>
      <c r="AC83" s="8"/>
    </row>
    <row r="84" spans="1:29">
      <c r="A84" s="83" t="s">
        <v>281</v>
      </c>
      <c r="B84" s="73">
        <v>1175.5</v>
      </c>
      <c r="C84" s="263"/>
      <c r="D84"/>
      <c r="E84" s="8"/>
      <c r="G84" s="83" t="s">
        <v>179</v>
      </c>
      <c r="H84" s="73">
        <v>1335.8</v>
      </c>
      <c r="I84"/>
      <c r="J84"/>
      <c r="K84" s="8"/>
      <c r="M84" s="83" t="s">
        <v>179</v>
      </c>
      <c r="N84" s="73"/>
      <c r="O84"/>
      <c r="P84"/>
      <c r="Q84" s="8"/>
      <c r="S84" s="83" t="s">
        <v>179</v>
      </c>
      <c r="T84" s="73"/>
      <c r="U84" s="73"/>
      <c r="V84"/>
      <c r="W84" s="8"/>
      <c r="Y84" s="83" t="s">
        <v>179</v>
      </c>
      <c r="Z84" s="73"/>
      <c r="AA84"/>
      <c r="AB84"/>
      <c r="AC84" s="8"/>
    </row>
    <row r="85" spans="1:29">
      <c r="A85" s="83" t="s">
        <v>282</v>
      </c>
      <c r="B85" s="73">
        <v>2757.9040319999999</v>
      </c>
      <c r="C85" s="263"/>
      <c r="D85"/>
      <c r="E85" s="8"/>
      <c r="G85" s="83" t="s">
        <v>54</v>
      </c>
      <c r="H85" s="73">
        <v>1881.7159919999999</v>
      </c>
      <c r="I85"/>
      <c r="J85"/>
      <c r="K85" s="8"/>
      <c r="M85" s="83" t="s">
        <v>54</v>
      </c>
      <c r="N85" s="73"/>
      <c r="O85"/>
      <c r="P85"/>
      <c r="Q85" s="8"/>
      <c r="S85" s="83" t="s">
        <v>54</v>
      </c>
      <c r="T85" s="73"/>
      <c r="U85" s="73"/>
      <c r="V85"/>
      <c r="W85" s="8"/>
      <c r="Y85" s="83" t="s">
        <v>54</v>
      </c>
      <c r="Z85" s="73"/>
      <c r="AA85"/>
      <c r="AB85"/>
      <c r="AC85" s="8"/>
    </row>
    <row r="86" spans="1:29">
      <c r="A86" s="83" t="s">
        <v>283</v>
      </c>
      <c r="B86" s="73">
        <v>3033.085536</v>
      </c>
      <c r="C86" s="263"/>
      <c r="D86"/>
      <c r="E86" s="8"/>
      <c r="G86" s="83" t="s">
        <v>47</v>
      </c>
      <c r="H86" s="73">
        <v>2926.0292880000002</v>
      </c>
      <c r="I86"/>
      <c r="J86"/>
      <c r="K86" s="8"/>
      <c r="M86" s="83" t="s">
        <v>47</v>
      </c>
      <c r="N86" s="73"/>
      <c r="O86"/>
      <c r="P86"/>
      <c r="Q86" s="8"/>
      <c r="S86" s="83" t="s">
        <v>47</v>
      </c>
      <c r="T86" s="73"/>
      <c r="U86" s="73"/>
      <c r="V86"/>
      <c r="W86" s="8"/>
      <c r="Y86" s="83" t="s">
        <v>47</v>
      </c>
      <c r="Z86" s="73"/>
      <c r="AA86"/>
      <c r="AB86"/>
      <c r="AC86" s="8"/>
    </row>
    <row r="87" spans="1:29">
      <c r="A87" s="83" t="s">
        <v>284</v>
      </c>
      <c r="B87" s="73">
        <v>258.09139199999998</v>
      </c>
      <c r="C87" s="263"/>
      <c r="D87"/>
      <c r="E87" s="8"/>
      <c r="G87" s="83" t="s">
        <v>53</v>
      </c>
      <c r="H87" s="73">
        <v>301.99353600000001</v>
      </c>
      <c r="I87"/>
      <c r="J87"/>
      <c r="K87" s="8"/>
      <c r="M87" s="83" t="s">
        <v>53</v>
      </c>
      <c r="N87" s="73"/>
      <c r="O87"/>
      <c r="P87"/>
      <c r="Q87" s="8"/>
      <c r="S87" s="83" t="s">
        <v>53</v>
      </c>
      <c r="T87" s="73"/>
      <c r="U87" s="73"/>
      <c r="V87"/>
      <c r="W87" s="8"/>
      <c r="Y87" s="83" t="s">
        <v>53</v>
      </c>
      <c r="Z87" s="73"/>
      <c r="AA87"/>
      <c r="AB87"/>
      <c r="AC87" s="8"/>
    </row>
    <row r="88" spans="1:29">
      <c r="A88" s="83" t="s">
        <v>309</v>
      </c>
      <c r="B88" s="73">
        <v>23211.925564000001</v>
      </c>
      <c r="C88" s="263"/>
      <c r="D88"/>
      <c r="E88" s="8"/>
      <c r="G88" s="83" t="s">
        <v>180</v>
      </c>
      <c r="H88" s="73">
        <v>23079.725222000001</v>
      </c>
      <c r="I88"/>
      <c r="J88"/>
      <c r="K88" s="8"/>
      <c r="M88" s="83" t="s">
        <v>180</v>
      </c>
      <c r="N88" s="73"/>
      <c r="O88"/>
      <c r="P88"/>
      <c r="Q88" s="8"/>
      <c r="S88" s="83" t="s">
        <v>180</v>
      </c>
      <c r="T88" s="73"/>
      <c r="U88" s="73"/>
      <c r="V88"/>
      <c r="W88" s="8"/>
      <c r="Y88" s="83" t="s">
        <v>180</v>
      </c>
      <c r="Z88" s="73"/>
      <c r="AA88"/>
      <c r="AB88"/>
      <c r="AC88" s="8"/>
    </row>
    <row r="89" spans="1:29">
      <c r="A89" s="83" t="s">
        <v>285</v>
      </c>
      <c r="B89" s="73">
        <v>15.86</v>
      </c>
      <c r="C89" s="263"/>
      <c r="D89"/>
      <c r="E89" s="8"/>
      <c r="G89" s="83" t="s">
        <v>181</v>
      </c>
      <c r="H89" s="73">
        <v>1.83</v>
      </c>
      <c r="I89"/>
      <c r="J89"/>
      <c r="K89" s="8"/>
      <c r="M89" s="83" t="s">
        <v>181</v>
      </c>
      <c r="N89" s="73"/>
      <c r="O89"/>
      <c r="P89"/>
      <c r="Q89" s="8"/>
      <c r="S89" s="83" t="s">
        <v>181</v>
      </c>
      <c r="T89" s="73"/>
      <c r="U89" s="73"/>
      <c r="V89"/>
      <c r="W89" s="8"/>
      <c r="Y89" s="83" t="s">
        <v>181</v>
      </c>
      <c r="Z89" s="73"/>
      <c r="AA89"/>
      <c r="AB89"/>
      <c r="AC89" s="8"/>
    </row>
    <row r="90" spans="1:29">
      <c r="A90" s="83" t="s">
        <v>286</v>
      </c>
      <c r="B90" s="73">
        <v>1208.735868</v>
      </c>
      <c r="C90" s="263"/>
      <c r="D90"/>
      <c r="E90" s="8"/>
      <c r="G90" s="83" t="s">
        <v>182</v>
      </c>
      <c r="H90" s="73">
        <v>1360.3302200000001</v>
      </c>
      <c r="I90"/>
      <c r="J90"/>
      <c r="K90" s="8"/>
      <c r="M90" s="83" t="s">
        <v>182</v>
      </c>
      <c r="N90" s="73"/>
      <c r="O90"/>
      <c r="P90"/>
      <c r="Q90" s="8"/>
      <c r="S90" s="83" t="s">
        <v>182</v>
      </c>
      <c r="T90" s="73"/>
      <c r="U90" s="73"/>
      <c r="V90"/>
      <c r="W90" s="8"/>
      <c r="Y90" s="83" t="s">
        <v>182</v>
      </c>
      <c r="Z90" s="73"/>
      <c r="AA90"/>
      <c r="AB90"/>
      <c r="AC90" s="8"/>
    </row>
    <row r="91" spans="1:29">
      <c r="A91" s="83" t="s">
        <v>287</v>
      </c>
      <c r="B91" s="73">
        <v>244.51908</v>
      </c>
      <c r="C91" s="263"/>
      <c r="D91"/>
      <c r="E91" s="8"/>
      <c r="G91" s="83" t="s">
        <v>52</v>
      </c>
      <c r="H91" s="73">
        <v>242.70261600000001</v>
      </c>
      <c r="I91"/>
      <c r="J91"/>
      <c r="K91" s="8"/>
      <c r="M91" s="83" t="s">
        <v>52</v>
      </c>
      <c r="N91" s="73"/>
      <c r="O91"/>
      <c r="P91"/>
      <c r="Q91" s="8"/>
      <c r="S91" s="83" t="s">
        <v>52</v>
      </c>
      <c r="T91" s="73"/>
      <c r="U91" s="73"/>
      <c r="V91"/>
      <c r="W91" s="8"/>
      <c r="Y91" s="83" t="s">
        <v>52</v>
      </c>
      <c r="Z91" s="73"/>
      <c r="AA91"/>
      <c r="AB91"/>
      <c r="AC91" s="8"/>
    </row>
    <row r="92" spans="1:29">
      <c r="A92" s="83" t="s">
        <v>288</v>
      </c>
      <c r="B92" s="73">
        <v>139.36884000000001</v>
      </c>
      <c r="C92" s="263"/>
      <c r="D92"/>
      <c r="E92" s="8"/>
      <c r="G92" s="83" t="s">
        <v>90</v>
      </c>
      <c r="H92" s="73">
        <v>109.972824</v>
      </c>
      <c r="I92"/>
      <c r="J92"/>
      <c r="K92" s="8"/>
      <c r="M92" s="83" t="s">
        <v>90</v>
      </c>
      <c r="N92" s="73"/>
      <c r="O92"/>
      <c r="P92"/>
      <c r="Q92" s="8"/>
      <c r="S92" s="83" t="s">
        <v>90</v>
      </c>
      <c r="T92" s="73"/>
      <c r="U92" s="73"/>
      <c r="V92"/>
      <c r="W92" s="8"/>
      <c r="Y92" s="83" t="s">
        <v>90</v>
      </c>
      <c r="Z92" s="73"/>
      <c r="AA92"/>
      <c r="AB92"/>
      <c r="AC92" s="8"/>
    </row>
    <row r="93" spans="1:29">
      <c r="A93" s="83" t="s">
        <v>289</v>
      </c>
      <c r="B93" s="73">
        <v>5360.2479999999996</v>
      </c>
      <c r="C93" s="263"/>
      <c r="D93"/>
      <c r="E93" s="8"/>
      <c r="G93" s="83" t="s">
        <v>183</v>
      </c>
      <c r="H93" s="73">
        <v>4904.7120000000004</v>
      </c>
      <c r="I93"/>
      <c r="J93"/>
      <c r="K93" s="8"/>
      <c r="M93" s="83" t="s">
        <v>183</v>
      </c>
      <c r="N93" s="73"/>
      <c r="O93"/>
      <c r="P93"/>
      <c r="Q93" s="8"/>
      <c r="S93" s="83" t="s">
        <v>183</v>
      </c>
      <c r="T93" s="73"/>
      <c r="U93" s="73"/>
      <c r="V93"/>
      <c r="W93" s="8"/>
      <c r="Y93" s="83" t="s">
        <v>183</v>
      </c>
      <c r="Z93" s="73"/>
      <c r="AA93"/>
      <c r="AB93"/>
      <c r="AC93" s="8"/>
    </row>
    <row r="94" spans="1:29">
      <c r="A94" s="83" t="s">
        <v>290</v>
      </c>
      <c r="B94" s="73">
        <v>11074.750752</v>
      </c>
      <c r="C94" s="263"/>
      <c r="D94"/>
      <c r="E94" s="8"/>
      <c r="G94" s="83" t="s">
        <v>48</v>
      </c>
      <c r="H94" s="73">
        <v>11381.963424</v>
      </c>
      <c r="I94"/>
      <c r="J94"/>
      <c r="K94" s="8"/>
      <c r="M94" s="83" t="s">
        <v>48</v>
      </c>
      <c r="N94" s="73"/>
      <c r="O94"/>
      <c r="P94"/>
      <c r="Q94" s="8"/>
      <c r="S94" s="83" t="s">
        <v>48</v>
      </c>
      <c r="T94" s="73"/>
      <c r="U94" s="73"/>
      <c r="V94"/>
      <c r="W94" s="8"/>
      <c r="Y94" s="83" t="s">
        <v>48</v>
      </c>
      <c r="Z94" s="73"/>
      <c r="AA94"/>
      <c r="AB94"/>
      <c r="AC94" s="8"/>
    </row>
    <row r="95" spans="1:29">
      <c r="A95" s="83" t="s">
        <v>291</v>
      </c>
      <c r="B95" s="73">
        <v>118.42</v>
      </c>
      <c r="C95" s="263"/>
      <c r="D95"/>
      <c r="E95" s="8"/>
      <c r="G95" s="83" t="s">
        <v>184</v>
      </c>
      <c r="H95" s="73">
        <v>138.26</v>
      </c>
      <c r="I95"/>
      <c r="J95"/>
      <c r="K95" s="8"/>
      <c r="M95" s="83" t="s">
        <v>184</v>
      </c>
      <c r="N95" s="73"/>
      <c r="O95"/>
      <c r="P95"/>
      <c r="Q95" s="8"/>
      <c r="S95" s="83" t="s">
        <v>184</v>
      </c>
      <c r="T95" s="73"/>
      <c r="U95" s="73"/>
      <c r="V95"/>
      <c r="W95" s="8"/>
      <c r="Y95" s="83" t="s">
        <v>184</v>
      </c>
      <c r="Z95" s="73"/>
      <c r="AA95"/>
      <c r="AB95"/>
      <c r="AC95" s="8"/>
    </row>
    <row r="96" spans="1:29">
      <c r="A96" s="83" t="s">
        <v>292</v>
      </c>
      <c r="B96" s="73"/>
      <c r="C96" s="263"/>
      <c r="D96"/>
      <c r="E96" s="8"/>
      <c r="G96" s="83" t="s">
        <v>185</v>
      </c>
      <c r="H96" s="73">
        <v>0</v>
      </c>
      <c r="I96"/>
      <c r="J96"/>
      <c r="K96" s="8"/>
      <c r="M96" s="83" t="s">
        <v>185</v>
      </c>
      <c r="N96" s="73"/>
      <c r="O96"/>
      <c r="P96"/>
      <c r="Q96" s="8"/>
      <c r="S96" s="83" t="s">
        <v>185</v>
      </c>
      <c r="T96" s="73"/>
      <c r="U96" s="73"/>
      <c r="V96"/>
      <c r="W96" s="8"/>
      <c r="Y96" s="83" t="s">
        <v>185</v>
      </c>
      <c r="Z96" s="73"/>
      <c r="AA96"/>
      <c r="AB96"/>
      <c r="AC96" s="8"/>
    </row>
    <row r="97" spans="1:29">
      <c r="A97" s="83" t="s">
        <v>293</v>
      </c>
      <c r="B97" s="73">
        <v>2098.8218160000001</v>
      </c>
      <c r="C97" s="263"/>
      <c r="D97"/>
      <c r="E97" s="8"/>
      <c r="G97" s="83" t="s">
        <v>49</v>
      </c>
      <c r="H97" s="73">
        <v>2138.7200640000001</v>
      </c>
      <c r="I97"/>
      <c r="J97"/>
      <c r="K97" s="8"/>
      <c r="M97" s="83" t="s">
        <v>49</v>
      </c>
      <c r="N97" s="73"/>
      <c r="O97"/>
      <c r="P97"/>
      <c r="Q97" s="8"/>
      <c r="S97" s="83" t="s">
        <v>49</v>
      </c>
      <c r="T97" s="73"/>
      <c r="U97" s="73"/>
      <c r="V97"/>
      <c r="W97" s="8"/>
      <c r="Y97" s="83" t="s">
        <v>49</v>
      </c>
      <c r="Z97" s="73"/>
      <c r="AA97"/>
      <c r="AB97"/>
      <c r="AC97" s="8"/>
    </row>
    <row r="98" spans="1:29">
      <c r="A98" s="83" t="s">
        <v>294</v>
      </c>
      <c r="B98" s="73">
        <v>10871.997552000001</v>
      </c>
      <c r="C98" s="263"/>
      <c r="D98"/>
      <c r="E98" s="8"/>
      <c r="G98" s="83" t="s">
        <v>50</v>
      </c>
      <c r="H98" s="73">
        <v>10203.001536</v>
      </c>
      <c r="I98"/>
      <c r="J98"/>
      <c r="K98" s="8"/>
      <c r="M98" s="83" t="s">
        <v>50</v>
      </c>
      <c r="N98" s="73"/>
      <c r="O98"/>
      <c r="P98"/>
      <c r="Q98" s="8"/>
      <c r="S98" s="83" t="s">
        <v>50</v>
      </c>
      <c r="T98" s="73"/>
      <c r="U98" s="73"/>
      <c r="V98"/>
      <c r="W98" s="8"/>
      <c r="Y98" s="83" t="s">
        <v>50</v>
      </c>
      <c r="Z98" s="73"/>
      <c r="AA98"/>
      <c r="AB98"/>
      <c r="AC98" s="8"/>
    </row>
    <row r="99" spans="1:29">
      <c r="A99" s="83" t="s">
        <v>295</v>
      </c>
      <c r="B99" s="73">
        <v>408.93455999999998</v>
      </c>
      <c r="C99" s="263"/>
      <c r="D99"/>
      <c r="E99" s="8"/>
      <c r="G99" s="83" t="s">
        <v>186</v>
      </c>
      <c r="H99" s="73">
        <v>438.36318399999999</v>
      </c>
      <c r="I99"/>
      <c r="J99"/>
      <c r="K99" s="8"/>
      <c r="M99" s="83" t="s">
        <v>186</v>
      </c>
      <c r="N99" s="73"/>
      <c r="O99"/>
      <c r="P99"/>
      <c r="Q99" s="8"/>
      <c r="S99" s="83" t="s">
        <v>186</v>
      </c>
      <c r="T99" s="73"/>
      <c r="U99" s="73"/>
      <c r="V99"/>
      <c r="W99" s="8"/>
      <c r="Y99" s="83" t="s">
        <v>186</v>
      </c>
      <c r="Z99" s="73"/>
      <c r="AA99"/>
      <c r="AB99"/>
      <c r="AC99" s="8"/>
    </row>
    <row r="100" spans="1:29">
      <c r="A100" s="83" t="s">
        <v>296</v>
      </c>
      <c r="B100" s="73">
        <v>1.2</v>
      </c>
      <c r="C100" s="263"/>
      <c r="D100"/>
      <c r="E100" s="8"/>
      <c r="G100" s="83" t="s">
        <v>187</v>
      </c>
      <c r="H100" s="73">
        <v>2.4</v>
      </c>
      <c r="I100"/>
      <c r="J100"/>
      <c r="K100" s="8"/>
      <c r="M100" s="83" t="s">
        <v>187</v>
      </c>
      <c r="N100" s="73"/>
      <c r="O100"/>
      <c r="P100"/>
      <c r="Q100" s="8"/>
      <c r="S100" s="83" t="s">
        <v>187</v>
      </c>
      <c r="T100" s="73"/>
      <c r="U100" s="73"/>
      <c r="V100"/>
      <c r="W100" s="8"/>
      <c r="Y100" s="83" t="s">
        <v>187</v>
      </c>
      <c r="Z100" s="73"/>
      <c r="AA100"/>
      <c r="AB100"/>
      <c r="AC100" s="8"/>
    </row>
    <row r="101" spans="1:29">
      <c r="A101" s="83" t="s">
        <v>297</v>
      </c>
      <c r="B101" s="73">
        <v>584.41999999999996</v>
      </c>
      <c r="C101" s="263"/>
      <c r="D101"/>
      <c r="E101" s="8"/>
      <c r="G101" s="83" t="s">
        <v>188</v>
      </c>
      <c r="H101" s="73">
        <v>673.08</v>
      </c>
      <c r="I101"/>
      <c r="J101"/>
      <c r="K101" s="8"/>
      <c r="M101" s="83" t="s">
        <v>188</v>
      </c>
      <c r="N101" s="73"/>
      <c r="O101"/>
      <c r="P101"/>
      <c r="Q101" s="8"/>
      <c r="S101" s="83" t="s">
        <v>188</v>
      </c>
      <c r="T101" s="73"/>
      <c r="U101" s="73"/>
      <c r="V101"/>
      <c r="W101" s="8"/>
      <c r="Y101" s="83" t="s">
        <v>188</v>
      </c>
      <c r="Z101" s="73"/>
      <c r="AA101"/>
      <c r="AB101"/>
      <c r="AC101" s="8"/>
    </row>
    <row r="102" spans="1:29">
      <c r="A102" s="83" t="s">
        <v>298</v>
      </c>
      <c r="B102" s="73">
        <v>54.58</v>
      </c>
      <c r="C102" s="263"/>
      <c r="D102"/>
      <c r="E102" s="8"/>
      <c r="G102" s="83" t="s">
        <v>189</v>
      </c>
      <c r="H102" s="73">
        <v>42.09</v>
      </c>
      <c r="I102"/>
      <c r="J102"/>
      <c r="K102" s="8"/>
      <c r="M102" s="83" t="s">
        <v>189</v>
      </c>
      <c r="N102" s="73"/>
      <c r="O102"/>
      <c r="P102"/>
      <c r="Q102" s="8"/>
      <c r="S102" s="83" t="s">
        <v>189</v>
      </c>
      <c r="T102" s="73"/>
      <c r="U102" s="73"/>
      <c r="V102"/>
      <c r="W102" s="8"/>
      <c r="Y102" s="83" t="s">
        <v>189</v>
      </c>
      <c r="Z102" s="73"/>
      <c r="AA102"/>
      <c r="AB102"/>
      <c r="AC102" s="8"/>
    </row>
    <row r="103" spans="1:29">
      <c r="A103" s="83" t="s">
        <v>299</v>
      </c>
      <c r="B103" s="73">
        <v>8106.0361339999999</v>
      </c>
      <c r="C103" s="263"/>
      <c r="D103"/>
      <c r="E103" s="8"/>
      <c r="G103" s="83" t="s">
        <v>190</v>
      </c>
      <c r="H103" s="73">
        <v>8589.9061349999993</v>
      </c>
      <c r="I103"/>
      <c r="J103"/>
      <c r="K103" s="8"/>
      <c r="M103" s="83" t="s">
        <v>190</v>
      </c>
      <c r="N103" s="73"/>
      <c r="O103"/>
      <c r="P103"/>
      <c r="Q103" s="8"/>
      <c r="S103" s="83" t="s">
        <v>190</v>
      </c>
      <c r="T103" s="73"/>
      <c r="U103" s="73"/>
      <c r="V103"/>
      <c r="W103" s="8"/>
      <c r="Y103" s="83" t="s">
        <v>190</v>
      </c>
      <c r="Z103" s="73"/>
      <c r="AA103"/>
      <c r="AB103"/>
      <c r="AC103" s="8"/>
    </row>
    <row r="104" spans="1:29">
      <c r="A104" s="83" t="s">
        <v>300</v>
      </c>
      <c r="B104" s="73">
        <v>3</v>
      </c>
      <c r="C104" s="263"/>
      <c r="D104"/>
      <c r="E104" s="8"/>
      <c r="G104" s="83" t="s">
        <v>191</v>
      </c>
      <c r="H104" s="73">
        <v>25.2</v>
      </c>
      <c r="I104"/>
      <c r="J104"/>
      <c r="K104" s="8"/>
      <c r="M104" s="83" t="s">
        <v>191</v>
      </c>
      <c r="N104" s="73"/>
      <c r="O104"/>
      <c r="P104"/>
      <c r="Q104" s="8"/>
      <c r="S104" s="83" t="s">
        <v>191</v>
      </c>
      <c r="T104" s="73"/>
      <c r="U104" s="73"/>
      <c r="V104"/>
      <c r="W104" s="8"/>
      <c r="Y104" s="83" t="s">
        <v>191</v>
      </c>
      <c r="Z104" s="73"/>
      <c r="AA104"/>
      <c r="AB104"/>
      <c r="AC104" s="8"/>
    </row>
    <row r="105" spans="1:29">
      <c r="A105" s="83" t="s">
        <v>301</v>
      </c>
      <c r="B105" s="73">
        <v>0.61</v>
      </c>
      <c r="C105" s="263"/>
      <c r="D105"/>
      <c r="E105" s="8"/>
      <c r="G105" s="83" t="s">
        <v>192</v>
      </c>
      <c r="H105" s="73">
        <v>9.76</v>
      </c>
      <c r="I105"/>
      <c r="J105"/>
      <c r="K105" s="8"/>
      <c r="M105" s="83" t="s">
        <v>192</v>
      </c>
      <c r="N105" s="73"/>
      <c r="O105"/>
      <c r="P105"/>
      <c r="Q105" s="8"/>
      <c r="S105" s="83" t="s">
        <v>192</v>
      </c>
      <c r="T105" s="73"/>
      <c r="U105" s="73"/>
      <c r="V105"/>
      <c r="W105" s="8"/>
      <c r="Y105" s="83" t="s">
        <v>192</v>
      </c>
      <c r="Z105" s="73"/>
      <c r="AA105"/>
      <c r="AB105"/>
      <c r="AC105" s="8"/>
    </row>
    <row r="106" spans="1:29">
      <c r="A106" s="83" t="s">
        <v>302</v>
      </c>
      <c r="B106" s="73">
        <v>503.04</v>
      </c>
      <c r="C106" s="263"/>
      <c r="D106"/>
      <c r="E106" s="8"/>
      <c r="G106" s="83" t="s">
        <v>193</v>
      </c>
      <c r="H106" s="73">
        <v>531.29999999999995</v>
      </c>
      <c r="I106"/>
      <c r="J106"/>
      <c r="K106" s="8"/>
      <c r="M106" s="83" t="s">
        <v>193</v>
      </c>
      <c r="N106" s="73"/>
      <c r="O106"/>
      <c r="P106"/>
      <c r="Q106" s="8"/>
      <c r="S106" s="83" t="s">
        <v>193</v>
      </c>
      <c r="T106" s="73"/>
      <c r="U106" s="73"/>
      <c r="V106"/>
      <c r="W106" s="8"/>
      <c r="Y106" s="83" t="s">
        <v>193</v>
      </c>
      <c r="Z106" s="73"/>
      <c r="AA106"/>
      <c r="AB106"/>
      <c r="AC106" s="8"/>
    </row>
    <row r="107" spans="1:29">
      <c r="A107" s="83" t="s">
        <v>303</v>
      </c>
      <c r="B107" s="73">
        <v>88590.202896000003</v>
      </c>
      <c r="C107" s="263"/>
      <c r="D107"/>
      <c r="E107" s="8"/>
      <c r="G107" s="83" t="s">
        <v>72</v>
      </c>
      <c r="H107" s="73">
        <v>86246.171231999993</v>
      </c>
      <c r="I107"/>
      <c r="J107"/>
      <c r="K107" s="8"/>
      <c r="M107" s="83" t="s">
        <v>72</v>
      </c>
      <c r="N107" s="73"/>
      <c r="O107"/>
      <c r="P107"/>
      <c r="Q107" s="8"/>
      <c r="S107" s="83" t="s">
        <v>72</v>
      </c>
      <c r="T107" s="73"/>
      <c r="U107" s="73"/>
      <c r="V107"/>
      <c r="W107" s="8"/>
      <c r="Y107" s="83" t="s">
        <v>72</v>
      </c>
      <c r="Z107" s="73"/>
      <c r="AA107"/>
      <c r="AB107"/>
      <c r="AC107" s="8"/>
    </row>
    <row r="108" spans="1:29">
      <c r="A108" s="83" t="s">
        <v>51</v>
      </c>
      <c r="B108" s="73">
        <f>415391.06+3145.1</f>
        <v>418536.16</v>
      </c>
      <c r="C108" s="263"/>
      <c r="D108"/>
      <c r="E108" s="8"/>
      <c r="G108" s="83" t="s">
        <v>199</v>
      </c>
      <c r="H108" s="73">
        <f>398129.06+2859.5</f>
        <v>400988.56</v>
      </c>
      <c r="I108"/>
      <c r="J108"/>
      <c r="K108" s="8"/>
      <c r="M108" s="83" t="s">
        <v>199</v>
      </c>
      <c r="N108" s="73"/>
      <c r="O108"/>
      <c r="P108"/>
      <c r="Q108" s="8"/>
      <c r="S108" s="83" t="s">
        <v>199</v>
      </c>
      <c r="T108" s="73"/>
      <c r="U108" s="73"/>
      <c r="V108"/>
      <c r="W108" s="8"/>
      <c r="Y108" s="83" t="s">
        <v>199</v>
      </c>
      <c r="Z108" s="73"/>
      <c r="AA108"/>
      <c r="AB108"/>
      <c r="AC108" s="8"/>
    </row>
    <row r="109" spans="1:29">
      <c r="A109" s="83" t="s">
        <v>304</v>
      </c>
      <c r="B109" s="73"/>
      <c r="C109" s="263"/>
      <c r="D109"/>
      <c r="E109" s="8"/>
      <c r="G109" s="83" t="s">
        <v>194</v>
      </c>
      <c r="H109" s="73">
        <v>13.8</v>
      </c>
      <c r="I109"/>
      <c r="J109"/>
      <c r="K109" s="8"/>
      <c r="M109" s="83" t="s">
        <v>194</v>
      </c>
      <c r="N109" s="73"/>
      <c r="O109"/>
      <c r="P109"/>
      <c r="Q109" s="8"/>
      <c r="S109" s="83" t="s">
        <v>194</v>
      </c>
      <c r="T109" s="73"/>
      <c r="U109" s="73"/>
      <c r="V109"/>
      <c r="W109" s="8"/>
      <c r="Y109" s="83" t="s">
        <v>194</v>
      </c>
      <c r="Z109" s="73"/>
      <c r="AA109"/>
      <c r="AB109"/>
      <c r="AC109" s="8"/>
    </row>
    <row r="110" spans="1:29">
      <c r="A110" s="83" t="s">
        <v>305</v>
      </c>
      <c r="B110" s="73">
        <v>86.62</v>
      </c>
      <c r="C110" s="263"/>
      <c r="D110"/>
      <c r="E110" s="8"/>
      <c r="G110" s="83" t="s">
        <v>195</v>
      </c>
      <c r="H110" s="73">
        <v>76.86</v>
      </c>
      <c r="I110"/>
      <c r="J110"/>
      <c r="K110" s="8"/>
      <c r="M110" s="83" t="s">
        <v>195</v>
      </c>
      <c r="N110" s="73"/>
      <c r="O110"/>
      <c r="P110"/>
      <c r="Q110" s="8"/>
      <c r="S110" s="83" t="s">
        <v>195</v>
      </c>
      <c r="T110" s="73"/>
      <c r="U110" s="73"/>
      <c r="V110"/>
      <c r="W110" s="8"/>
      <c r="Y110" s="83" t="s">
        <v>195</v>
      </c>
      <c r="Z110" s="73"/>
      <c r="AA110"/>
      <c r="AB110"/>
      <c r="AC110" s="8"/>
    </row>
    <row r="111" spans="1:29">
      <c r="A111" s="83" t="s">
        <v>306</v>
      </c>
      <c r="B111" s="73">
        <v>59.52</v>
      </c>
      <c r="C111" s="263"/>
      <c r="D111"/>
      <c r="E111" s="8"/>
      <c r="G111" s="83" t="s">
        <v>196</v>
      </c>
      <c r="H111" s="73">
        <v>103.11</v>
      </c>
      <c r="I111"/>
      <c r="J111"/>
      <c r="K111" s="8"/>
      <c r="M111" s="83" t="s">
        <v>196</v>
      </c>
      <c r="N111" s="73"/>
      <c r="O111"/>
      <c r="P111"/>
      <c r="Q111" s="8"/>
      <c r="S111" s="83" t="s">
        <v>196</v>
      </c>
      <c r="T111" s="73"/>
      <c r="U111" s="73"/>
      <c r="V111"/>
      <c r="W111" s="8"/>
      <c r="Y111" s="83" t="s">
        <v>196</v>
      </c>
      <c r="Z111" s="73"/>
      <c r="AA111"/>
      <c r="AB111"/>
      <c r="AC111" s="8"/>
    </row>
    <row r="112" spans="1:29">
      <c r="A112" s="83" t="s">
        <v>308</v>
      </c>
      <c r="B112" s="73">
        <v>12.81</v>
      </c>
      <c r="C112" s="263"/>
      <c r="D112"/>
      <c r="E112" s="8"/>
      <c r="G112" s="83" t="s">
        <v>197</v>
      </c>
      <c r="H112" s="73">
        <v>15.86</v>
      </c>
      <c r="I112"/>
      <c r="J112"/>
      <c r="K112" s="8"/>
      <c r="M112" s="83" t="s">
        <v>197</v>
      </c>
      <c r="N112" s="73"/>
      <c r="O112"/>
      <c r="P112"/>
      <c r="Q112" s="8"/>
      <c r="S112" s="83" t="s">
        <v>197</v>
      </c>
      <c r="T112" s="73"/>
      <c r="U112" s="73"/>
      <c r="V112"/>
      <c r="W112" s="8"/>
      <c r="Y112" s="83" t="s">
        <v>197</v>
      </c>
      <c r="Z112" s="73"/>
      <c r="AA112"/>
      <c r="AB112"/>
      <c r="AC112" s="8"/>
    </row>
    <row r="113" spans="1:29">
      <c r="A113" s="83" t="s">
        <v>307</v>
      </c>
      <c r="B113" s="73">
        <v>7.5</v>
      </c>
      <c r="C113" s="263"/>
      <c r="D113"/>
      <c r="E113" s="8"/>
      <c r="G113" s="83" t="s">
        <v>198</v>
      </c>
      <c r="H113" s="73">
        <v>7.32</v>
      </c>
      <c r="I113"/>
      <c r="J113"/>
      <c r="K113" s="8"/>
      <c r="M113" s="83" t="s">
        <v>198</v>
      </c>
      <c r="N113" s="73"/>
      <c r="O113"/>
      <c r="P113"/>
      <c r="Q113" s="8"/>
      <c r="S113" s="83" t="s">
        <v>198</v>
      </c>
      <c r="T113" s="73"/>
      <c r="U113" s="73"/>
      <c r="V113"/>
      <c r="W113" s="8"/>
      <c r="Y113" s="83" t="s">
        <v>198</v>
      </c>
      <c r="Z113" s="73"/>
      <c r="AA113"/>
      <c r="AB113"/>
      <c r="AC113" s="8"/>
    </row>
    <row r="114" spans="1:29">
      <c r="A114" s="11" t="s">
        <v>21</v>
      </c>
      <c r="B114" s="85">
        <f>SUM(B2:B113)</f>
        <v>838541.05582300003</v>
      </c>
      <c r="C114" s="85">
        <f>SUM(C3:C113)</f>
        <v>0</v>
      </c>
      <c r="D114" s="85">
        <f>SUM(D2:D113)</f>
        <v>0</v>
      </c>
      <c r="E114" s="8">
        <f>IF(C114 &gt; 0, C114/B114, 0)</f>
        <v>0</v>
      </c>
      <c r="G114" s="12" t="s">
        <v>21</v>
      </c>
      <c r="H114" s="85">
        <f>SUM(H2:H113)</f>
        <v>816174.97953100014</v>
      </c>
      <c r="I114" s="85">
        <f>SUM(I2:I113)</f>
        <v>0</v>
      </c>
      <c r="J114" s="85">
        <f>SUM(J2:J113)</f>
        <v>0</v>
      </c>
      <c r="K114" s="8">
        <f>IF(I114 &gt; 0, I114/H114, 0)</f>
        <v>0</v>
      </c>
      <c r="M114" s="11" t="s">
        <v>21</v>
      </c>
      <c r="N114" s="85">
        <f>SUM(N2:N113)</f>
        <v>0</v>
      </c>
      <c r="O114" s="85">
        <f>SUM(O2:O113)</f>
        <v>0</v>
      </c>
      <c r="P114" s="85">
        <f>SUM(P2:P113)</f>
        <v>0</v>
      </c>
      <c r="Q114" s="8">
        <f>IF(O114 &gt; 0, O114/N114, 0)</f>
        <v>0</v>
      </c>
      <c r="S114" s="11" t="s">
        <v>21</v>
      </c>
      <c r="T114" s="85">
        <f>SUM(T2:T113)</f>
        <v>0</v>
      </c>
      <c r="U114" s="85">
        <f>SUM(U2:U113)</f>
        <v>0</v>
      </c>
      <c r="V114" s="85">
        <f>SUM(V2:V113)</f>
        <v>0</v>
      </c>
      <c r="W114" s="8" t="e">
        <f>U114/T114</f>
        <v>#DIV/0!</v>
      </c>
      <c r="Y114" s="14" t="s">
        <v>22</v>
      </c>
      <c r="Z114" s="85">
        <f>SUM(Z2:Z113)</f>
        <v>0</v>
      </c>
      <c r="AA114" s="85">
        <f>SUM(AA2:AA113)</f>
        <v>0</v>
      </c>
      <c r="AB114" s="85">
        <f>SUM(AB2:AB113)</f>
        <v>0</v>
      </c>
      <c r="AC114" s="8">
        <f>IF(AA114 &gt; 0, AA114/Z114, 0)</f>
        <v>0</v>
      </c>
    </row>
    <row r="116" spans="1:29">
      <c r="A116" s="16" t="s">
        <v>9</v>
      </c>
      <c r="B116" s="17">
        <f>SUM(B22,B66,B108)</f>
        <v>490239.294215</v>
      </c>
      <c r="C116" s="17">
        <f>SUM(C22,C66,C108)</f>
        <v>0</v>
      </c>
      <c r="D116" s="17">
        <f>SUM(D22,D66,D108)</f>
        <v>0</v>
      </c>
      <c r="E116" s="18">
        <f>IF(C116 &gt; 0, C116/B116, 0)</f>
        <v>0</v>
      </c>
      <c r="G116" s="16" t="s">
        <v>9</v>
      </c>
      <c r="H116" s="17">
        <f>SUM(H22,H66,H108)</f>
        <v>468166.737349</v>
      </c>
      <c r="I116" s="17">
        <f>SUM(I22,I66,I108)</f>
        <v>0</v>
      </c>
      <c r="J116" s="17">
        <f>SUM(J22,J66,J108)</f>
        <v>0</v>
      </c>
      <c r="K116" s="18">
        <f>IF(I116 &gt; 0, I116/H116, 0)</f>
        <v>0</v>
      </c>
      <c r="M116" s="16" t="s">
        <v>9</v>
      </c>
      <c r="N116" s="17">
        <f>SUM(N22,N66,N108)</f>
        <v>0</v>
      </c>
      <c r="O116" s="17">
        <f>SUM(O22,O66,O108)</f>
        <v>0</v>
      </c>
      <c r="P116" s="17">
        <f>SUM(P22,P66,P108)</f>
        <v>0</v>
      </c>
      <c r="Q116" s="18">
        <f>IF(O116 &gt; 0, O116/N116, 0)</f>
        <v>0</v>
      </c>
      <c r="S116" s="16" t="s">
        <v>9</v>
      </c>
      <c r="T116" s="196">
        <f>SUM(T22,T66,T108)</f>
        <v>0</v>
      </c>
      <c r="U116" s="17">
        <f>SUM(U22,U66,U108)</f>
        <v>0</v>
      </c>
      <c r="V116" s="17">
        <f>SUM(V22,V66,V108)</f>
        <v>0</v>
      </c>
      <c r="W116" s="18">
        <f>IF(U116 &gt; 0, U116/T116, 0)</f>
        <v>0</v>
      </c>
      <c r="Y116" s="16" t="s">
        <v>9</v>
      </c>
      <c r="Z116" s="17">
        <f>SUM(Z22,Z66,Z108)</f>
        <v>0</v>
      </c>
      <c r="AA116" s="17">
        <f>AA11+AA63+AA40</f>
        <v>0</v>
      </c>
      <c r="AB116" s="17">
        <f>AB11+AB63+AB40</f>
        <v>0</v>
      </c>
      <c r="AC116" s="18">
        <f>IF(AA116 &gt; 0, AA116/Z116, 0)</f>
        <v>0</v>
      </c>
    </row>
    <row r="117" spans="1:29">
      <c r="E117" s="10" t="str">
        <f>IF(C117 &gt; 0, C117/B117, "")</f>
        <v/>
      </c>
      <c r="K117" s="10" t="str">
        <f>IF(I117 &gt; 0, I117/H117, "")</f>
        <v/>
      </c>
      <c r="Q117" s="10" t="str">
        <f>IF(O117 &gt; 0, O117/N117, "")</f>
        <v/>
      </c>
      <c r="W117" s="10" t="str">
        <f>IF(U117 &gt; 0, U117/T117, "")</f>
        <v/>
      </c>
      <c r="AC117" s="10" t="str">
        <f>IF(AA117 &gt; 0, AA117/Z117, "")</f>
        <v/>
      </c>
    </row>
    <row r="118" spans="1:29">
      <c r="A118" s="19" t="s">
        <v>23</v>
      </c>
      <c r="B118" s="20">
        <f>B107</f>
        <v>88590.202896000003</v>
      </c>
      <c r="C118" s="20">
        <f>C107</f>
        <v>0</v>
      </c>
      <c r="D118" s="20">
        <f>D107</f>
        <v>0</v>
      </c>
      <c r="E118" s="8">
        <f t="shared" ref="E118:E125" si="5">IF(C118 &gt; 0, C118/B118, 0)</f>
        <v>0</v>
      </c>
      <c r="G118" s="19" t="s">
        <v>23</v>
      </c>
      <c r="H118" s="20">
        <f>H107</f>
        <v>86246.171231999993</v>
      </c>
      <c r="I118" s="20">
        <f>I107</f>
        <v>0</v>
      </c>
      <c r="J118" s="20">
        <f>J107</f>
        <v>0</v>
      </c>
      <c r="K118" s="8">
        <f t="shared" ref="K118:K125" si="6">IF(I118 &gt; 0, I118/H118, 0)</f>
        <v>0</v>
      </c>
      <c r="M118" s="19" t="s">
        <v>23</v>
      </c>
      <c r="N118" s="20">
        <f>N107</f>
        <v>0</v>
      </c>
      <c r="O118" s="20">
        <f>O107</f>
        <v>0</v>
      </c>
      <c r="P118" s="20">
        <f>P107</f>
        <v>0</v>
      </c>
      <c r="Q118" s="8">
        <f t="shared" ref="Q118:Q125" si="7">IF(O118 &gt; 0, O118/N118, 0)</f>
        <v>0</v>
      </c>
      <c r="S118" s="19" t="s">
        <v>23</v>
      </c>
      <c r="T118" s="133">
        <f>T107</f>
        <v>0</v>
      </c>
      <c r="U118" s="20">
        <f>U107</f>
        <v>0</v>
      </c>
      <c r="V118" s="20">
        <f>V107</f>
        <v>0</v>
      </c>
      <c r="W118" s="8">
        <f t="shared" ref="W118:W125" si="8">IF(U118 &gt; 0, U118/T118, 0)</f>
        <v>0</v>
      </c>
      <c r="Y118" s="19" t="s">
        <v>23</v>
      </c>
      <c r="Z118" s="20">
        <f>Z107</f>
        <v>0</v>
      </c>
      <c r="AA118" s="20">
        <f>AA107</f>
        <v>0</v>
      </c>
      <c r="AB118" s="20">
        <f>AB107</f>
        <v>0</v>
      </c>
      <c r="AC118" s="8">
        <f t="shared" ref="AC118:AC125" si="9">IF(AA118 &gt; 0, AA118/Z118, 0)</f>
        <v>0</v>
      </c>
    </row>
    <row r="119" spans="1:29">
      <c r="A119" s="26" t="s">
        <v>93</v>
      </c>
      <c r="B119" s="20">
        <f>SUM(B12,B38,B61,B74)</f>
        <v>31054.025495999998</v>
      </c>
      <c r="C119" s="20">
        <f>SUM(C12,C38,C61,C74)</f>
        <v>0</v>
      </c>
      <c r="D119" s="20">
        <f>SUM(D12,D38,D61,D74)</f>
        <v>0</v>
      </c>
      <c r="E119" s="8">
        <f t="shared" si="5"/>
        <v>0</v>
      </c>
      <c r="G119" s="26" t="s">
        <v>93</v>
      </c>
      <c r="H119" s="20">
        <f>SUM(H12,H38,H61,H74)</f>
        <v>31506.939048</v>
      </c>
      <c r="I119" s="20">
        <f>SUM(I12,I38,I61,I74)</f>
        <v>0</v>
      </c>
      <c r="J119" s="20">
        <f>SUM(J12,J38,J61,J74)</f>
        <v>0</v>
      </c>
      <c r="K119" s="8">
        <f t="shared" si="6"/>
        <v>0</v>
      </c>
      <c r="M119" s="26" t="s">
        <v>93</v>
      </c>
      <c r="N119" s="20">
        <f>SUM(N12,N38,N61,N74)</f>
        <v>0</v>
      </c>
      <c r="O119" s="20">
        <f>SUM(O12,O38,O61,O74)</f>
        <v>0</v>
      </c>
      <c r="P119" s="20">
        <f>SUM(P12,P38,P61,P74)</f>
        <v>0</v>
      </c>
      <c r="Q119" s="8">
        <f t="shared" si="7"/>
        <v>0</v>
      </c>
      <c r="S119" s="26" t="s">
        <v>93</v>
      </c>
      <c r="T119" s="133">
        <f>SUM(T12,T38,T61,T74)</f>
        <v>0</v>
      </c>
      <c r="U119" s="20">
        <f>SUM(U12,U38,U61,U74)</f>
        <v>0</v>
      </c>
      <c r="V119" s="20">
        <f>SUM(V12,V38,V61,V74)</f>
        <v>0</v>
      </c>
      <c r="W119" s="8">
        <f t="shared" si="8"/>
        <v>0</v>
      </c>
      <c r="Y119" s="26" t="s">
        <v>93</v>
      </c>
      <c r="Z119" s="20">
        <f>SUM(Z12,Z38,Z61,Z74)</f>
        <v>0</v>
      </c>
      <c r="AA119" s="20">
        <f>SUM(AA12,AA38,AA61,AA74)</f>
        <v>0</v>
      </c>
      <c r="AB119" s="20">
        <f>SUM(AB12,AB38,AB61,AB74)</f>
        <v>0</v>
      </c>
      <c r="AC119" s="8">
        <f t="shared" si="9"/>
        <v>0</v>
      </c>
    </row>
    <row r="120" spans="1:29">
      <c r="A120" s="26" t="s">
        <v>87</v>
      </c>
      <c r="B120" s="20">
        <f>SUM(B7,B40,B98)</f>
        <v>43602.069263999998</v>
      </c>
      <c r="C120" s="20">
        <f>SUM(C7,C40,C98)</f>
        <v>0</v>
      </c>
      <c r="D120" s="20">
        <f>SUM(D7,D40,D98)</f>
        <v>0</v>
      </c>
      <c r="E120" s="8">
        <f t="shared" si="5"/>
        <v>0</v>
      </c>
      <c r="G120" s="26" t="s">
        <v>87</v>
      </c>
      <c r="H120" s="20">
        <f>SUM(H7,H40,H98)</f>
        <v>45263.212799999994</v>
      </c>
      <c r="I120" s="20">
        <f>SUM(I7,I40,I98)</f>
        <v>0</v>
      </c>
      <c r="J120" s="20">
        <f>SUM(J7,J40,J98)</f>
        <v>0</v>
      </c>
      <c r="K120" s="8">
        <f t="shared" si="6"/>
        <v>0</v>
      </c>
      <c r="M120" s="26" t="s">
        <v>87</v>
      </c>
      <c r="N120" s="20">
        <f>SUM(N7,N40,N98)</f>
        <v>0</v>
      </c>
      <c r="O120" s="20">
        <f>SUM(O7,O40,O98)</f>
        <v>0</v>
      </c>
      <c r="P120" s="20">
        <f>SUM(P7,P40,P98)</f>
        <v>0</v>
      </c>
      <c r="Q120" s="8">
        <f t="shared" si="7"/>
        <v>0</v>
      </c>
      <c r="S120" s="26" t="s">
        <v>87</v>
      </c>
      <c r="T120" s="133">
        <f>SUM(T7,T40,T98)</f>
        <v>0</v>
      </c>
      <c r="U120" s="20">
        <f>SUM(U7,U40,U98)</f>
        <v>0</v>
      </c>
      <c r="V120" s="20">
        <f>SUM(V7,V40,V98)</f>
        <v>0</v>
      </c>
      <c r="W120" s="8">
        <f t="shared" si="8"/>
        <v>0</v>
      </c>
      <c r="Y120" s="26" t="s">
        <v>87</v>
      </c>
      <c r="Z120" s="20">
        <f>SUM(Z7,Z40,Z98)</f>
        <v>0</v>
      </c>
      <c r="AA120" s="20">
        <f>SUM(AA7,AA40,AA98)</f>
        <v>0</v>
      </c>
      <c r="AB120" s="20">
        <f>SUM(AB7,AB40,AB98)</f>
        <v>0</v>
      </c>
      <c r="AC120" s="8">
        <f t="shared" si="9"/>
        <v>0</v>
      </c>
    </row>
    <row r="121" spans="1:29">
      <c r="A121" s="26" t="s">
        <v>75</v>
      </c>
      <c r="B121" s="20">
        <f>SUM(B94,B86,B53)</f>
        <v>29884.133136</v>
      </c>
      <c r="C121" s="20">
        <f>SUM(C94,C86,C53)</f>
        <v>0</v>
      </c>
      <c r="D121" s="20">
        <f>SUM(D94,D86,D53)</f>
        <v>0</v>
      </c>
      <c r="E121" s="8">
        <f>IF(C121 &gt; 0, C121/B121, 0)</f>
        <v>0</v>
      </c>
      <c r="G121" s="26" t="s">
        <v>75</v>
      </c>
      <c r="H121" s="20">
        <f>SUM(H94,H86,H53)</f>
        <v>29106.980759999999</v>
      </c>
      <c r="I121" s="20">
        <f>SUM(I94,I86,I53)</f>
        <v>0</v>
      </c>
      <c r="J121" s="20">
        <f>SUM(J94,J86,J53)</f>
        <v>0</v>
      </c>
      <c r="K121" s="8">
        <f t="shared" si="6"/>
        <v>0</v>
      </c>
      <c r="M121" s="26" t="s">
        <v>75</v>
      </c>
      <c r="N121" s="20">
        <f>SUM(N94,N86,N53)</f>
        <v>0</v>
      </c>
      <c r="O121" s="20">
        <f>SUM(O94,O86,O53)</f>
        <v>0</v>
      </c>
      <c r="P121" s="20">
        <f>SUM(P94,P86,P53)</f>
        <v>0</v>
      </c>
      <c r="Q121" s="8">
        <f t="shared" si="7"/>
        <v>0</v>
      </c>
      <c r="S121" s="26" t="s">
        <v>75</v>
      </c>
      <c r="T121" s="133">
        <f>SUM(T94,T86,T53)</f>
        <v>0</v>
      </c>
      <c r="U121" s="20">
        <f>SUM(U94,U86,U53)</f>
        <v>0</v>
      </c>
      <c r="V121" s="20">
        <f>SUM(V94,V86,V53)</f>
        <v>0</v>
      </c>
      <c r="W121" s="8">
        <f t="shared" si="8"/>
        <v>0</v>
      </c>
      <c r="Y121" s="26" t="s">
        <v>75</v>
      </c>
      <c r="Z121" s="20">
        <f>SUM(Z94,Z86,Z53)</f>
        <v>0</v>
      </c>
      <c r="AA121" s="20">
        <f>SUM(AA94,AA86,AA53)</f>
        <v>0</v>
      </c>
      <c r="AB121" s="20">
        <f>SUM(AB94,AB86,AB53)</f>
        <v>0</v>
      </c>
      <c r="AC121" s="8">
        <f t="shared" si="9"/>
        <v>0</v>
      </c>
    </row>
    <row r="122" spans="1:29">
      <c r="A122" s="26" t="s">
        <v>97</v>
      </c>
      <c r="B122" s="20">
        <f>SUM(B97,B30,B37,B79)</f>
        <v>9939.1921199999997</v>
      </c>
      <c r="C122" s="20">
        <f>SUM(C97,C30,C37,C79)</f>
        <v>0</v>
      </c>
      <c r="D122" s="20">
        <f>SUM(D97,D30,D37,D79)</f>
        <v>0</v>
      </c>
      <c r="E122" s="8"/>
      <c r="G122" s="26" t="s">
        <v>97</v>
      </c>
      <c r="H122" s="20">
        <f>SUM(H97,H30,H37,H79)</f>
        <v>10144.887479999999</v>
      </c>
      <c r="I122" s="20">
        <f>SUM(I97,I30,I37,I79)</f>
        <v>0</v>
      </c>
      <c r="J122" s="20">
        <f>SUM(J97,J30,J37,J79)</f>
        <v>0</v>
      </c>
      <c r="K122" s="8"/>
      <c r="M122" s="26" t="s">
        <v>97</v>
      </c>
      <c r="N122" s="20">
        <f>SUM(N97,N30,N37,N79)</f>
        <v>0</v>
      </c>
      <c r="O122" s="20">
        <f>SUM(O97,O30,O37,O79)</f>
        <v>0</v>
      </c>
      <c r="P122" s="20">
        <f>SUM(P97,P30,P37,P79)</f>
        <v>0</v>
      </c>
      <c r="Q122" s="8"/>
      <c r="S122" s="26" t="s">
        <v>97</v>
      </c>
      <c r="T122" s="133">
        <f>SUM(T97,T30,T37,T79)</f>
        <v>0</v>
      </c>
      <c r="U122" s="20">
        <f>SUM(U97,U30,U37,U79)</f>
        <v>0</v>
      </c>
      <c r="V122" s="20">
        <f>SUM(V97,V30,V37,V79)</f>
        <v>0</v>
      </c>
      <c r="W122" s="8"/>
      <c r="Y122" s="26" t="s">
        <v>97</v>
      </c>
      <c r="Z122" s="20">
        <f>SUM(Z97,Z30,Z37,Z79)</f>
        <v>0</v>
      </c>
      <c r="AA122" s="20">
        <f>SUM(AA97,AA30,AA37,AA79)</f>
        <v>0</v>
      </c>
      <c r="AB122" s="20">
        <f>SUM(AB97,AB30,AB37,AB79)</f>
        <v>0</v>
      </c>
      <c r="AC122" s="8"/>
    </row>
    <row r="123" spans="1:29">
      <c r="A123" s="26" t="s">
        <v>64</v>
      </c>
      <c r="B123" s="20">
        <f>SUM(B51,B42)</f>
        <v>5500.0611120000003</v>
      </c>
      <c r="C123" s="20">
        <f>SUM(C51,C42)</f>
        <v>0</v>
      </c>
      <c r="D123" s="20">
        <f>SUM(D51,D42)</f>
        <v>0</v>
      </c>
      <c r="E123" s="8">
        <f t="shared" si="5"/>
        <v>0</v>
      </c>
      <c r="G123" s="26" t="s">
        <v>64</v>
      </c>
      <c r="H123" s="20">
        <f>SUM(H51,H42)</f>
        <v>5638.4321760000003</v>
      </c>
      <c r="I123" s="20">
        <f>SUM(I51,I42)</f>
        <v>0</v>
      </c>
      <c r="J123" s="20">
        <f>SUM(J51,J42)</f>
        <v>0</v>
      </c>
      <c r="K123" s="8">
        <f t="shared" si="6"/>
        <v>0</v>
      </c>
      <c r="M123" s="26" t="s">
        <v>64</v>
      </c>
      <c r="N123" s="20">
        <f>SUM(N51,N42)</f>
        <v>0</v>
      </c>
      <c r="O123" s="20">
        <f>SUM(O51,O42)</f>
        <v>0</v>
      </c>
      <c r="P123" s="20">
        <f>SUM(P51,P42)</f>
        <v>0</v>
      </c>
      <c r="Q123" s="8">
        <f t="shared" si="7"/>
        <v>0</v>
      </c>
      <c r="S123" s="26" t="s">
        <v>64</v>
      </c>
      <c r="T123" s="133">
        <f>SUM(T51,T42)</f>
        <v>0</v>
      </c>
      <c r="U123" s="20">
        <f>SUM(U51,U42)</f>
        <v>0</v>
      </c>
      <c r="V123" s="20">
        <f>SUM(V51,V42)</f>
        <v>0</v>
      </c>
      <c r="W123" s="8">
        <f t="shared" si="8"/>
        <v>0</v>
      </c>
      <c r="Y123" s="26" t="s">
        <v>64</v>
      </c>
      <c r="Z123" s="20">
        <f>SUM(Z51,Z42)</f>
        <v>0</v>
      </c>
      <c r="AA123" s="20">
        <f>SUM(AA51,AA42)</f>
        <v>0</v>
      </c>
      <c r="AB123" s="20">
        <f>SUM(AB51,AB42)</f>
        <v>0</v>
      </c>
      <c r="AC123" s="8">
        <f t="shared" si="9"/>
        <v>0</v>
      </c>
    </row>
    <row r="124" spans="1:29">
      <c r="A124" s="26" t="s">
        <v>89</v>
      </c>
      <c r="B124" s="20">
        <f>SUM(B19,B28:B29,B35,B48,B59,B60,B64,B85,B87,B91:B92)</f>
        <v>5382.6177600000001</v>
      </c>
      <c r="C124" s="20">
        <f>SUM(C19,C28:C29,C35,C48,C59,C60,C64,C85,C87,C91:C92)</f>
        <v>0</v>
      </c>
      <c r="D124" s="20">
        <f>SUM(D19,D28:D29,D35,D48,D59,D60,D64,D85,D87,D91:D92)</f>
        <v>0</v>
      </c>
      <c r="E124" s="8"/>
      <c r="G124" s="26" t="s">
        <v>89</v>
      </c>
      <c r="H124" s="20">
        <f>SUM(H19,H28:H29,H35,H48,H59,H60,H64,H85,H87,H91:H92)</f>
        <v>4487.7022319999996</v>
      </c>
      <c r="I124" s="20">
        <f>SUM(I19,I28:I29,I35,I48,I59,I60,I64,I85,I87,I91:I92)</f>
        <v>0</v>
      </c>
      <c r="J124" s="20">
        <f>SUM(J19,J28:J29,J35,J48,J59,J60,J64,J85,J87,J91:J92)</f>
        <v>0</v>
      </c>
      <c r="K124" s="8"/>
      <c r="M124" s="26" t="s">
        <v>89</v>
      </c>
      <c r="N124" s="20">
        <f>SUM(N19,N28:N29,N35,N48,N59,N60,N64,N85,N87,N91:N92)</f>
        <v>0</v>
      </c>
      <c r="O124" s="20">
        <f>SUM(O19,O28:O29,O35,O48,O59,O60,O64,O85,O87,O91:O92)</f>
        <v>0</v>
      </c>
      <c r="P124" s="20">
        <f>SUM(P19,P28:P29,P35,P48,P59,P60,P64,P85,P87,P91:P92)</f>
        <v>0</v>
      </c>
      <c r="Q124" s="8"/>
      <c r="S124" s="26" t="s">
        <v>89</v>
      </c>
      <c r="T124" s="133">
        <f>SUM(T19,T28:T29,T35,T48,T59,T60,T64,T85,T87,T91:T92)</f>
        <v>0</v>
      </c>
      <c r="U124" s="20">
        <f>SUM(U19,U28:U29,U35,U48,U59,U60,U64,U85,U87,U91:U92)</f>
        <v>0</v>
      </c>
      <c r="V124" s="20">
        <f>SUM(V19,V28:V29,V35,V48,V59,V60,V64,V85,V87,V91:V92)</f>
        <v>0</v>
      </c>
      <c r="W124" s="8"/>
      <c r="Y124" s="26" t="s">
        <v>89</v>
      </c>
      <c r="Z124" s="20">
        <f>SUM(Z19,Z28:Z29,Z35,Z48,Z59,Z60,Z64,Z85,Z87,Z91:Z92)</f>
        <v>0</v>
      </c>
      <c r="AA124" s="20">
        <f>SUM(AA19,AA28:AA29,AA35,AA48,AA59,AA60,AA64,AA85,AA87,AA91:AA92)</f>
        <v>0</v>
      </c>
      <c r="AB124" s="20">
        <f>SUM(AB19,AB28:AB29,AB35,AB48,AB59,AB60,AB64,AB85,AB87,AB91:AB92)</f>
        <v>0</v>
      </c>
      <c r="AC124" s="8"/>
    </row>
    <row r="125" spans="1:29">
      <c r="A125" s="16" t="s">
        <v>24</v>
      </c>
      <c r="B125" s="17">
        <f>SUM(B118:B124)</f>
        <v>213952.30178399998</v>
      </c>
      <c r="C125" s="17">
        <f>SUM(C118:C124)</f>
        <v>0</v>
      </c>
      <c r="D125" s="17">
        <f>SUM(D118:D124)</f>
        <v>0</v>
      </c>
      <c r="E125" s="18">
        <f t="shared" si="5"/>
        <v>0</v>
      </c>
      <c r="G125" s="16" t="s">
        <v>24</v>
      </c>
      <c r="H125" s="17">
        <f>SUM(H118:H124)</f>
        <v>212394.32572800003</v>
      </c>
      <c r="I125" s="17">
        <f>SUM(I118:I124)</f>
        <v>0</v>
      </c>
      <c r="J125" s="17">
        <f>SUM(J118:J124)</f>
        <v>0</v>
      </c>
      <c r="K125" s="18">
        <f t="shared" si="6"/>
        <v>0</v>
      </c>
      <c r="M125" s="16" t="s">
        <v>24</v>
      </c>
      <c r="N125" s="17">
        <f>SUM(N118:N124)</f>
        <v>0</v>
      </c>
      <c r="O125" s="17">
        <f>SUM(O118:O124)</f>
        <v>0</v>
      </c>
      <c r="P125" s="17">
        <f>SUM(P118:P124)</f>
        <v>0</v>
      </c>
      <c r="Q125" s="18">
        <f t="shared" si="7"/>
        <v>0</v>
      </c>
      <c r="S125" s="16" t="s">
        <v>24</v>
      </c>
      <c r="T125" s="196">
        <f>SUM(T118:T124)</f>
        <v>0</v>
      </c>
      <c r="U125" s="17">
        <f>SUM(U118:U124)</f>
        <v>0</v>
      </c>
      <c r="V125" s="17">
        <f>SUM(V118:V124)</f>
        <v>0</v>
      </c>
      <c r="W125" s="18">
        <f t="shared" si="8"/>
        <v>0</v>
      </c>
      <c r="Y125" s="16" t="s">
        <v>24</v>
      </c>
      <c r="Z125" s="17">
        <f>SUM(Z118:Z124)</f>
        <v>0</v>
      </c>
      <c r="AA125" s="17">
        <f>SUM(AA118:AA124)</f>
        <v>0</v>
      </c>
      <c r="AB125" s="17">
        <f>SUM(AB118:AB124)</f>
        <v>0</v>
      </c>
      <c r="AC125" s="18">
        <f t="shared" si="9"/>
        <v>0</v>
      </c>
    </row>
    <row r="126" spans="1:29">
      <c r="E126" s="10" t="str">
        <f>IF(C126 &gt; 0, C126/B126, "")</f>
        <v/>
      </c>
      <c r="K126" s="10" t="str">
        <f>IF(I126 &gt; 0, I126/H126, "")</f>
        <v/>
      </c>
      <c r="Q126" s="10" t="str">
        <f>IF(O126 &gt; 0, O126/N126, "")</f>
        <v/>
      </c>
      <c r="W126" s="10" t="str">
        <f>IF(U126 &gt; 0, U126/T126, "")</f>
        <v/>
      </c>
      <c r="AC126" s="10" t="str">
        <f>IF(AA126 &gt; 0, AA126/Z126, "")</f>
        <v/>
      </c>
    </row>
    <row r="127" spans="1:29">
      <c r="A127" s="19" t="s">
        <v>65</v>
      </c>
      <c r="B127" s="20">
        <f>SUM(B75,B6)</f>
        <v>50823.964092000002</v>
      </c>
      <c r="C127" s="20">
        <f>SUM(C75,C6)</f>
        <v>0</v>
      </c>
      <c r="D127" s="20">
        <f>SUM(D75,D6)</f>
        <v>0</v>
      </c>
      <c r="E127" s="8">
        <f>IF(C127 &gt; 0, C127/B127, 0)</f>
        <v>0</v>
      </c>
      <c r="G127" s="19" t="s">
        <v>65</v>
      </c>
      <c r="H127" s="20">
        <f>SUM(H75,H6)</f>
        <v>50940.146351999996</v>
      </c>
      <c r="I127" s="20">
        <f>SUM(I75,I6)</f>
        <v>0</v>
      </c>
      <c r="J127" s="20">
        <f>SUM(J75,J6)</f>
        <v>0</v>
      </c>
      <c r="K127" s="8">
        <f>IF(I127 &gt; 0, I127/H127, 0)</f>
        <v>0</v>
      </c>
      <c r="M127" s="19" t="s">
        <v>65</v>
      </c>
      <c r="N127" s="20">
        <f>SUM(N75,N6)</f>
        <v>0</v>
      </c>
      <c r="O127" s="20">
        <f>SUM(O75,O6)</f>
        <v>0</v>
      </c>
      <c r="P127" s="20">
        <f>SUM(P75,P6)</f>
        <v>0</v>
      </c>
      <c r="Q127" s="8">
        <f>IF(O127 &gt; 0, O127/N127, 0)</f>
        <v>0</v>
      </c>
      <c r="S127" s="19" t="s">
        <v>65</v>
      </c>
      <c r="T127" s="133">
        <f>SUM(T75,T6)</f>
        <v>0</v>
      </c>
      <c r="U127" s="20">
        <f>SUM(U75,U6)</f>
        <v>0</v>
      </c>
      <c r="V127" s="20">
        <f>SUM(V75,V6)</f>
        <v>0</v>
      </c>
      <c r="W127" s="8">
        <f>IF(U127 &gt; 0, U127/T127, 0)</f>
        <v>0</v>
      </c>
      <c r="Y127" s="19" t="s">
        <v>65</v>
      </c>
      <c r="Z127" s="20">
        <f>SUM(Z75,Z6)</f>
        <v>0</v>
      </c>
      <c r="AA127" s="20">
        <f>SUM(AA75,AA6)</f>
        <v>0</v>
      </c>
      <c r="AB127" s="20">
        <f>SUM(AB75,AB6)</f>
        <v>0</v>
      </c>
      <c r="AC127" s="8">
        <f>IF(AA127 &gt; 0, AA127/Z127, 0)</f>
        <v>0</v>
      </c>
    </row>
    <row r="128" spans="1:29">
      <c r="A128" s="19" t="s">
        <v>25</v>
      </c>
      <c r="B128" s="20">
        <f>B54</f>
        <v>18882.084194999999</v>
      </c>
      <c r="C128" s="20">
        <f>C54</f>
        <v>0</v>
      </c>
      <c r="D128" s="20">
        <f>D54</f>
        <v>0</v>
      </c>
      <c r="E128" s="8">
        <f>IF(C128 &gt; 0, C128/B128, 0)</f>
        <v>0</v>
      </c>
      <c r="G128" s="19" t="s">
        <v>25</v>
      </c>
      <c r="H128" s="20">
        <f>H54</f>
        <v>18735.534674999999</v>
      </c>
      <c r="I128" s="20">
        <f>I54</f>
        <v>0</v>
      </c>
      <c r="J128" s="20">
        <f>J54</f>
        <v>0</v>
      </c>
      <c r="K128" s="8">
        <f>IF(I128 &gt; 0, I128/H128, 0)</f>
        <v>0</v>
      </c>
      <c r="M128" s="19" t="s">
        <v>25</v>
      </c>
      <c r="N128" s="20">
        <f>N54</f>
        <v>0</v>
      </c>
      <c r="O128" s="20">
        <f>O54</f>
        <v>0</v>
      </c>
      <c r="P128" s="20">
        <f>P54</f>
        <v>0</v>
      </c>
      <c r="Q128" s="8">
        <f>IF(O128 &gt; 0, O128/N128, 0)</f>
        <v>0</v>
      </c>
      <c r="S128" s="19" t="s">
        <v>25</v>
      </c>
      <c r="T128" s="133">
        <f>T54</f>
        <v>0</v>
      </c>
      <c r="U128" s="20">
        <f>U54</f>
        <v>0</v>
      </c>
      <c r="V128" s="20">
        <f>V54</f>
        <v>0</v>
      </c>
      <c r="W128" s="8">
        <f>IF(U128 &gt; 0, U128/T128, 0)</f>
        <v>0</v>
      </c>
      <c r="Y128" s="19" t="s">
        <v>25</v>
      </c>
      <c r="Z128" s="20">
        <f>Z54</f>
        <v>0</v>
      </c>
      <c r="AA128" s="20">
        <f>AA54</f>
        <v>0</v>
      </c>
      <c r="AB128" s="20">
        <f>AB54</f>
        <v>0</v>
      </c>
      <c r="AC128" s="8">
        <f>IF(AA128 &gt; 0, AA128/Z128, 0)</f>
        <v>0</v>
      </c>
    </row>
    <row r="129" spans="1:29">
      <c r="A129" s="19" t="s">
        <v>96</v>
      </c>
      <c r="B129" s="20">
        <f>SUM(B83,B82,B80,B76,B46,B44,B32,B34,B25,B26,B27,B17,B4,B15,B33,B110,B13)</f>
        <v>17983.009999999998</v>
      </c>
      <c r="C129" s="20">
        <f>SUM(C83,C82,C80,C76,C46,C44,C32,C34,C25,C26,C27,C17,C4,C15,C33,C110)</f>
        <v>0</v>
      </c>
      <c r="D129" s="20">
        <f>SUM(D83,D82,D80,D76,D46,D44,D32,D34,D25,D26,D27,D17,D4,D15,D33,D110)</f>
        <v>0</v>
      </c>
      <c r="E129" s="8"/>
      <c r="G129" s="19" t="s">
        <v>96</v>
      </c>
      <c r="H129" s="20">
        <f>SUM(H83,H82,H80,H76,H46,H44,H32,H34,H25,H26,H27,H17,H4,H15,H33,H110,H13)</f>
        <v>18190.460000000003</v>
      </c>
      <c r="I129" s="20">
        <f>SUM(I83,I82,I80,I76,I46,I44,I32,I34,I25,I26,I27,I17,I4,I15,I33,I110)</f>
        <v>0</v>
      </c>
      <c r="J129" s="20">
        <f>SUM(J83,J82,J80,J76,J46,J44,J32,J34,J25,J26,J27,J17,J4,J15,J33,J110)</f>
        <v>0</v>
      </c>
      <c r="K129" s="8"/>
      <c r="M129" s="19" t="s">
        <v>96</v>
      </c>
      <c r="N129" s="20">
        <f>SUM(N83,N82,N80,N76,N46,N44,N32,N34,N25,N26,N27,N17,N4,N15,N33,N110,N13)</f>
        <v>0</v>
      </c>
      <c r="O129" s="20">
        <f>SUM(O83,O82,O80,O76,O46,O44,O32,O34,O25,O26,O27,O17,O4,O15,O33,O110)</f>
        <v>0</v>
      </c>
      <c r="P129" s="20">
        <f>SUM(P83,P82,P80,P76,P46,P44,P32,P34,P25,P26,P27,P17,P4,P15,P33,P110)</f>
        <v>0</v>
      </c>
      <c r="Q129" s="8"/>
      <c r="S129" s="19" t="s">
        <v>96</v>
      </c>
      <c r="T129" s="20">
        <f>SUM(T83,T82,T80,T76,T46,T44,T32,T34,T25,T26,T27,T17,T4,T15,T33,T110,T13)</f>
        <v>0</v>
      </c>
      <c r="U129" s="20">
        <f>SUM(U83,U82,U80,U76,U46,U44,U32,U34,U25,U26,U27,U17,U4,U15,U33,U110)</f>
        <v>0</v>
      </c>
      <c r="V129" s="20">
        <f>SUM(V83,V82,V80,V76,V46,V44,V32,V34,V25,V26,V27,V17,V4,V15,V33,V110)</f>
        <v>0</v>
      </c>
      <c r="W129" s="8"/>
      <c r="Y129" s="19" t="s">
        <v>96</v>
      </c>
      <c r="Z129" s="20">
        <f>SUM(Z83,Z82,Z80,Z76,Z46,Z44,Z32,Z34,Z25,Z26,Z27,Z17,Z4,Z15,Z33,Z110,Z13)</f>
        <v>0</v>
      </c>
      <c r="AA129" s="20">
        <f>SUM(AA83,AA82,AA80,AA76,AA46,AA44,AA32,AA34,AA25,AA26,AA27,AA17,AA4,AA15,AA33,AA110)</f>
        <v>0</v>
      </c>
      <c r="AB129" s="20">
        <f>SUM(AB83,AB82,AB80,AB76,AB46,AB44,AB32,AB34,AB25,AB26,AB27,AB17,AB4,AB15,AB33,AB110)</f>
        <v>0</v>
      </c>
      <c r="AC129" s="8"/>
    </row>
    <row r="130" spans="1:29">
      <c r="A130" s="26" t="s">
        <v>99</v>
      </c>
      <c r="B130" s="20">
        <f>SUM(B18,B21,B47,B62,B63,B69,B84,B90,B99,B101,B111,B95,B58)</f>
        <v>4806.7368839999999</v>
      </c>
      <c r="C130" s="20">
        <f>SUM(C18,C21,C47,C62,C63,C69,C84,C90,C99,C101,C111,C95,C58)</f>
        <v>0</v>
      </c>
      <c r="D130" s="20">
        <f>SUM(D18,D21,D47,D62,D63,D69,D84,D90,D99,D101,D111,D95,D58)</f>
        <v>0</v>
      </c>
      <c r="E130" s="8"/>
      <c r="G130" s="26" t="s">
        <v>99</v>
      </c>
      <c r="H130" s="20">
        <f>SUM(H18,H21,H47,H62,H63,H69,H84,H90,H99,H101,H111,H95,H58)</f>
        <v>5418.7716899999996</v>
      </c>
      <c r="I130" s="20">
        <f>SUM(I18,I21,I47,I62,I63,I69,I84,I90,I99,I101,I111,I95,I58)</f>
        <v>0</v>
      </c>
      <c r="J130" s="20">
        <f>SUM(J18,J21,J47,J62,J63,J69,J84,J90,J99,J101,J111,J95,J58)</f>
        <v>0</v>
      </c>
      <c r="K130" s="8"/>
      <c r="M130" s="26" t="s">
        <v>99</v>
      </c>
      <c r="N130" s="20">
        <f>SUM(N18,N21,N47,N62,N63,N69,N84,N90,N99,N101,N111,N95,N58)</f>
        <v>0</v>
      </c>
      <c r="O130" s="20">
        <f>SUM(O18,O21,O47,O62,O63,O69,O84,O90,O99,O101,O111,O95,O58)</f>
        <v>0</v>
      </c>
      <c r="P130" s="20">
        <f>SUM(P18,P21,P47,P62,P63,P69,P84,P90,P99,P101,P111,P95,P58)</f>
        <v>0</v>
      </c>
      <c r="Q130" s="8"/>
      <c r="S130" s="26" t="s">
        <v>99</v>
      </c>
      <c r="T130" s="133">
        <f>SUM(T18,T21,T47,T62,T63,T69,T84,T90,T99,T101,T111,T95,T58)</f>
        <v>0</v>
      </c>
      <c r="U130" s="20">
        <f>SUM(U18,U21,U47,U62,U63,U69,U84,U90,U99,U101,U111,U95,U58)</f>
        <v>0</v>
      </c>
      <c r="V130" s="20">
        <f>SUM(V18,V21,V47,V62,V63,V69,V84,V90,V99,V101,V111,V95,V58)</f>
        <v>0</v>
      </c>
      <c r="W130" s="8"/>
      <c r="Y130" s="26" t="s">
        <v>99</v>
      </c>
      <c r="Z130" s="20">
        <f>SUM(Z18,Z21,Z47,Z62,Z63,Z69,Z84,Z90,Z99,Z101,Z111,Z95,Z58)</f>
        <v>0</v>
      </c>
      <c r="AA130" s="20">
        <f>SUM(AA18,AA21,AA47,AA62,AA63,AA69,AA84,AA90,AA99,AA101,AA111,AA95,AA58)</f>
        <v>0</v>
      </c>
      <c r="AB130" s="20">
        <f>SUM(AB18,AB21,AB47,AB62,AB63,AB69,AB84,AB90,AB99,AB101,AB111,AB95,AB58)</f>
        <v>0</v>
      </c>
      <c r="AC130" s="8"/>
    </row>
    <row r="131" spans="1:29">
      <c r="A131" s="26" t="s">
        <v>200</v>
      </c>
      <c r="B131" s="20">
        <f>B112+B113+B109+B106+B105+B104+B102+B100+B96+B89+B81+B77+B78+B71+B72+B73+B67+B68+B65+B55+B56+B57+B52+B50+B49+B45+B43+B41+B39+B36+B31+B24+B23+B20+B16+B14+B11+B10+B9+B8+B5+B3+B2+B93+B70</f>
        <v>10535.702955000001</v>
      </c>
      <c r="C131" s="20">
        <f>C112+C113+C109+C106+C105+C104+C102+C100+C96+C89+C81+C77+C78+C71+C72+C73+C67+C68+C65+C55+C56+C57+C52+C50+C49+C45+C43+C41+C39+C36+C31+C24+C23+C20+C16+C14+C11+C10+C9+C8+C5+C3+'IODA iTunes data'!C2+C93+C13+C70</f>
        <v>0</v>
      </c>
      <c r="D131" s="20">
        <f>D112+D113+D109+D106+D105+D104+D102+D100+D96+D89+D81+D77+D78+D71+D72+D73+D67+D68+D65+D55+D56+D57+D52+D50+D49+D45+D43+D41+D39+D36+D31+D24+D23+D20+D16+D14+D11+D10+D9+D8+D5+D3+D2+D93+D13+D70</f>
        <v>0</v>
      </c>
      <c r="E131" s="8"/>
      <c r="G131" s="88" t="s">
        <v>200</v>
      </c>
      <c r="H131" s="20">
        <f>H112+H113+H109+H106+H105+H104+H102+H100+H96+H89+H81+H77+H78+H71+H72+H73+H67+H68+H65+H55+H56+H57+H52+H50+H49+H45+H43+H41+H39+H36+H31+H24+H23+H20+H16+H14+H11+H10+H9+H8+H5+H3+H2+H93+H70</f>
        <v>10659.372379999999</v>
      </c>
      <c r="I131" s="20">
        <f t="shared" ref="I131:J131" si="10">I112+I113+I109+I106+I105+I104+I102+I100+I96+I89+I81+I77+I78+I71+I72+I73+I67+I68+I65+I55+I56+I57+I52+I50+I49+I45+I43+I41+I39+I36+I31+I24+I23+I20+I16+I14+I11+I10+I9+I8+I5+I3+I2+I93+I13+I70</f>
        <v>0</v>
      </c>
      <c r="J131" s="20">
        <f t="shared" si="10"/>
        <v>0</v>
      </c>
      <c r="K131" s="8"/>
      <c r="M131" s="88" t="s">
        <v>200</v>
      </c>
      <c r="N131" s="20">
        <f>N112+N113+N109+N106+N105+N104+N102+N100+N96+N89+N81+N77+N78+N71+N72+N73+N67+N68+N65+N55+N56+N57+N52+N50+N49+N45+N43+N41+N39+N36+N31+N24+N23+N20+N16+N14+N11+N10+N9+N8+N5+N3+N2+N93+N70</f>
        <v>0</v>
      </c>
      <c r="O131" s="20">
        <f t="shared" ref="O131:P131" si="11">O112+O113+O109+O106+O105+O104+O102+O100+O96+O89+O81+O77+O78+O71+O72+O73+O67+O68+O65+O55+O56+O57+O52+O50+O49+O45+O43+O41+O39+O36+O31+O24+O23+O20+O16+O14+O11+O10+O9+O8+O5+O3+O2+O93+O13+O70</f>
        <v>0</v>
      </c>
      <c r="P131" s="20">
        <f t="shared" si="11"/>
        <v>0</v>
      </c>
      <c r="Q131" s="8"/>
      <c r="S131" s="88" t="s">
        <v>200</v>
      </c>
      <c r="T131" s="20">
        <f>T112+T113+T109+T106+T105+T104+T102+T100+T96+T89+T81+T77+T78+T71+T72+T73+T67+T68+T65+T55+T56+T57+T52+T50+T49+T45+T43+T41+T39+T36+T31+T24+T23+T20+T16+T14+T11+T10+T9+T8+T5+T3+T2+T93+T70</f>
        <v>0</v>
      </c>
      <c r="U131" s="20">
        <f t="shared" ref="U131:V131" si="12">U112+U113+U109+U106+U105+U104+U102+U100+U96+U89+U81+U77+U78+U71+U72+U73+U67+U68+U65+U55+U56+U57+U52+U50+U49+U45+U43+U41+U39+U36+U31+U24+U23+U20+U16+U14+U11+U10+U9+U8+U5+U3+U2+U93+U13+U70</f>
        <v>0</v>
      </c>
      <c r="V131" s="20">
        <f t="shared" si="12"/>
        <v>0</v>
      </c>
      <c r="W131" s="8"/>
      <c r="Y131" s="88" t="s">
        <v>200</v>
      </c>
      <c r="Z131" s="20">
        <f>Z112+Z113+Z109+Z106+Z105+Z104+Z102+Z100+Z96+Z89+Z81+Z77+Z78+Z71+Z72+Z73+Z67+Z68+Z65+Z55+Z56+Z57+Z52+Z50+Z49+Z45+Z43+Z41+Z39+Z36+Z31+Z24+Z23+Z20+Z16+Z14+Z11+Z10+Z9+Z8+Z5+Z3+Z2+Z93+Z70</f>
        <v>0</v>
      </c>
      <c r="AA131" s="20">
        <f t="shared" ref="AA131:AB131" si="13">AA112+AA113+AA109+AA106+AA105+AA104+AA102+AA100+AA96+AA89+AA81+AA77+AA78+AA71+AA72+AA73+AA67+AA68+AA65+AA55+AA56+AA57+AA52+AA50+AA49+AA45+AA43+AA41+AA39+AA36+AA31+AA24+AA23+AA20+AA16+AA14+AA11+AA10+AA9+AA8+AA5+AA3+AA2+AA93+AA13+AA70</f>
        <v>0</v>
      </c>
      <c r="AB131" s="20">
        <f t="shared" si="13"/>
        <v>0</v>
      </c>
      <c r="AC131" s="8"/>
    </row>
    <row r="132" spans="1:29">
      <c r="A132" s="26" t="s">
        <v>180</v>
      </c>
      <c r="B132" s="20">
        <f>B88</f>
        <v>23211.925564000001</v>
      </c>
      <c r="C132" s="20">
        <f t="shared" ref="C132:D132" si="14">C88</f>
        <v>0</v>
      </c>
      <c r="D132" s="20">
        <f t="shared" si="14"/>
        <v>0</v>
      </c>
      <c r="E132" s="8"/>
      <c r="G132" s="26" t="s">
        <v>180</v>
      </c>
      <c r="H132" s="20">
        <f t="shared" ref="H132:J132" si="15">H88</f>
        <v>23079.725222000001</v>
      </c>
      <c r="I132" s="20">
        <f t="shared" si="15"/>
        <v>0</v>
      </c>
      <c r="J132" s="20">
        <f t="shared" si="15"/>
        <v>0</v>
      </c>
      <c r="K132" s="8"/>
      <c r="M132" s="26" t="s">
        <v>180</v>
      </c>
      <c r="N132" s="20">
        <f t="shared" ref="N132:P132" si="16">N88</f>
        <v>0</v>
      </c>
      <c r="O132" s="20">
        <f t="shared" si="16"/>
        <v>0</v>
      </c>
      <c r="P132" s="20">
        <f t="shared" si="16"/>
        <v>0</v>
      </c>
      <c r="Q132" s="8"/>
      <c r="S132" s="26" t="s">
        <v>180</v>
      </c>
      <c r="T132" s="20">
        <f t="shared" ref="T132:V132" si="17">T88</f>
        <v>0</v>
      </c>
      <c r="U132" s="20">
        <f t="shared" si="17"/>
        <v>0</v>
      </c>
      <c r="V132" s="20">
        <f t="shared" si="17"/>
        <v>0</v>
      </c>
      <c r="W132" s="8"/>
      <c r="Y132" s="26" t="s">
        <v>180</v>
      </c>
      <c r="Z132" s="20">
        <f t="shared" ref="Z132:AB132" si="18">Z88</f>
        <v>0</v>
      </c>
      <c r="AA132" s="20">
        <f t="shared" si="18"/>
        <v>0</v>
      </c>
      <c r="AB132" s="20">
        <f t="shared" si="18"/>
        <v>0</v>
      </c>
      <c r="AC132" s="8"/>
    </row>
    <row r="133" spans="1:29">
      <c r="A133" s="26" t="s">
        <v>190</v>
      </c>
      <c r="B133" s="20">
        <f>B103</f>
        <v>8106.0361339999999</v>
      </c>
      <c r="C133" s="20">
        <f t="shared" ref="C133:D133" si="19">C103</f>
        <v>0</v>
      </c>
      <c r="D133" s="20">
        <f t="shared" si="19"/>
        <v>0</v>
      </c>
      <c r="E133" s="8"/>
      <c r="G133" s="26" t="s">
        <v>190</v>
      </c>
      <c r="H133" s="20">
        <f t="shared" ref="H133:J133" si="20">H103</f>
        <v>8589.9061349999993</v>
      </c>
      <c r="I133" s="20">
        <f t="shared" si="20"/>
        <v>0</v>
      </c>
      <c r="J133" s="20">
        <f t="shared" si="20"/>
        <v>0</v>
      </c>
      <c r="K133" s="8"/>
      <c r="M133" s="26" t="s">
        <v>190</v>
      </c>
      <c r="N133" s="20">
        <f t="shared" ref="N133:P133" si="21">N103</f>
        <v>0</v>
      </c>
      <c r="O133" s="20">
        <f t="shared" si="21"/>
        <v>0</v>
      </c>
      <c r="P133" s="20">
        <f t="shared" si="21"/>
        <v>0</v>
      </c>
      <c r="Q133" s="8"/>
      <c r="S133" s="26" t="s">
        <v>190</v>
      </c>
      <c r="T133" s="20">
        <f t="shared" ref="T133:V133" si="22">T103</f>
        <v>0</v>
      </c>
      <c r="U133" s="20">
        <f t="shared" si="22"/>
        <v>0</v>
      </c>
      <c r="V133" s="20">
        <f t="shared" si="22"/>
        <v>0</v>
      </c>
      <c r="W133" s="8"/>
      <c r="Y133" s="26" t="s">
        <v>190</v>
      </c>
      <c r="Z133" s="20">
        <f t="shared" ref="Z133:AB133" si="23">Z103</f>
        <v>0</v>
      </c>
      <c r="AA133" s="20">
        <f t="shared" si="23"/>
        <v>0</v>
      </c>
      <c r="AB133" s="20">
        <f t="shared" si="23"/>
        <v>0</v>
      </c>
      <c r="AC133" s="8"/>
    </row>
    <row r="134" spans="1:29">
      <c r="A134" s="16" t="s">
        <v>26</v>
      </c>
      <c r="B134" s="87">
        <f>SUM(B127:B131)</f>
        <v>103031.49812599999</v>
      </c>
      <c r="C134" s="87">
        <f>SUM(C127:C129)</f>
        <v>0</v>
      </c>
      <c r="D134" s="87">
        <f>SUM(D127:D129)</f>
        <v>0</v>
      </c>
      <c r="E134" s="18">
        <f>IF(C134 &gt; 0, C134/B134, 0)</f>
        <v>0</v>
      </c>
      <c r="G134" s="16" t="s">
        <v>26</v>
      </c>
      <c r="H134" s="87">
        <f>SUM(H127:H131)</f>
        <v>103944.285097</v>
      </c>
      <c r="I134" s="87">
        <f>SUM(I127:I129)</f>
        <v>0</v>
      </c>
      <c r="J134" s="87">
        <f>SUM(J127:J129)</f>
        <v>0</v>
      </c>
      <c r="K134" s="18">
        <f>IF(I134 &gt; 0, I134/H134, 0)</f>
        <v>0</v>
      </c>
      <c r="M134" s="16" t="s">
        <v>26</v>
      </c>
      <c r="N134" s="87">
        <f>SUM(N127:N131)</f>
        <v>0</v>
      </c>
      <c r="O134" s="87">
        <f>SUM(O127:O129)</f>
        <v>0</v>
      </c>
      <c r="P134" s="87">
        <f>SUM(P127:P129)</f>
        <v>0</v>
      </c>
      <c r="Q134" s="18">
        <f>IF(O134 &gt; 0, O134/N134, 0)</f>
        <v>0</v>
      </c>
      <c r="S134" s="16" t="s">
        <v>26</v>
      </c>
      <c r="T134" s="197">
        <f>SUM(T127:T131)</f>
        <v>0</v>
      </c>
      <c r="U134" s="87">
        <f>SUM(U127:U129)</f>
        <v>0</v>
      </c>
      <c r="V134" s="87">
        <f>SUM(V127:V129)</f>
        <v>0</v>
      </c>
      <c r="W134" s="18">
        <f>IF(U134 &gt; 0, U134/T134, 0)</f>
        <v>0</v>
      </c>
      <c r="Y134" s="16" t="s">
        <v>26</v>
      </c>
      <c r="Z134" s="87">
        <f>SUM(Z127:Z131)</f>
        <v>0</v>
      </c>
      <c r="AA134" s="87">
        <f>SUM(AA127:AA129)</f>
        <v>0</v>
      </c>
      <c r="AB134" s="87">
        <f>SUM(AB127:AB129)</f>
        <v>0</v>
      </c>
      <c r="AC134" s="18">
        <f>IF(AA134 &gt; 0, AA134/Z134, 0)</f>
        <v>0</v>
      </c>
    </row>
    <row r="135" spans="1:29">
      <c r="E135" s="8" t="str">
        <f>IF(C135 &gt; 0, C135/B135, "")</f>
        <v/>
      </c>
      <c r="K135" s="8" t="str">
        <f>IF(I135 &gt; 0, I135/H135, "")</f>
        <v/>
      </c>
      <c r="Q135" s="8" t="str">
        <f>IF(O135 &gt; 0, O135/N135, "")</f>
        <v/>
      </c>
      <c r="W135" s="8" t="str">
        <f>IF(U135 &gt; 0, U135/T135, "")</f>
        <v/>
      </c>
      <c r="AC135" s="8" t="str">
        <f>IF(AA135 &gt; 0, AA135/Z135, "")</f>
        <v/>
      </c>
    </row>
    <row r="136" spans="1:29">
      <c r="A136" s="21" t="s">
        <v>27</v>
      </c>
      <c r="B136" s="22">
        <f>B116+B125+B134</f>
        <v>807223.09412500006</v>
      </c>
      <c r="C136" s="22">
        <f>C116+C125+C134</f>
        <v>0</v>
      </c>
      <c r="D136" s="22">
        <f>D116+D125+D134</f>
        <v>0</v>
      </c>
      <c r="E136" s="23">
        <f>IF(C136 &gt; 0, C136/B136, 0)</f>
        <v>0</v>
      </c>
      <c r="G136" s="21" t="s">
        <v>28</v>
      </c>
      <c r="H136" s="22">
        <f>H116+H125+H134</f>
        <v>784505.34817399993</v>
      </c>
      <c r="I136" s="22">
        <f>I116+I125+I134</f>
        <v>0</v>
      </c>
      <c r="J136" s="22">
        <f>J116+J125+J134</f>
        <v>0</v>
      </c>
      <c r="K136" s="23">
        <f>IF(I136 &gt; 0, I136/H136, 0)</f>
        <v>0</v>
      </c>
      <c r="M136" s="21" t="s">
        <v>29</v>
      </c>
      <c r="N136" s="22">
        <f>N116+N125+N134</f>
        <v>0</v>
      </c>
      <c r="O136" s="22">
        <f>O116+O125+O134</f>
        <v>0</v>
      </c>
      <c r="P136" s="22">
        <f>P116+P125+P134</f>
        <v>0</v>
      </c>
      <c r="Q136" s="24">
        <f>IF(O136 &gt; 0, O136/N136, 0)</f>
        <v>0</v>
      </c>
      <c r="S136" s="21" t="s">
        <v>30</v>
      </c>
      <c r="T136" s="198">
        <f>T116+T125+T134</f>
        <v>0</v>
      </c>
      <c r="U136" s="22">
        <f>U116+U125+U134</f>
        <v>0</v>
      </c>
      <c r="V136" s="22">
        <f>V116+V125+V134</f>
        <v>0</v>
      </c>
      <c r="W136" s="23">
        <f>IF(U136 &gt; 0, U136/T136, 0)</f>
        <v>0</v>
      </c>
      <c r="Y136" s="21" t="s">
        <v>31</v>
      </c>
      <c r="Z136" s="22">
        <f>Z116+Z125+Z134</f>
        <v>0</v>
      </c>
      <c r="AA136" s="22">
        <f>AA116+AA125+AA134</f>
        <v>0</v>
      </c>
      <c r="AB136" s="22">
        <f>AB116+AB125+AB134</f>
        <v>0</v>
      </c>
      <c r="AC136" s="23">
        <f>IF(AA136 &gt; 0, AA136/Z136, 0)</f>
        <v>0</v>
      </c>
    </row>
    <row r="139" spans="1:29">
      <c r="A139" s="25" t="s">
        <v>32</v>
      </c>
      <c r="B139" s="9"/>
      <c r="C139" s="9"/>
      <c r="D139" s="9"/>
      <c r="E139" s="9"/>
      <c r="G139" s="9"/>
      <c r="H139" s="9"/>
      <c r="I139" s="9"/>
      <c r="J139" s="9"/>
      <c r="K139" s="9"/>
      <c r="M139" s="9"/>
      <c r="N139" s="9"/>
      <c r="O139" s="9"/>
      <c r="P139" s="9"/>
      <c r="Q139" s="9"/>
      <c r="S139" s="9"/>
      <c r="T139" s="199"/>
      <c r="U139" s="9"/>
      <c r="V139" s="9"/>
      <c r="W139" s="9"/>
      <c r="Y139" s="9"/>
      <c r="Z139" s="9"/>
      <c r="AA139" s="9"/>
      <c r="AB139" s="9"/>
      <c r="AC139" s="9"/>
    </row>
    <row r="140" spans="1:29">
      <c r="A140" s="9"/>
      <c r="B140" s="9"/>
      <c r="C140" s="9"/>
      <c r="D140" s="9"/>
      <c r="E140" s="9"/>
      <c r="G140" s="9"/>
      <c r="H140" s="9"/>
      <c r="I140" s="9"/>
      <c r="J140" s="9"/>
      <c r="K140" s="9"/>
      <c r="M140" s="9"/>
      <c r="N140" s="9"/>
      <c r="O140" s="9"/>
      <c r="P140" s="9"/>
      <c r="Q140" s="9"/>
      <c r="S140" s="9"/>
      <c r="T140" s="199"/>
      <c r="U140" s="9"/>
      <c r="V140" s="9"/>
      <c r="W140" s="9"/>
      <c r="Y140" s="9"/>
      <c r="Z140" s="9"/>
      <c r="AA140" s="9"/>
      <c r="AB140" s="9"/>
      <c r="AC140" s="9"/>
    </row>
    <row r="141" spans="1:29">
      <c r="A141" s="6" t="s">
        <v>33</v>
      </c>
      <c r="B141" s="7">
        <f>IF(B3+D3&gt;0, B3+D3, "")</f>
        <v>1.22</v>
      </c>
      <c r="C141" s="7">
        <f>IFERROR(C3+(C3/B3)*D3, "")</f>
        <v>0</v>
      </c>
      <c r="D141" s="7"/>
      <c r="E141" s="8">
        <f>E3</f>
        <v>0</v>
      </c>
      <c r="G141" s="6" t="s">
        <v>33</v>
      </c>
      <c r="H141" s="7">
        <f>IF(H3+J3&gt;0, H3+J3, "")</f>
        <v>1.83</v>
      </c>
      <c r="I141" s="7">
        <f>IFERROR(I3+(I3/H3)*J3, "")</f>
        <v>0</v>
      </c>
      <c r="J141" s="7"/>
      <c r="K141" s="8">
        <f>K3</f>
        <v>0</v>
      </c>
      <c r="M141" s="6" t="s">
        <v>33</v>
      </c>
      <c r="N141" s="7" t="str">
        <f>IF(N3+P3&gt;0, N3+P3, "")</f>
        <v/>
      </c>
      <c r="O141" s="7" t="str">
        <f>IFERROR(O3+(O3/N3)*P3, "")</f>
        <v/>
      </c>
      <c r="P141" s="7"/>
      <c r="Q141" s="8" t="e">
        <f>Q3</f>
        <v>#DIV/0!</v>
      </c>
      <c r="S141" s="6" t="s">
        <v>33</v>
      </c>
      <c r="T141" s="200" t="str">
        <f>IF(T3+V3&gt;0, T3+V3, "")</f>
        <v/>
      </c>
      <c r="U141" s="7" t="str">
        <f>IFERROR(U3+(U3/T3)*V3, "")</f>
        <v/>
      </c>
      <c r="V141" s="7"/>
      <c r="W141" s="8" t="e">
        <f>W3</f>
        <v>#DIV/0!</v>
      </c>
      <c r="Y141" s="6" t="s">
        <v>33</v>
      </c>
      <c r="Z141" s="7" t="str">
        <f>IF(Z3+AB3&gt;0, Z3+AB3, "")</f>
        <v/>
      </c>
      <c r="AA141" s="7" t="str">
        <f>IFERROR(AA3+(AA3/Z3)*AB3, "")</f>
        <v/>
      </c>
      <c r="AB141" s="7"/>
      <c r="AC141" s="8" t="e">
        <f>AC3</f>
        <v>#DIV/0!</v>
      </c>
    </row>
    <row r="142" spans="1:29">
      <c r="A142" s="6" t="s">
        <v>34</v>
      </c>
      <c r="B142" s="7">
        <f>IF(B4+D4&gt;0, B4+D4, "")</f>
        <v>1729.66</v>
      </c>
      <c r="C142" s="7">
        <f>IFERROR(C4+(C4/B4)*D4, "")</f>
        <v>0</v>
      </c>
      <c r="D142" s="7"/>
      <c r="E142" s="8">
        <f>E4</f>
        <v>0</v>
      </c>
      <c r="G142" s="6" t="s">
        <v>34</v>
      </c>
      <c r="H142" s="7">
        <f>IF(H4+J4&gt;0, H4+J4, "")</f>
        <v>1356.15</v>
      </c>
      <c r="I142" s="7">
        <f>IFERROR(I4+(I4/H4)*J4, "")</f>
        <v>0</v>
      </c>
      <c r="J142" s="7"/>
      <c r="K142" s="8">
        <f>K4</f>
        <v>0</v>
      </c>
      <c r="M142" s="6" t="s">
        <v>34</v>
      </c>
      <c r="N142" s="7" t="str">
        <f>IF(N4+P4&gt;0, N4+P4, "")</f>
        <v/>
      </c>
      <c r="O142" s="7" t="str">
        <f>IFERROR(O4+(O4/N4)*P4, "")</f>
        <v/>
      </c>
      <c r="P142" s="7"/>
      <c r="Q142" s="8" t="e">
        <f>Q4</f>
        <v>#DIV/0!</v>
      </c>
      <c r="S142" s="6" t="s">
        <v>34</v>
      </c>
      <c r="T142" s="200" t="str">
        <f>IF(T4+V4&gt;0, T4+V4, "")</f>
        <v/>
      </c>
      <c r="U142" s="7" t="str">
        <f>IFERROR(U4+(U4/T4)*V4, "")</f>
        <v/>
      </c>
      <c r="V142" s="7"/>
      <c r="W142" s="8" t="e">
        <f>W4</f>
        <v>#DIV/0!</v>
      </c>
      <c r="Y142" s="6" t="s">
        <v>34</v>
      </c>
      <c r="Z142" s="7" t="str">
        <f>IF(Z4+AB4&gt;0, Z4+AB4, "")</f>
        <v/>
      </c>
      <c r="AA142" s="7" t="str">
        <f>IFERROR(AA4+(AA4/Z4)*AB4, "")</f>
        <v/>
      </c>
      <c r="AB142" s="7"/>
      <c r="AC142" s="8" t="e">
        <f>AC4</f>
        <v>#DIV/0!</v>
      </c>
    </row>
    <row r="143" spans="1:29">
      <c r="A143" s="6" t="s">
        <v>35</v>
      </c>
      <c r="B143" s="7">
        <f>IF(B5+D5&gt;0, B5+D5, "")</f>
        <v>24.6</v>
      </c>
      <c r="C143" s="7">
        <f>IFERROR(C5+(C5/B5)*D5, "")</f>
        <v>0</v>
      </c>
      <c r="D143" s="7"/>
      <c r="E143" s="8">
        <f>E5</f>
        <v>0</v>
      </c>
      <c r="G143" s="6" t="s">
        <v>35</v>
      </c>
      <c r="H143" s="7">
        <f>IF(H5+J5&gt;0, H5+J5, "")</f>
        <v>11.16</v>
      </c>
      <c r="I143" s="7">
        <f>IFERROR(I5+(I5/H5)*J5, "")</f>
        <v>0</v>
      </c>
      <c r="J143" s="7"/>
      <c r="K143" s="8">
        <f>K5</f>
        <v>0</v>
      </c>
      <c r="M143" s="6" t="s">
        <v>35</v>
      </c>
      <c r="N143" s="7" t="str">
        <f>IF(N5+P5&gt;0, N5+P5, "")</f>
        <v/>
      </c>
      <c r="O143" s="7" t="str">
        <f>IFERROR(O5+(O5/N5)*P5, "")</f>
        <v/>
      </c>
      <c r="P143" s="7"/>
      <c r="Q143" s="8" t="e">
        <f>Q5</f>
        <v>#DIV/0!</v>
      </c>
      <c r="S143" s="6" t="s">
        <v>35</v>
      </c>
      <c r="T143" s="200" t="str">
        <f>IF(T5+V5&gt;0, T5+V5, "")</f>
        <v/>
      </c>
      <c r="U143" s="7" t="str">
        <f>IFERROR(U5+(U5/T5)*V5, "")</f>
        <v/>
      </c>
      <c r="V143" s="7"/>
      <c r="W143" s="8" t="e">
        <f>W5</f>
        <v>#DIV/0!</v>
      </c>
      <c r="Y143" s="6" t="s">
        <v>35</v>
      </c>
      <c r="Z143" s="7" t="str">
        <f>IF(Z5+AB5&gt;0, Z5+AB5, "")</f>
        <v/>
      </c>
      <c r="AA143" s="7" t="str">
        <f>IFERROR(AA5+(AA5/Z5)*AB5, "")</f>
        <v/>
      </c>
      <c r="AB143" s="7"/>
      <c r="AC143" s="8" t="e">
        <f>AC5</f>
        <v>#DIV/0!</v>
      </c>
    </row>
    <row r="144" spans="1:29">
      <c r="A144" s="6" t="s">
        <v>62</v>
      </c>
      <c r="B144" s="7"/>
      <c r="C144" s="7"/>
      <c r="D144" s="7"/>
      <c r="E144" s="8">
        <f>E9</f>
        <v>0</v>
      </c>
      <c r="G144" s="6" t="s">
        <v>62</v>
      </c>
      <c r="H144" s="7"/>
      <c r="I144" s="7"/>
      <c r="J144" s="7"/>
      <c r="K144" s="8">
        <f>K9</f>
        <v>0</v>
      </c>
      <c r="M144" s="6" t="s">
        <v>62</v>
      </c>
      <c r="N144" s="7"/>
      <c r="O144" s="7"/>
      <c r="P144" s="7"/>
      <c r="Q144" s="8" t="e">
        <f>Q9</f>
        <v>#DIV/0!</v>
      </c>
      <c r="S144" s="6" t="s">
        <v>62</v>
      </c>
      <c r="T144" s="200"/>
      <c r="U144" s="7"/>
      <c r="V144" s="7"/>
      <c r="W144" s="8" t="e">
        <f>W9</f>
        <v>#DIV/0!</v>
      </c>
      <c r="Y144" s="6" t="s">
        <v>62</v>
      </c>
      <c r="Z144" s="7"/>
      <c r="AA144" s="7"/>
      <c r="AB144" s="7"/>
      <c r="AC144" s="8" t="e">
        <f>AC9</f>
        <v>#DIV/0!</v>
      </c>
    </row>
    <row r="145" spans="1:29">
      <c r="A145" s="6" t="s">
        <v>36</v>
      </c>
      <c r="B145" s="7">
        <f>IF(B11+D11&gt;0, B11+D11, "")</f>
        <v>68.94</v>
      </c>
      <c r="C145" s="7">
        <f>IFERROR(C11+(C11/B11)*D11, "")</f>
        <v>0</v>
      </c>
      <c r="D145" s="7"/>
      <c r="E145" s="8">
        <f>E11</f>
        <v>0</v>
      </c>
      <c r="G145" s="6" t="s">
        <v>36</v>
      </c>
      <c r="H145" s="7">
        <f>IF(H11+J11&gt;0, H11+J11, "")</f>
        <v>60</v>
      </c>
      <c r="I145" s="7">
        <f>IFERROR(I11+(I11/H11)*J11, "")</f>
        <v>0</v>
      </c>
      <c r="J145" s="7"/>
      <c r="K145" s="8">
        <f>K11</f>
        <v>0</v>
      </c>
      <c r="M145" s="6" t="s">
        <v>36</v>
      </c>
      <c r="N145" s="7" t="str">
        <f>IF(N11+P11&gt;0, N11+P11, "")</f>
        <v/>
      </c>
      <c r="O145" s="7" t="str">
        <f>IFERROR(O11+(O11/N11)*P11, "")</f>
        <v/>
      </c>
      <c r="P145" s="7"/>
      <c r="Q145" s="8" t="e">
        <f>Q11</f>
        <v>#DIV/0!</v>
      </c>
      <c r="S145" s="6" t="s">
        <v>36</v>
      </c>
      <c r="T145" s="200" t="str">
        <f>IF(T11+V11&gt;0, T11+V11, "")</f>
        <v/>
      </c>
      <c r="U145" s="7" t="str">
        <f>IFERROR(U11+(U11/T11)*V11, "")</f>
        <v/>
      </c>
      <c r="V145" s="7"/>
      <c r="W145" s="8" t="e">
        <f>W11</f>
        <v>#DIV/0!</v>
      </c>
      <c r="Y145" s="6" t="s">
        <v>36</v>
      </c>
      <c r="Z145" s="7" t="str">
        <f>IF(Z11+AB11&gt;0, Z11+AB11, "")</f>
        <v/>
      </c>
      <c r="AA145" s="7" t="str">
        <f>IFERROR(AA11+(AA11/Z11)*AB11, "")</f>
        <v/>
      </c>
      <c r="AB145" s="7"/>
      <c r="AC145" s="8" t="e">
        <f>AC11</f>
        <v>#DIV/0!</v>
      </c>
    </row>
    <row r="146" spans="1:29">
      <c r="A146" s="6" t="s">
        <v>61</v>
      </c>
      <c r="B146" s="7"/>
      <c r="C146" s="7"/>
      <c r="D146" s="7"/>
      <c r="E146" s="8">
        <f>E15</f>
        <v>0</v>
      </c>
      <c r="G146" s="6" t="s">
        <v>61</v>
      </c>
      <c r="H146" s="7"/>
      <c r="I146" s="7"/>
      <c r="J146" s="7"/>
      <c r="K146" s="8">
        <f>K15</f>
        <v>0</v>
      </c>
      <c r="M146" s="6" t="s">
        <v>61</v>
      </c>
      <c r="N146" s="7"/>
      <c r="O146" s="7"/>
      <c r="P146" s="7"/>
      <c r="Q146" s="8" t="e">
        <f>Q15</f>
        <v>#DIV/0!</v>
      </c>
      <c r="S146" s="6" t="s">
        <v>61</v>
      </c>
      <c r="T146" s="200"/>
      <c r="U146" s="7"/>
      <c r="V146" s="7"/>
      <c r="W146" s="8" t="e">
        <f>W15</f>
        <v>#DIV/0!</v>
      </c>
      <c r="Y146" s="6" t="s">
        <v>61</v>
      </c>
      <c r="Z146" s="7"/>
      <c r="AA146" s="7"/>
      <c r="AB146" s="7"/>
      <c r="AC146" s="8" t="e">
        <f>AC15</f>
        <v>#DIV/0!</v>
      </c>
    </row>
    <row r="147" spans="1:29">
      <c r="A147" s="6" t="s">
        <v>60</v>
      </c>
      <c r="B147" s="7"/>
      <c r="C147" s="7"/>
      <c r="D147" s="7"/>
      <c r="E147" s="8">
        <f>E16</f>
        <v>0</v>
      </c>
      <c r="G147" s="6" t="s">
        <v>60</v>
      </c>
      <c r="H147" s="7"/>
      <c r="I147" s="7"/>
      <c r="J147" s="7"/>
      <c r="K147" s="8">
        <f>K16</f>
        <v>0</v>
      </c>
      <c r="M147" s="6" t="s">
        <v>60</v>
      </c>
      <c r="N147" s="7"/>
      <c r="O147" s="7"/>
      <c r="P147" s="7"/>
      <c r="Q147" s="8" t="e">
        <f>Q16</f>
        <v>#DIV/0!</v>
      </c>
      <c r="S147" s="6" t="s">
        <v>60</v>
      </c>
      <c r="T147" s="200"/>
      <c r="U147" s="7"/>
      <c r="V147" s="7"/>
      <c r="W147" s="8" t="e">
        <f>W16</f>
        <v>#DIV/0!</v>
      </c>
      <c r="Y147" s="6" t="s">
        <v>60</v>
      </c>
      <c r="Z147" s="7"/>
      <c r="AA147" s="7"/>
      <c r="AB147" s="7"/>
      <c r="AC147" s="8" t="e">
        <f>AC16</f>
        <v>#DIV/0!</v>
      </c>
    </row>
    <row r="148" spans="1:29">
      <c r="A148" s="6" t="s">
        <v>37</v>
      </c>
      <c r="B148" s="7">
        <f>IF(B17+D17&gt;0, B17+D17, "")</f>
        <v>9286.92</v>
      </c>
      <c r="C148" s="7">
        <f>IFERROR(C17+(C17/B17)*D17, "")</f>
        <v>0</v>
      </c>
      <c r="D148" s="7"/>
      <c r="E148" s="8">
        <f>E17</f>
        <v>0</v>
      </c>
      <c r="G148" s="6" t="s">
        <v>37</v>
      </c>
      <c r="H148" s="7">
        <f>IF(H17+J17&gt;0, H17+J17, "")</f>
        <v>9513.6</v>
      </c>
      <c r="I148" s="7">
        <f>IFERROR(I17+(I17/H17)*J17, "")</f>
        <v>0</v>
      </c>
      <c r="J148" s="7"/>
      <c r="K148" s="8">
        <f>K17</f>
        <v>0</v>
      </c>
      <c r="M148" s="6" t="s">
        <v>37</v>
      </c>
      <c r="N148" s="7" t="str">
        <f>IF(N17+P17&gt;0, N17+P17, "")</f>
        <v/>
      </c>
      <c r="O148" s="7" t="str">
        <f>IFERROR(O17+(O17/N17)*P17, "")</f>
        <v/>
      </c>
      <c r="P148" s="7"/>
      <c r="Q148" s="8" t="e">
        <f>Q17</f>
        <v>#DIV/0!</v>
      </c>
      <c r="S148" s="6" t="s">
        <v>37</v>
      </c>
      <c r="T148" s="200" t="str">
        <f>IF(T17+V17&gt;0, T17+V17, "")</f>
        <v/>
      </c>
      <c r="U148" s="7" t="str">
        <f>IFERROR(U17+(U17/T17)*V17, "")</f>
        <v/>
      </c>
      <c r="V148" s="7"/>
      <c r="W148" s="8" t="e">
        <f>W17</f>
        <v>#DIV/0!</v>
      </c>
      <c r="Y148" s="6" t="s">
        <v>37</v>
      </c>
      <c r="Z148" s="7" t="str">
        <f>IF(Z17+AB17&gt;0, Z17+AB17, "")</f>
        <v/>
      </c>
      <c r="AA148" s="7" t="str">
        <f>IFERROR(AA17+(AA17/Z17)*AB17, "")</f>
        <v/>
      </c>
      <c r="AB148" s="7"/>
      <c r="AC148" s="8" t="e">
        <f>AC17</f>
        <v>#DIV/0!</v>
      </c>
    </row>
    <row r="149" spans="1:29">
      <c r="A149" s="6" t="s">
        <v>59</v>
      </c>
      <c r="B149" s="7"/>
      <c r="C149" s="7"/>
      <c r="D149" s="7"/>
      <c r="E149" s="8">
        <f>E21</f>
        <v>0</v>
      </c>
      <c r="G149" s="6" t="s">
        <v>59</v>
      </c>
      <c r="H149" s="7"/>
      <c r="I149" s="7"/>
      <c r="J149" s="7"/>
      <c r="K149" s="8">
        <f>K21</f>
        <v>0</v>
      </c>
      <c r="M149" s="6" t="s">
        <v>59</v>
      </c>
      <c r="N149" s="7"/>
      <c r="O149" s="7"/>
      <c r="P149" s="7"/>
      <c r="Q149" s="8" t="e">
        <f>Q21</f>
        <v>#DIV/0!</v>
      </c>
      <c r="S149" s="6" t="s">
        <v>59</v>
      </c>
      <c r="T149" s="200"/>
      <c r="U149" s="7"/>
      <c r="V149" s="7"/>
      <c r="W149" s="8" t="e">
        <f>W21</f>
        <v>#DIV/0!</v>
      </c>
      <c r="Y149" s="6" t="s">
        <v>59</v>
      </c>
      <c r="Z149" s="7"/>
      <c r="AA149" s="7"/>
      <c r="AB149" s="7"/>
      <c r="AC149" s="8" t="e">
        <f>AC21</f>
        <v>#DIV/0!</v>
      </c>
    </row>
    <row r="150" spans="1:29">
      <c r="A150" s="6" t="s">
        <v>38</v>
      </c>
      <c r="B150" s="7">
        <f>IF(B22+D22&gt;0, B22+D22, "")</f>
        <v>52408.562007</v>
      </c>
      <c r="C150" s="7">
        <f>IFERROR(C22+(C22/B22)*D22, "")</f>
        <v>0</v>
      </c>
      <c r="D150" s="7"/>
      <c r="E150" s="8">
        <f>E22</f>
        <v>0</v>
      </c>
      <c r="G150" s="6" t="s">
        <v>38</v>
      </c>
      <c r="H150" s="7">
        <f>IF(H22+J22&gt;0, H22+J22, "")</f>
        <v>48761.307674999996</v>
      </c>
      <c r="I150" s="7">
        <f>IFERROR(I22+(I22/H22)*J22, "")</f>
        <v>0</v>
      </c>
      <c r="J150" s="7"/>
      <c r="K150" s="8">
        <f>K22</f>
        <v>0</v>
      </c>
      <c r="M150" s="6" t="s">
        <v>38</v>
      </c>
      <c r="N150" s="7" t="str">
        <f>IF(N22+P22&gt;0, N22+P22, "")</f>
        <v/>
      </c>
      <c r="O150" s="7" t="str">
        <f>IFERROR(O22+(O22/N22)*P22, "")</f>
        <v/>
      </c>
      <c r="P150" s="7"/>
      <c r="Q150" s="8" t="e">
        <f>Q22</f>
        <v>#DIV/0!</v>
      </c>
      <c r="S150" s="6" t="s">
        <v>38</v>
      </c>
      <c r="T150" s="200" t="str">
        <f>IF(T22+V22&gt;0, T22+V22, "")</f>
        <v/>
      </c>
      <c r="U150" s="7" t="str">
        <f>IFERROR(U22+(U22/T22)*V22, "")</f>
        <v/>
      </c>
      <c r="V150" s="7"/>
      <c r="W150" s="8" t="e">
        <f>W22</f>
        <v>#DIV/0!</v>
      </c>
      <c r="Y150" s="6" t="s">
        <v>38</v>
      </c>
      <c r="Z150" s="7" t="str">
        <f>IF(Z22+AB22&gt;0, Z22+AB22, "")</f>
        <v/>
      </c>
      <c r="AA150" s="7" t="str">
        <f>IFERROR(AA22+(AA22/Z22)*AB22, "")</f>
        <v/>
      </c>
      <c r="AB150" s="7"/>
      <c r="AC150" s="8" t="e">
        <f>AC22</f>
        <v>#DIV/0!</v>
      </c>
    </row>
    <row r="151" spans="1:29">
      <c r="A151" s="6" t="s">
        <v>39</v>
      </c>
      <c r="B151" s="7">
        <f>IF(B23+D23&gt;0, B23+D23, "")</f>
        <v>1.22</v>
      </c>
      <c r="C151" s="7">
        <f>IFERROR(C23+(C23/B23)*D23, "")</f>
        <v>0</v>
      </c>
      <c r="D151" s="7"/>
      <c r="E151" s="8">
        <f>E23</f>
        <v>0</v>
      </c>
      <c r="G151" s="6" t="s">
        <v>39</v>
      </c>
      <c r="H151" s="7">
        <f>IF(H23+J23&gt;0, H23+J23, "")</f>
        <v>1.83</v>
      </c>
      <c r="I151" s="7">
        <f>IFERROR(I23+(I23/H23)*J23, "")</f>
        <v>0</v>
      </c>
      <c r="J151" s="7"/>
      <c r="K151" s="8">
        <f>K23</f>
        <v>0</v>
      </c>
      <c r="M151" s="6" t="s">
        <v>39</v>
      </c>
      <c r="N151" s="7" t="str">
        <f>IF(N23+P23&gt;0, N23+P23, "")</f>
        <v/>
      </c>
      <c r="O151" s="7" t="str">
        <f>IFERROR(O23+(O23/N23)*P23, "")</f>
        <v/>
      </c>
      <c r="P151" s="7"/>
      <c r="Q151" s="8" t="e">
        <f>Q23</f>
        <v>#DIV/0!</v>
      </c>
      <c r="S151" s="6" t="s">
        <v>39</v>
      </c>
      <c r="T151" s="200" t="str">
        <f>IF(T23+V23&gt;0, T23+V23, "")</f>
        <v/>
      </c>
      <c r="U151" s="7" t="str">
        <f>IFERROR(U23+(U23/T23)*V23, "")</f>
        <v/>
      </c>
      <c r="V151" s="7"/>
      <c r="W151" s="8" t="e">
        <f>W23</f>
        <v>#DIV/0!</v>
      </c>
      <c r="Y151" s="6" t="s">
        <v>39</v>
      </c>
      <c r="Z151" s="7" t="str">
        <f>IF(Z23+AB23&gt;0, Z23+AB23, "")</f>
        <v/>
      </c>
      <c r="AA151" s="7" t="str">
        <f>IFERROR(AA23+(AA23/Z23)*AB23, "")</f>
        <v/>
      </c>
      <c r="AB151" s="7"/>
      <c r="AC151" s="8" t="e">
        <f>AC23</f>
        <v>#DIV/0!</v>
      </c>
    </row>
    <row r="152" spans="1:29">
      <c r="A152" s="6" t="s">
        <v>40</v>
      </c>
      <c r="B152" s="7">
        <f>IF(B24+D24&gt;0, B24+D24, "")</f>
        <v>5.49</v>
      </c>
      <c r="C152" s="7">
        <f>IFERROR(C24+(C24/B24)*D24, "")</f>
        <v>0</v>
      </c>
      <c r="D152" s="7"/>
      <c r="E152" s="8">
        <f>E24</f>
        <v>0</v>
      </c>
      <c r="G152" s="6" t="s">
        <v>40</v>
      </c>
      <c r="H152" s="7">
        <f>IF(H24+J24&gt;0, H24+J24, "")</f>
        <v>13.78</v>
      </c>
      <c r="I152" s="7">
        <f>IFERROR(I24+(I24/H24)*J24, "")</f>
        <v>0</v>
      </c>
      <c r="J152" s="7"/>
      <c r="K152" s="8">
        <f>K24</f>
        <v>0</v>
      </c>
      <c r="M152" s="6" t="s">
        <v>40</v>
      </c>
      <c r="N152" s="7" t="str">
        <f>IF(N24+P24&gt;0, N24+P24, "")</f>
        <v/>
      </c>
      <c r="O152" s="7" t="str">
        <f>IFERROR(O24+(O24/N24)*P24, "")</f>
        <v/>
      </c>
      <c r="P152" s="7"/>
      <c r="Q152" s="8" t="e">
        <f>Q24</f>
        <v>#DIV/0!</v>
      </c>
      <c r="S152" s="6" t="s">
        <v>40</v>
      </c>
      <c r="T152" s="200" t="str">
        <f>IF(T24+V24&gt;0, T24+V24, "")</f>
        <v/>
      </c>
      <c r="U152" s="7" t="str">
        <f>IFERROR(U24+(U24/T24)*V24, "")</f>
        <v/>
      </c>
      <c r="V152" s="7"/>
      <c r="W152" s="8" t="e">
        <f>W24</f>
        <v>#DIV/0!</v>
      </c>
      <c r="Y152" s="6" t="s">
        <v>40</v>
      </c>
      <c r="Z152" s="7" t="str">
        <f>IF(Z24+AB24&gt;0, Z24+AB24, "")</f>
        <v/>
      </c>
      <c r="AA152" s="7" t="str">
        <f>IFERROR(AA24+(AA24/Z24)*AB24, "")</f>
        <v/>
      </c>
      <c r="AB152" s="7"/>
      <c r="AC152" s="8" t="e">
        <f>AC24</f>
        <v>#DIV/0!</v>
      </c>
    </row>
    <row r="153" spans="1:29">
      <c r="A153" s="6" t="s">
        <v>41</v>
      </c>
      <c r="B153" s="7">
        <f>IF(B25+D25&gt;0, B25+D25, "")</f>
        <v>2413.27</v>
      </c>
      <c r="C153" s="7">
        <f>IFERROR(C25+(C25/B25)*D25, "")</f>
        <v>0</v>
      </c>
      <c r="D153" s="7"/>
      <c r="E153" s="8">
        <f>E25</f>
        <v>0</v>
      </c>
      <c r="G153" s="6" t="s">
        <v>41</v>
      </c>
      <c r="H153" s="7">
        <f>IF(H25+J25&gt;0, H25+J25, "")</f>
        <v>2521.09</v>
      </c>
      <c r="I153" s="7">
        <f>IFERROR(I25+(I25/H25)*J25, "")</f>
        <v>0</v>
      </c>
      <c r="J153" s="7"/>
      <c r="K153" s="8">
        <f>K25</f>
        <v>0</v>
      </c>
      <c r="M153" s="6" t="s">
        <v>41</v>
      </c>
      <c r="N153" s="7" t="str">
        <f>IF(N25+P25&gt;0, N25+P25, "")</f>
        <v/>
      </c>
      <c r="O153" s="7" t="str">
        <f>IFERROR(O25+(O25/N25)*P25, "")</f>
        <v/>
      </c>
      <c r="P153" s="7"/>
      <c r="Q153" s="8" t="e">
        <f>Q25</f>
        <v>#DIV/0!</v>
      </c>
      <c r="S153" s="6" t="s">
        <v>41</v>
      </c>
      <c r="T153" s="200" t="str">
        <f>IF(T25+V25&gt;0, T25+V25, "")</f>
        <v/>
      </c>
      <c r="U153" s="7" t="str">
        <f>IFERROR(U25+(U25/T25)*V25, "")</f>
        <v/>
      </c>
      <c r="V153" s="7"/>
      <c r="W153" s="8" t="e">
        <f>W25</f>
        <v>#DIV/0!</v>
      </c>
      <c r="Y153" s="6" t="s">
        <v>41</v>
      </c>
      <c r="Z153" s="7" t="str">
        <f>IF(Z25+AB25&gt;0, Z25+AB25, "")</f>
        <v/>
      </c>
      <c r="AA153" s="7" t="str">
        <f>IFERROR(AA25+(AA25/Z25)*AB25, "")</f>
        <v/>
      </c>
      <c r="AB153" s="7"/>
      <c r="AC153" s="8" t="e">
        <f>AC25</f>
        <v>#DIV/0!</v>
      </c>
    </row>
    <row r="154" spans="1:29">
      <c r="A154" s="6" t="s">
        <v>58</v>
      </c>
      <c r="B154" s="7"/>
      <c r="C154" s="7"/>
      <c r="D154" s="7"/>
      <c r="E154" s="8">
        <f>E29</f>
        <v>0</v>
      </c>
      <c r="G154" s="6" t="s">
        <v>58</v>
      </c>
      <c r="H154" s="7"/>
      <c r="I154" s="7"/>
      <c r="J154" s="7"/>
      <c r="K154" s="8">
        <f>K29</f>
        <v>0</v>
      </c>
      <c r="M154" s="6" t="s">
        <v>58</v>
      </c>
      <c r="N154" s="7"/>
      <c r="O154" s="7"/>
      <c r="P154" s="7"/>
      <c r="Q154" s="8" t="e">
        <f>Q29</f>
        <v>#DIV/0!</v>
      </c>
      <c r="S154" s="6" t="s">
        <v>58</v>
      </c>
      <c r="T154" s="200"/>
      <c r="U154" s="7"/>
      <c r="V154" s="7"/>
      <c r="W154" s="8" t="e">
        <f>W29</f>
        <v>#DIV/0!</v>
      </c>
      <c r="Y154" s="6" t="s">
        <v>58</v>
      </c>
      <c r="Z154" s="7"/>
      <c r="AA154" s="7"/>
      <c r="AB154" s="7"/>
      <c r="AC154" s="8" t="e">
        <f>AC29</f>
        <v>#DIV/0!</v>
      </c>
    </row>
    <row r="155" spans="1:29">
      <c r="A155" s="6" t="s">
        <v>42</v>
      </c>
      <c r="B155" s="7">
        <f>IF(B30+D30&gt;0, B30+D30, "")</f>
        <v>4779.487752</v>
      </c>
      <c r="C155" s="7">
        <f>IFERROR(C30+(C30/B30)*D30, "")</f>
        <v>0</v>
      </c>
      <c r="D155" s="7"/>
      <c r="E155" s="8">
        <f>E30</f>
        <v>0</v>
      </c>
      <c r="G155" s="6" t="s">
        <v>42</v>
      </c>
      <c r="H155" s="7">
        <f>IF(H30+J30&gt;0, H30+J30, "")</f>
        <v>4621.6088879999998</v>
      </c>
      <c r="I155" s="7">
        <f>IFERROR(I30+(I30/H30)*J30, "")</f>
        <v>0</v>
      </c>
      <c r="J155" s="7"/>
      <c r="K155" s="8">
        <f>K30</f>
        <v>0</v>
      </c>
      <c r="M155" s="6" t="s">
        <v>42</v>
      </c>
      <c r="N155" s="7" t="str">
        <f>IF(N30+P30&gt;0, N30+P30, "")</f>
        <v/>
      </c>
      <c r="O155" s="7" t="str">
        <f>IFERROR(O30+(O30/N30)*P30, "")</f>
        <v/>
      </c>
      <c r="P155" s="7"/>
      <c r="Q155" s="8" t="e">
        <f>Q30</f>
        <v>#DIV/0!</v>
      </c>
      <c r="S155" s="6" t="s">
        <v>42</v>
      </c>
      <c r="T155" s="200" t="str">
        <f>IF(T30+V30&gt;0, T30+V30, "")</f>
        <v/>
      </c>
      <c r="U155" s="7" t="str">
        <f>IFERROR(U30+(U30/T30)*V30, "")</f>
        <v/>
      </c>
      <c r="V155" s="7"/>
      <c r="W155" s="8" t="e">
        <f>W30</f>
        <v>#DIV/0!</v>
      </c>
      <c r="Y155" s="6" t="s">
        <v>42</v>
      </c>
      <c r="Z155" s="7" t="str">
        <f>IF(Z30+AB30&gt;0, Z30+AB30, "")</f>
        <v/>
      </c>
      <c r="AA155" s="7" t="str">
        <f>IFERROR(AA30+(AA30/Z30)*AB30, "")</f>
        <v/>
      </c>
      <c r="AB155" s="7"/>
      <c r="AC155" s="8" t="e">
        <f>AC30</f>
        <v>#DIV/0!</v>
      </c>
    </row>
    <row r="156" spans="1:29">
      <c r="A156" s="6" t="s">
        <v>11</v>
      </c>
      <c r="B156" s="7">
        <f>IF(B31+D31&gt;0, B31+D31, "")</f>
        <v>0.61</v>
      </c>
      <c r="C156" s="7">
        <f>IFERROR(C31+(C31/B31)*D31, "")</f>
        <v>0</v>
      </c>
      <c r="D156" s="7"/>
      <c r="E156" s="8">
        <f>E31</f>
        <v>0</v>
      </c>
      <c r="G156" s="6" t="s">
        <v>11</v>
      </c>
      <c r="H156" s="7">
        <f>IF(H31+J31&gt;0, H31+J31, "")</f>
        <v>0.61</v>
      </c>
      <c r="I156" s="7">
        <f>IFERROR(I31+(I31/H31)*J31, "")</f>
        <v>0</v>
      </c>
      <c r="J156" s="7"/>
      <c r="K156" s="8">
        <f>K31</f>
        <v>0</v>
      </c>
      <c r="M156" s="6" t="s">
        <v>11</v>
      </c>
      <c r="N156" s="7" t="str">
        <f>IF(N31+P31&gt;0, N31+P31, "")</f>
        <v/>
      </c>
      <c r="O156" s="7" t="str">
        <f>IFERROR(O31+(O31/N31)*P31, "")</f>
        <v/>
      </c>
      <c r="P156" s="7"/>
      <c r="Q156" s="8" t="e">
        <f>Q31</f>
        <v>#DIV/0!</v>
      </c>
      <c r="S156" s="6" t="s">
        <v>11</v>
      </c>
      <c r="T156" s="200" t="str">
        <f>IF(T31+V31&gt;0, T31+V31, "")</f>
        <v/>
      </c>
      <c r="U156" s="7" t="str">
        <f>IFERROR(U31+(U31/T31)*V31, "")</f>
        <v/>
      </c>
      <c r="V156" s="7"/>
      <c r="W156" s="8" t="e">
        <f>W31</f>
        <v>#DIV/0!</v>
      </c>
      <c r="Y156" s="6" t="s">
        <v>11</v>
      </c>
      <c r="Z156" s="7" t="str">
        <f>IF(Z31+AB31&gt;0, Z31+AB31, "")</f>
        <v/>
      </c>
      <c r="AA156" s="7" t="str">
        <f>IFERROR(AA31+(AA31/Z31)*AB31, "")</f>
        <v/>
      </c>
      <c r="AB156" s="7"/>
      <c r="AC156" s="8" t="e">
        <f>AC31</f>
        <v>#DIV/0!</v>
      </c>
    </row>
    <row r="157" spans="1:29">
      <c r="A157" s="6" t="s">
        <v>13</v>
      </c>
      <c r="B157" s="7">
        <f>IF(B32+D32&gt;0, B32+D32, "")</f>
        <v>192.94</v>
      </c>
      <c r="C157" s="7">
        <f>IFERROR(C32+(C32/B32)*D32, "")</f>
        <v>0</v>
      </c>
      <c r="D157" s="7"/>
      <c r="E157" s="8">
        <f>E32</f>
        <v>0</v>
      </c>
      <c r="G157" s="6" t="s">
        <v>13</v>
      </c>
      <c r="H157" s="7">
        <f>IF(H32+J32&gt;0, H32+J32, "")</f>
        <v>166.28</v>
      </c>
      <c r="I157" s="7">
        <f>IFERROR(I32+(I32/H32)*J32, "")</f>
        <v>0</v>
      </c>
      <c r="J157" s="7"/>
      <c r="K157" s="8">
        <f>K32</f>
        <v>0</v>
      </c>
      <c r="M157" s="6" t="s">
        <v>13</v>
      </c>
      <c r="N157" s="7" t="str">
        <f>IF(N32+P32&gt;0, N32+P32, "")</f>
        <v/>
      </c>
      <c r="O157" s="7" t="str">
        <f>IFERROR(O32+(O32/N32)*P32, "")</f>
        <v/>
      </c>
      <c r="P157" s="7"/>
      <c r="Q157" s="8" t="e">
        <f>Q32</f>
        <v>#DIV/0!</v>
      </c>
      <c r="S157" s="6" t="s">
        <v>13</v>
      </c>
      <c r="T157" s="200" t="str">
        <f>IF(T32+V32&gt;0, T32+V32, "")</f>
        <v/>
      </c>
      <c r="U157" s="7" t="str">
        <f>IFERROR(U32+(U32/T32)*V32, "")</f>
        <v/>
      </c>
      <c r="V157" s="7"/>
      <c r="W157" s="8" t="e">
        <f>W32</f>
        <v>#DIV/0!</v>
      </c>
      <c r="Y157" s="6" t="s">
        <v>13</v>
      </c>
      <c r="Z157" s="7" t="str">
        <f>IF(Z32+AB32&gt;0, Z32+AB32, "")</f>
        <v/>
      </c>
      <c r="AA157" s="7" t="str">
        <f>IFERROR(AA32+(AA32/Z32)*AB32, "")</f>
        <v/>
      </c>
      <c r="AB157" s="7"/>
      <c r="AC157" s="8" t="e">
        <f>AC32</f>
        <v>#DIV/0!</v>
      </c>
    </row>
    <row r="158" spans="1:29">
      <c r="A158" s="6" t="s">
        <v>57</v>
      </c>
      <c r="B158" s="7"/>
      <c r="C158" s="7"/>
      <c r="D158" s="7"/>
      <c r="E158" s="8">
        <f>E34</f>
        <v>0</v>
      </c>
      <c r="G158" s="6" t="s">
        <v>57</v>
      </c>
      <c r="H158" s="7"/>
      <c r="I158" s="7"/>
      <c r="J158" s="7"/>
      <c r="K158" s="8">
        <f>K34</f>
        <v>0</v>
      </c>
      <c r="M158" s="6" t="s">
        <v>57</v>
      </c>
      <c r="N158" s="7"/>
      <c r="O158" s="7"/>
      <c r="P158" s="7"/>
      <c r="Q158" s="8" t="e">
        <f>Q34</f>
        <v>#DIV/0!</v>
      </c>
      <c r="S158" s="6" t="s">
        <v>57</v>
      </c>
      <c r="T158" s="200"/>
      <c r="U158" s="7"/>
      <c r="V158" s="7"/>
      <c r="W158" s="8" t="e">
        <f>W34</f>
        <v>#DIV/0!</v>
      </c>
      <c r="Y158" s="6" t="s">
        <v>57</v>
      </c>
      <c r="Z158" s="7"/>
      <c r="AA158" s="7"/>
      <c r="AB158" s="7"/>
      <c r="AC158" s="8" t="e">
        <f>AC34</f>
        <v>#DIV/0!</v>
      </c>
    </row>
    <row r="159" spans="1:29">
      <c r="A159" s="6" t="s">
        <v>56</v>
      </c>
      <c r="B159" s="7"/>
      <c r="C159" s="7"/>
      <c r="D159" s="7"/>
      <c r="E159" s="8">
        <f>E35</f>
        <v>0</v>
      </c>
      <c r="G159" s="6" t="s">
        <v>56</v>
      </c>
      <c r="H159" s="7"/>
      <c r="I159" s="7"/>
      <c r="J159" s="7"/>
      <c r="K159" s="8">
        <f>K35</f>
        <v>0</v>
      </c>
      <c r="M159" s="6" t="s">
        <v>56</v>
      </c>
      <c r="N159" s="7"/>
      <c r="O159" s="7"/>
      <c r="P159" s="7"/>
      <c r="Q159" s="8" t="e">
        <f>Q35</f>
        <v>#DIV/0!</v>
      </c>
      <c r="S159" s="6" t="s">
        <v>56</v>
      </c>
      <c r="T159" s="200"/>
      <c r="U159" s="7"/>
      <c r="V159" s="7"/>
      <c r="W159" s="8" t="e">
        <f>W35</f>
        <v>#DIV/0!</v>
      </c>
      <c r="Y159" s="6" t="s">
        <v>56</v>
      </c>
      <c r="Z159" s="7"/>
      <c r="AA159" s="7"/>
      <c r="AB159" s="7"/>
      <c r="AC159" s="8" t="e">
        <f>AC35</f>
        <v>#DIV/0!</v>
      </c>
    </row>
    <row r="160" spans="1:29">
      <c r="A160" s="6" t="s">
        <v>43</v>
      </c>
      <c r="B160" s="7">
        <f>IF(B36+D36&gt;0, B36+D36, "")</f>
        <v>4.2699999999999996</v>
      </c>
      <c r="C160" s="7">
        <f>IFERROR(C36+(C36/B36)*D36, "")</f>
        <v>0</v>
      </c>
      <c r="D160" s="7"/>
      <c r="E160" s="8">
        <f>E36</f>
        <v>0</v>
      </c>
      <c r="G160" s="6" t="s">
        <v>43</v>
      </c>
      <c r="H160" s="7">
        <f>IF(H36+J36&gt;0, H36+J36, "")</f>
        <v>0.61</v>
      </c>
      <c r="I160" s="7">
        <f>IFERROR(I36+(I36/H36)*J36, "")</f>
        <v>0</v>
      </c>
      <c r="J160" s="7"/>
      <c r="K160" s="8">
        <f>K36</f>
        <v>0</v>
      </c>
      <c r="M160" s="6" t="s">
        <v>43</v>
      </c>
      <c r="N160" s="7" t="str">
        <f>IF(N36+P36&gt;0, N36+P36, "")</f>
        <v/>
      </c>
      <c r="O160" s="7" t="str">
        <f>IFERROR(O36+(O36/N36)*P36, "")</f>
        <v/>
      </c>
      <c r="P160" s="7"/>
      <c r="Q160" s="8" t="e">
        <f>Q36</f>
        <v>#DIV/0!</v>
      </c>
      <c r="S160" s="6" t="s">
        <v>43</v>
      </c>
      <c r="T160" s="200" t="str">
        <f>IF(T36+V36&gt;0, T36+V36, "")</f>
        <v/>
      </c>
      <c r="U160" s="7" t="str">
        <f>IFERROR(U36+(U36/T36)*V36, "")</f>
        <v/>
      </c>
      <c r="V160" s="7"/>
      <c r="W160" s="8" t="e">
        <f>W36</f>
        <v>#DIV/0!</v>
      </c>
      <c r="Y160" s="6" t="s">
        <v>43</v>
      </c>
      <c r="Z160" s="7" t="str">
        <f>IF(Z36+AB36&gt;0, Z36+AB36, "")</f>
        <v/>
      </c>
      <c r="AA160" s="7" t="str">
        <f>IFERROR(AA36+(AA36/Z36)*AB36, "")</f>
        <v/>
      </c>
      <c r="AB160" s="7"/>
      <c r="AC160" s="8" t="e">
        <f>AC36</f>
        <v>#DIV/0!</v>
      </c>
    </row>
    <row r="161" spans="1:29">
      <c r="A161" s="6" t="s">
        <v>55</v>
      </c>
      <c r="B161" s="7"/>
      <c r="C161" s="7"/>
      <c r="D161" s="7"/>
      <c r="E161" s="8" t="e">
        <f>E39</f>
        <v>#DIV/0!</v>
      </c>
      <c r="G161" s="6" t="s">
        <v>55</v>
      </c>
      <c r="H161" s="7"/>
      <c r="I161" s="7"/>
      <c r="J161" s="7"/>
      <c r="K161" s="8" t="e">
        <f>K39</f>
        <v>#DIV/0!</v>
      </c>
      <c r="M161" s="6" t="s">
        <v>55</v>
      </c>
      <c r="N161" s="7"/>
      <c r="O161" s="7"/>
      <c r="P161" s="7"/>
      <c r="Q161" s="8" t="e">
        <f>Q39</f>
        <v>#DIV/0!</v>
      </c>
      <c r="S161" s="6" t="s">
        <v>55</v>
      </c>
      <c r="T161" s="200"/>
      <c r="U161" s="7"/>
      <c r="V161" s="7"/>
      <c r="W161" s="8" t="e">
        <f>W39</f>
        <v>#DIV/0!</v>
      </c>
      <c r="Y161" s="6" t="s">
        <v>55</v>
      </c>
      <c r="Z161" s="7"/>
      <c r="AA161" s="7"/>
      <c r="AB161" s="7"/>
      <c r="AC161" s="8" t="e">
        <f>AC39</f>
        <v>#DIV/0!</v>
      </c>
    </row>
    <row r="162" spans="1:29">
      <c r="A162" s="6" t="s">
        <v>73</v>
      </c>
      <c r="B162" s="7">
        <f>IF(B40+D40&gt;0, B40+D40, "")</f>
        <v>29412.364175999999</v>
      </c>
      <c r="C162" s="7">
        <f>IFERROR(C40+(C40/B40)*D40, "")</f>
        <v>0</v>
      </c>
      <c r="D162" s="7"/>
      <c r="E162" s="8">
        <f>E40</f>
        <v>0</v>
      </c>
      <c r="G162" s="6" t="s">
        <v>73</v>
      </c>
      <c r="H162" s="7">
        <f>IF(H40+J40&gt;0, H40+J40, "")</f>
        <v>31844.711808</v>
      </c>
      <c r="I162" s="7">
        <f>IFERROR(I40+(I40/H40)*J40, "")</f>
        <v>0</v>
      </c>
      <c r="J162" s="7"/>
      <c r="K162" s="8">
        <f>K40</f>
        <v>0</v>
      </c>
      <c r="M162" s="6" t="s">
        <v>73</v>
      </c>
      <c r="N162" s="7" t="str">
        <f>IF(N40+P40&gt;0, N40+P40, "")</f>
        <v/>
      </c>
      <c r="O162" s="7" t="str">
        <f>IFERROR(O40+(O40/N40)*P40, "")</f>
        <v/>
      </c>
      <c r="P162" s="7"/>
      <c r="Q162" s="8" t="e">
        <f>Q40</f>
        <v>#DIV/0!</v>
      </c>
      <c r="S162" s="6" t="s">
        <v>73</v>
      </c>
      <c r="T162" s="200" t="str">
        <f>IF(T40+V40&gt;0, T40+V40, "")</f>
        <v/>
      </c>
      <c r="U162" s="7" t="str">
        <f>IFERROR(U40+(U40/T40)*V40, "")</f>
        <v/>
      </c>
      <c r="V162" s="7"/>
      <c r="W162" s="8" t="e">
        <f>W40</f>
        <v>#DIV/0!</v>
      </c>
      <c r="Y162" s="6" t="s">
        <v>73</v>
      </c>
      <c r="Z162" s="7" t="str">
        <f>IF(Z40+AB40&gt;0, Z40+AB40, "")</f>
        <v/>
      </c>
      <c r="AA162" s="7" t="str">
        <f>IFERROR(AA40+(AA40/Z40)*AB40, "")</f>
        <v/>
      </c>
      <c r="AB162" s="7"/>
      <c r="AC162" s="8" t="e">
        <f>AC40</f>
        <v>#DIV/0!</v>
      </c>
    </row>
    <row r="163" spans="1:29">
      <c r="A163" s="6" t="s">
        <v>44</v>
      </c>
      <c r="B163" s="7">
        <f>IF(B41+D41&gt;0, B41+D41, "")</f>
        <v>28.06</v>
      </c>
      <c r="C163" s="7">
        <f>IFERROR(C41+(C41/B41)*D41, "")</f>
        <v>0</v>
      </c>
      <c r="D163" s="7"/>
      <c r="E163" s="8">
        <f>E41</f>
        <v>0</v>
      </c>
      <c r="G163" s="6" t="s">
        <v>44</v>
      </c>
      <c r="H163" s="7">
        <f>IF(H41+J41&gt;0, H41+J41, "")</f>
        <v>13.42</v>
      </c>
      <c r="I163" s="7">
        <f>IFERROR(I41+(I41/H41)*J41, "")</f>
        <v>0</v>
      </c>
      <c r="J163" s="7"/>
      <c r="K163" s="8">
        <f>K41</f>
        <v>0</v>
      </c>
      <c r="M163" s="6" t="s">
        <v>44</v>
      </c>
      <c r="N163" s="7" t="str">
        <f>IF(N41+P41&gt;0, N41+P41, "")</f>
        <v/>
      </c>
      <c r="O163" s="7" t="str">
        <f>IFERROR(O41+(O41/N41)*P41, "")</f>
        <v/>
      </c>
      <c r="P163" s="7"/>
      <c r="Q163" s="8" t="e">
        <f>Q41</f>
        <v>#DIV/0!</v>
      </c>
      <c r="S163" s="6" t="s">
        <v>44</v>
      </c>
      <c r="T163" s="200" t="str">
        <f>IF(T41+V41&gt;0, T41+V41, "")</f>
        <v/>
      </c>
      <c r="U163" s="7" t="str">
        <f>IFERROR(U41+(U41/T41)*V41, "")</f>
        <v/>
      </c>
      <c r="V163" s="7"/>
      <c r="W163" s="8" t="e">
        <f>W41</f>
        <v>#DIV/0!</v>
      </c>
      <c r="Y163" s="6" t="s">
        <v>44</v>
      </c>
      <c r="Z163" s="7" t="str">
        <f>IF(Z41+AB41&gt;0, Z41+AB41, "")</f>
        <v/>
      </c>
      <c r="AA163" s="7" t="str">
        <f>IFERROR(AA41+(AA41/Z41)*AB41, "")</f>
        <v/>
      </c>
      <c r="AB163" s="7"/>
      <c r="AC163" s="8" t="e">
        <f>AC41</f>
        <v>#DIV/0!</v>
      </c>
    </row>
    <row r="164" spans="1:29">
      <c r="A164" s="6" t="s">
        <v>45</v>
      </c>
      <c r="B164" s="7">
        <f>IF(B42+D42&gt;0, B42+D42, "")</f>
        <v>1176.902376</v>
      </c>
      <c r="C164" s="7">
        <f>IFERROR(C42+(C42/B42)*D42, "")</f>
        <v>0</v>
      </c>
      <c r="D164" s="7"/>
      <c r="E164" s="8">
        <f>E42</f>
        <v>0</v>
      </c>
      <c r="G164" s="6" t="s">
        <v>45</v>
      </c>
      <c r="H164" s="7">
        <f>IF(H42+J42&gt;0, H42+J42, "")</f>
        <v>1174.1009280000001</v>
      </c>
      <c r="I164" s="7">
        <f>IFERROR(I42+(I42/H42)*J42, "")</f>
        <v>0</v>
      </c>
      <c r="J164" s="7"/>
      <c r="K164" s="8">
        <f>K42</f>
        <v>0</v>
      </c>
      <c r="M164" s="6" t="s">
        <v>45</v>
      </c>
      <c r="N164" s="7" t="str">
        <f>IF(N42+P42&gt;0, N42+P42, "")</f>
        <v/>
      </c>
      <c r="O164" s="7" t="str">
        <f>IFERROR(O42+(O42/N42)*P42, "")</f>
        <v/>
      </c>
      <c r="P164" s="7"/>
      <c r="Q164" s="8" t="e">
        <f>Q42</f>
        <v>#DIV/0!</v>
      </c>
      <c r="S164" s="6" t="s">
        <v>45</v>
      </c>
      <c r="T164" s="200" t="str">
        <f>IF(T42+V42&gt;0, T42+V42, "")</f>
        <v/>
      </c>
      <c r="U164" s="7" t="str">
        <f>IFERROR(U42+(U42/T42)*V42, "")</f>
        <v/>
      </c>
      <c r="V164" s="7"/>
      <c r="W164" s="8" t="e">
        <f>W42</f>
        <v>#DIV/0!</v>
      </c>
      <c r="Y164" s="6" t="s">
        <v>45</v>
      </c>
      <c r="Z164" s="7" t="str">
        <f>IF(Z42+AB42&gt;0, Z42+AB42, "")</f>
        <v/>
      </c>
      <c r="AA164" s="7" t="str">
        <f>IFERROR(AA42+(AA42/Z42)*AB42, "")</f>
        <v/>
      </c>
      <c r="AB164" s="7"/>
      <c r="AC164" s="8" t="e">
        <f>AC42</f>
        <v>#DIV/0!</v>
      </c>
    </row>
    <row r="165" spans="1:29">
      <c r="A165" s="6" t="s">
        <v>46</v>
      </c>
      <c r="B165" s="7">
        <f>IF(B44+D44&gt;0, B44+D44, "")</f>
        <v>188.24</v>
      </c>
      <c r="C165" s="7">
        <f>IFERROR(C44+(C44/B44)*D44, "")</f>
        <v>0</v>
      </c>
      <c r="D165" s="7"/>
      <c r="E165" s="8">
        <f>E44</f>
        <v>0</v>
      </c>
      <c r="G165" s="6" t="s">
        <v>46</v>
      </c>
      <c r="H165" s="7">
        <f>IF(H44+J44&gt;0, H44+J44, "")</f>
        <v>208.19</v>
      </c>
      <c r="I165" s="7">
        <f>IFERROR(I44+(I44/H44)*J44, "")</f>
        <v>0</v>
      </c>
      <c r="J165" s="7"/>
      <c r="K165" s="8">
        <f>K44</f>
        <v>0</v>
      </c>
      <c r="M165" s="6" t="s">
        <v>46</v>
      </c>
      <c r="N165" s="7" t="str">
        <f>IF(N44+P44&gt;0, N44+P44, "")</f>
        <v/>
      </c>
      <c r="O165" s="7" t="str">
        <f>IFERROR(O44+(O44/N44)*P44, "")</f>
        <v/>
      </c>
      <c r="P165" s="7"/>
      <c r="Q165" s="8" t="e">
        <f>Q44</f>
        <v>#DIV/0!</v>
      </c>
      <c r="S165" s="6" t="s">
        <v>46</v>
      </c>
      <c r="T165" s="200" t="str">
        <f>IF(T44+V44&gt;0, T44+V44, "")</f>
        <v/>
      </c>
      <c r="U165" s="7" t="str">
        <f>IFERROR(U44+(U44/T44)*V44, "")</f>
        <v/>
      </c>
      <c r="V165" s="7"/>
      <c r="W165" s="8" t="e">
        <f>W44</f>
        <v>#DIV/0!</v>
      </c>
      <c r="Y165" s="6" t="s">
        <v>46</v>
      </c>
      <c r="Z165" s="7" t="str">
        <f>IF(Z44+AB44&gt;0, Z44+AB44, "")</f>
        <v/>
      </c>
      <c r="AA165" s="7" t="str">
        <f>IFERROR(AA44+(AA44/Z44)*AB44, "")</f>
        <v/>
      </c>
      <c r="AB165" s="7"/>
      <c r="AC165" s="8" t="e">
        <f>AC44</f>
        <v>#DIV/0!</v>
      </c>
    </row>
    <row r="166" spans="1:29">
      <c r="A166" s="6" t="s">
        <v>54</v>
      </c>
      <c r="B166" s="7"/>
      <c r="C166" s="7"/>
      <c r="D166" s="7"/>
      <c r="E166" s="8">
        <f>E49</f>
        <v>0</v>
      </c>
      <c r="G166" s="6" t="s">
        <v>54</v>
      </c>
      <c r="H166" s="7"/>
      <c r="I166" s="7"/>
      <c r="J166" s="7"/>
      <c r="K166" s="8">
        <f>K49</f>
        <v>0</v>
      </c>
      <c r="M166" s="6" t="s">
        <v>54</v>
      </c>
      <c r="N166" s="7"/>
      <c r="O166" s="7"/>
      <c r="P166" s="7"/>
      <c r="Q166" s="8" t="e">
        <f>Q49</f>
        <v>#DIV/0!</v>
      </c>
      <c r="S166" s="6" t="s">
        <v>54</v>
      </c>
      <c r="T166" s="200"/>
      <c r="U166" s="7"/>
      <c r="V166" s="7"/>
      <c r="W166" s="8" t="e">
        <f>W49</f>
        <v>#DIV/0!</v>
      </c>
      <c r="Y166" s="6" t="s">
        <v>54</v>
      </c>
      <c r="Z166" s="7"/>
      <c r="AA166" s="7"/>
      <c r="AB166" s="7"/>
      <c r="AC166" s="8" t="e">
        <f>AC49</f>
        <v>#DIV/0!</v>
      </c>
    </row>
    <row r="167" spans="1:29">
      <c r="A167" s="6" t="s">
        <v>47</v>
      </c>
      <c r="B167" s="7">
        <f>IF(B50+D50&gt;0, B50+D50, "")</f>
        <v>879.274</v>
      </c>
      <c r="C167" s="7">
        <f>IFERROR(C50+(C50/B50)*D50, "")</f>
        <v>0</v>
      </c>
      <c r="D167" s="7"/>
      <c r="E167" s="8">
        <f>E50</f>
        <v>0</v>
      </c>
      <c r="G167" s="6" t="s">
        <v>47</v>
      </c>
      <c r="H167" s="7">
        <f>IF(H50+J50&gt;0, H50+J50, "")</f>
        <v>879.85799999999995</v>
      </c>
      <c r="I167" s="7">
        <f>IFERROR(I50+(I50/H50)*J50, "")</f>
        <v>0</v>
      </c>
      <c r="J167" s="7"/>
      <c r="K167" s="8">
        <f>K50</f>
        <v>0</v>
      </c>
      <c r="M167" s="6" t="s">
        <v>47</v>
      </c>
      <c r="N167" s="7" t="str">
        <f>IF(N50+P50&gt;0, N50+P50, "")</f>
        <v/>
      </c>
      <c r="O167" s="7" t="str">
        <f>IFERROR(O50+(O50/N50)*P50, "")</f>
        <v/>
      </c>
      <c r="P167" s="7"/>
      <c r="Q167" s="8" t="e">
        <f>Q50</f>
        <v>#DIV/0!</v>
      </c>
      <c r="S167" s="6" t="s">
        <v>47</v>
      </c>
      <c r="T167" s="200" t="str">
        <f>IF(T50+V50&gt;0, T50+V50, "")</f>
        <v/>
      </c>
      <c r="U167" s="7" t="str">
        <f>IFERROR(U50+(U50/T50)*V50, "")</f>
        <v/>
      </c>
      <c r="V167" s="7"/>
      <c r="W167" s="8" t="e">
        <f>W50</f>
        <v>#DIV/0!</v>
      </c>
      <c r="Y167" s="6" t="s">
        <v>47</v>
      </c>
      <c r="Z167" s="7" t="str">
        <f>IF(Z50+AB50&gt;0, Z50+AB50, "")</f>
        <v/>
      </c>
      <c r="AA167" s="7" t="str">
        <f>IFERROR(AA50+(AA50/Z50)*AB50, "")</f>
        <v/>
      </c>
      <c r="AB167" s="7"/>
      <c r="AC167" s="8" t="e">
        <f>AC50</f>
        <v>#DIV/0!</v>
      </c>
    </row>
    <row r="168" spans="1:29">
      <c r="A168" s="6" t="s">
        <v>53</v>
      </c>
      <c r="B168" s="7"/>
      <c r="C168" s="7"/>
      <c r="D168" s="7"/>
      <c r="E168" s="8">
        <f>E51</f>
        <v>0</v>
      </c>
      <c r="G168" s="6" t="s">
        <v>53</v>
      </c>
      <c r="H168" s="7"/>
      <c r="I168" s="7"/>
      <c r="J168" s="7"/>
      <c r="K168" s="8">
        <f>K51</f>
        <v>0</v>
      </c>
      <c r="M168" s="6" t="s">
        <v>53</v>
      </c>
      <c r="N168" s="7"/>
      <c r="O168" s="7"/>
      <c r="P168" s="7"/>
      <c r="Q168" s="8" t="e">
        <f>Q51</f>
        <v>#DIV/0!</v>
      </c>
      <c r="S168" s="6" t="s">
        <v>53</v>
      </c>
      <c r="T168" s="200"/>
      <c r="U168" s="7"/>
      <c r="V168" s="7"/>
      <c r="W168" s="8" t="e">
        <f>W51</f>
        <v>#DIV/0!</v>
      </c>
      <c r="Y168" s="6" t="s">
        <v>53</v>
      </c>
      <c r="Z168" s="7"/>
      <c r="AA168" s="7"/>
      <c r="AB168" s="7"/>
      <c r="AC168" s="8" t="e">
        <f>AC51</f>
        <v>#DIV/0!</v>
      </c>
    </row>
    <row r="169" spans="1:29">
      <c r="A169" s="6" t="s">
        <v>52</v>
      </c>
      <c r="B169" s="7"/>
      <c r="C169" s="7"/>
      <c r="D169" s="7"/>
      <c r="E169" s="8">
        <f>E53</f>
        <v>0</v>
      </c>
      <c r="G169" s="6" t="s">
        <v>52</v>
      </c>
      <c r="H169" s="7"/>
      <c r="I169" s="7"/>
      <c r="J169" s="7"/>
      <c r="K169" s="8">
        <f>K53</f>
        <v>0</v>
      </c>
      <c r="M169" s="6" t="s">
        <v>52</v>
      </c>
      <c r="N169" s="7"/>
      <c r="O169" s="7"/>
      <c r="P169" s="7"/>
      <c r="Q169" s="8" t="e">
        <f>Q53</f>
        <v>#DIV/0!</v>
      </c>
      <c r="S169" s="6" t="s">
        <v>52</v>
      </c>
      <c r="T169" s="200"/>
      <c r="U169" s="7"/>
      <c r="V169" s="7"/>
      <c r="W169" s="8" t="e">
        <f>W53</f>
        <v>#DIV/0!</v>
      </c>
      <c r="Y169" s="6" t="s">
        <v>52</v>
      </c>
      <c r="Z169" s="7"/>
      <c r="AA169" s="7"/>
      <c r="AB169" s="7"/>
      <c r="AC169" s="8" t="e">
        <f>AC53</f>
        <v>#DIV/0!</v>
      </c>
    </row>
    <row r="170" spans="1:29">
      <c r="A170" s="6" t="s">
        <v>90</v>
      </c>
      <c r="B170" s="7"/>
      <c r="C170" s="7"/>
      <c r="D170" s="7"/>
      <c r="E170" s="8">
        <f>E54</f>
        <v>0</v>
      </c>
      <c r="G170" s="6" t="s">
        <v>90</v>
      </c>
      <c r="H170" s="7"/>
      <c r="I170" s="7"/>
      <c r="J170" s="7"/>
      <c r="K170" s="8">
        <f>K54</f>
        <v>0</v>
      </c>
      <c r="M170" s="6" t="s">
        <v>90</v>
      </c>
      <c r="N170" s="7"/>
      <c r="O170" s="7"/>
      <c r="P170" s="7"/>
      <c r="Q170" s="8" t="e">
        <f>Q54</f>
        <v>#DIV/0!</v>
      </c>
      <c r="S170" s="6" t="s">
        <v>90</v>
      </c>
      <c r="T170" s="200"/>
      <c r="U170" s="7"/>
      <c r="V170" s="7"/>
      <c r="W170" s="8" t="e">
        <f>W54</f>
        <v>#DIV/0!</v>
      </c>
      <c r="Y170" s="6" t="s">
        <v>90</v>
      </c>
      <c r="Z170" s="7"/>
      <c r="AA170" s="7"/>
      <c r="AB170" s="7"/>
      <c r="AC170" s="8" t="e">
        <f>AC54</f>
        <v>#DIV/0!</v>
      </c>
    </row>
    <row r="171" spans="1:29">
      <c r="A171" s="6" t="s">
        <v>48</v>
      </c>
      <c r="B171" s="7">
        <f>IF(B55+D55&gt;0, B55+D55, "")</f>
        <v>293.52</v>
      </c>
      <c r="C171" s="7">
        <f>IFERROR(C55+(C55/B55)*D55, "")</f>
        <v>0</v>
      </c>
      <c r="D171" s="7"/>
      <c r="E171" s="8">
        <f>E55</f>
        <v>0</v>
      </c>
      <c r="G171" s="6" t="s">
        <v>48</v>
      </c>
      <c r="H171" s="7">
        <f>IF(H55+J55&gt;0, H55+J55, "")</f>
        <v>460.56</v>
      </c>
      <c r="I171" s="7">
        <f>IFERROR(I55+(I55/H55)*J55, "")</f>
        <v>0</v>
      </c>
      <c r="J171" s="7"/>
      <c r="K171" s="8">
        <f>K55</f>
        <v>0</v>
      </c>
      <c r="M171" s="6" t="s">
        <v>48</v>
      </c>
      <c r="N171" s="7" t="str">
        <f>IF(N55+P55&gt;0, N55+P55, "")</f>
        <v/>
      </c>
      <c r="O171" s="7" t="str">
        <f>IFERROR(O55+(O55/N55)*P55, "")</f>
        <v/>
      </c>
      <c r="P171" s="7"/>
      <c r="Q171" s="8" t="e">
        <f>Q55</f>
        <v>#DIV/0!</v>
      </c>
      <c r="S171" s="6" t="s">
        <v>48</v>
      </c>
      <c r="T171" s="200" t="str">
        <f>IF(T55+V55&gt;0, T55+V55, "")</f>
        <v/>
      </c>
      <c r="U171" s="7" t="str">
        <f>IFERROR(U55+(U55/T55)*V55, "")</f>
        <v/>
      </c>
      <c r="V171" s="7"/>
      <c r="W171" s="8" t="e">
        <f>W55</f>
        <v>#DIV/0!</v>
      </c>
      <c r="Y171" s="6" t="s">
        <v>48</v>
      </c>
      <c r="Z171" s="7" t="str">
        <f>IF(Z55+AB55&gt;0, Z55+AB55, "")</f>
        <v/>
      </c>
      <c r="AA171" s="7" t="str">
        <f>IFERROR(AA55+(AA55/Z55)*AB55, "")</f>
        <v/>
      </c>
      <c r="AB171" s="7"/>
      <c r="AC171" s="8" t="e">
        <f>AC55</f>
        <v>#DIV/0!</v>
      </c>
    </row>
    <row r="172" spans="1:29">
      <c r="A172" s="6" t="s">
        <v>49</v>
      </c>
      <c r="B172" s="7">
        <f>IF(B57+D57&gt;0, B57+D57, "")</f>
        <v>3.6</v>
      </c>
      <c r="C172" s="7">
        <f>IFERROR(C57+(C57/B57)*D57, "")</f>
        <v>0</v>
      </c>
      <c r="D172" s="7"/>
      <c r="E172" s="8">
        <f>E57</f>
        <v>0</v>
      </c>
      <c r="G172" s="6" t="s">
        <v>49</v>
      </c>
      <c r="H172" s="7">
        <f>IF(H57+J57&gt;0, H57+J57, "")</f>
        <v>7.2</v>
      </c>
      <c r="I172" s="7">
        <f>IFERROR(I57+(I57/H57)*J57, "")</f>
        <v>0</v>
      </c>
      <c r="J172" s="7"/>
      <c r="K172" s="8">
        <f>K57</f>
        <v>0</v>
      </c>
      <c r="M172" s="6" t="s">
        <v>49</v>
      </c>
      <c r="N172" s="7" t="str">
        <f>IF(N57+P57&gt;0, N57+P57, "")</f>
        <v/>
      </c>
      <c r="O172" s="7" t="str">
        <f>IFERROR(O57+(O57/N57)*P57, "")</f>
        <v/>
      </c>
      <c r="P172" s="7"/>
      <c r="Q172" s="8" t="e">
        <f>Q57</f>
        <v>#DIV/0!</v>
      </c>
      <c r="S172" s="6" t="s">
        <v>49</v>
      </c>
      <c r="T172" s="200" t="str">
        <f>IF(T57+V57&gt;0, T57+V57, "")</f>
        <v/>
      </c>
      <c r="U172" s="7" t="str">
        <f>IFERROR(U57+(U57/T57)*V57, "")</f>
        <v/>
      </c>
      <c r="V172" s="7"/>
      <c r="W172" s="8" t="e">
        <f>W57</f>
        <v>#DIV/0!</v>
      </c>
      <c r="Y172" s="6" t="s">
        <v>49</v>
      </c>
      <c r="Z172" s="7" t="str">
        <f>IF(Z57+AB57&gt;0, Z57+AB57, "")</f>
        <v/>
      </c>
      <c r="AA172" s="7" t="str">
        <f>IFERROR(AA57+(AA57/Z57)*AB57, "")</f>
        <v/>
      </c>
      <c r="AB172" s="7"/>
      <c r="AC172" s="8" t="e">
        <f>AC57</f>
        <v>#DIV/0!</v>
      </c>
    </row>
    <row r="173" spans="1:29">
      <c r="A173" s="6" t="s">
        <v>50</v>
      </c>
      <c r="B173" s="7">
        <f>IF(B59+D59&gt;0, B59+D59, "")</f>
        <v>264.78160800000001</v>
      </c>
      <c r="C173" s="7">
        <f>IFERROR(C59+(C59/B59)*D59, "")</f>
        <v>0</v>
      </c>
      <c r="D173" s="7"/>
      <c r="E173" s="8">
        <f>E59</f>
        <v>0</v>
      </c>
      <c r="G173" s="6" t="s">
        <v>50</v>
      </c>
      <c r="H173" s="7">
        <f>IF(H59+J59&gt;0, H59+J59, "")</f>
        <v>301.469064</v>
      </c>
      <c r="I173" s="7">
        <f>IFERROR(I59+(I59/H59)*J59, "")</f>
        <v>0</v>
      </c>
      <c r="J173" s="7"/>
      <c r="K173" s="8">
        <f>K59</f>
        <v>0</v>
      </c>
      <c r="M173" s="6" t="s">
        <v>50</v>
      </c>
      <c r="N173" s="7" t="str">
        <f>IF(N59+P59&gt;0, N59+P59, "")</f>
        <v/>
      </c>
      <c r="O173" s="7" t="str">
        <f>IFERROR(O59+(O59/N59)*P59, "")</f>
        <v/>
      </c>
      <c r="P173" s="7"/>
      <c r="Q173" s="8" t="e">
        <f>Q59</f>
        <v>#DIV/0!</v>
      </c>
      <c r="S173" s="6" t="s">
        <v>50</v>
      </c>
      <c r="T173" s="200" t="str">
        <f>IF(T59+V59&gt;0, T59+V59, "")</f>
        <v/>
      </c>
      <c r="U173" s="7" t="str">
        <f>IFERROR(U59+(U59/T59)*V59, "")</f>
        <v/>
      </c>
      <c r="V173" s="7"/>
      <c r="W173" s="8" t="e">
        <f>W59</f>
        <v>#DIV/0!</v>
      </c>
      <c r="Y173" s="6" t="s">
        <v>50</v>
      </c>
      <c r="Z173" s="7" t="str">
        <f>IF(Z59+AB59&gt;0, Z59+AB59, "")</f>
        <v/>
      </c>
      <c r="AA173" s="7" t="str">
        <f>IFERROR(AA59+(AA59/Z59)*AB59, "")</f>
        <v/>
      </c>
      <c r="AB173" s="7"/>
      <c r="AC173" s="8" t="e">
        <f>AC59</f>
        <v>#DIV/0!</v>
      </c>
    </row>
    <row r="174" spans="1:29">
      <c r="A174" s="6" t="s">
        <v>10</v>
      </c>
      <c r="B174" s="7">
        <f>IF(B62+D62&gt;0, B62+D62, "")</f>
        <v>25.42</v>
      </c>
      <c r="C174" s="7">
        <f>IFERROR(C62+(C62/B62)*D62, "")</f>
        <v>0</v>
      </c>
      <c r="D174" s="7"/>
      <c r="E174" s="8">
        <f>E62</f>
        <v>0</v>
      </c>
      <c r="G174" s="6" t="s">
        <v>10</v>
      </c>
      <c r="H174" s="7">
        <f>IF(H62+J62&gt;0, H62+J62, "")</f>
        <v>37.200000000000003</v>
      </c>
      <c r="I174" s="7">
        <f>IFERROR(I62+(I62/H62)*J62, "")</f>
        <v>0</v>
      </c>
      <c r="J174" s="7"/>
      <c r="K174" s="8">
        <f>K62</f>
        <v>0</v>
      </c>
      <c r="M174" s="6" t="s">
        <v>10</v>
      </c>
      <c r="N174" s="7" t="str">
        <f>IF(N62+P62&gt;0, N62+P62, "")</f>
        <v/>
      </c>
      <c r="O174" s="7" t="str">
        <f>IFERROR(O62+(O62/N62)*P62, "")</f>
        <v/>
      </c>
      <c r="P174" s="7"/>
      <c r="Q174" s="8" t="e">
        <f>Q62</f>
        <v>#DIV/0!</v>
      </c>
      <c r="S174" s="6" t="s">
        <v>10</v>
      </c>
      <c r="T174" s="200" t="str">
        <f>IF(T62+V62&gt;0, T62+V62, "")</f>
        <v/>
      </c>
      <c r="U174" s="7" t="str">
        <f>IFERROR(U62+(U62/T62)*V62, "")</f>
        <v/>
      </c>
      <c r="V174" s="7"/>
      <c r="W174" s="8" t="e">
        <f>W62</f>
        <v>#DIV/0!</v>
      </c>
      <c r="Y174" s="6" t="s">
        <v>10</v>
      </c>
      <c r="Z174" s="7" t="str">
        <f>IF(Z62+AB62&gt;0, Z62+AB62, "")</f>
        <v/>
      </c>
      <c r="AA174" s="7" t="str">
        <f>IFERROR(AA62+(AA62/Z62)*AB62, "")</f>
        <v/>
      </c>
      <c r="AB174" s="7"/>
      <c r="AC174" s="8" t="e">
        <f>AC62</f>
        <v>#DIV/0!</v>
      </c>
    </row>
    <row r="175" spans="1:29">
      <c r="A175" s="6" t="s">
        <v>51</v>
      </c>
      <c r="B175" s="7">
        <f>IF(B63+D63&gt;0, B63+D63, "")</f>
        <v>470.44</v>
      </c>
      <c r="C175" s="7">
        <f>IFERROR(C63+(C63/B63)*D63, "")</f>
        <v>0</v>
      </c>
      <c r="D175" s="7"/>
      <c r="E175" s="8">
        <f>E63</f>
        <v>0</v>
      </c>
      <c r="G175" s="6" t="s">
        <v>51</v>
      </c>
      <c r="H175" s="7">
        <f>IF(H63+J63&gt;0, H63+J63, "")</f>
        <v>522.52</v>
      </c>
      <c r="I175" s="7">
        <f>IFERROR(I63+(I63/H63)*J63, "")</f>
        <v>0</v>
      </c>
      <c r="J175" s="7"/>
      <c r="K175" s="8">
        <f>K63</f>
        <v>0</v>
      </c>
      <c r="M175" s="6" t="s">
        <v>51</v>
      </c>
      <c r="N175" s="7" t="str">
        <f>IF(N63+P63&gt;0, N63+P63, "")</f>
        <v/>
      </c>
      <c r="O175" s="7" t="str">
        <f>IFERROR(O63+(O63/N63)*P63, "")</f>
        <v/>
      </c>
      <c r="P175" s="7"/>
      <c r="Q175" s="8" t="e">
        <f>Q63</f>
        <v>#DIV/0!</v>
      </c>
      <c r="S175" s="6" t="s">
        <v>51</v>
      </c>
      <c r="T175" s="200" t="str">
        <f>IF(T63+V63&gt;0, T63+V63, "")</f>
        <v/>
      </c>
      <c r="U175" s="7" t="str">
        <f>IFERROR(U63+(U63/T63)*V63, "")</f>
        <v/>
      </c>
      <c r="V175" s="7"/>
      <c r="W175" s="8" t="e">
        <f>W63</f>
        <v>#DIV/0!</v>
      </c>
      <c r="Y175" s="6" t="s">
        <v>51</v>
      </c>
      <c r="Z175" s="7" t="str">
        <f>IF(Z63+AB63&gt;0, Z63+AB63, "")</f>
        <v/>
      </c>
      <c r="AA175" s="7" t="str">
        <f>IFERROR(AA63+(AA63/Z63)*AB63, "")</f>
        <v/>
      </c>
      <c r="AB175" s="7"/>
      <c r="AC175" s="8" t="e">
        <f>AC63</f>
        <v>#DIV/0!</v>
      </c>
    </row>
    <row r="176" spans="1:29">
      <c r="A176" s="14" t="s">
        <v>22</v>
      </c>
      <c r="B176" s="7">
        <f>IF(B114+D114&gt;0, B114+D114, "")</f>
        <v>838541.05582300003</v>
      </c>
      <c r="C176" s="7">
        <f>IFERROR(C114+(C114/B114)*D114, "")</f>
        <v>0</v>
      </c>
      <c r="D176" s="15"/>
      <c r="E176" s="8">
        <f t="shared" ref="E176:E183" si="24">E114</f>
        <v>0</v>
      </c>
      <c r="G176" s="14" t="s">
        <v>22</v>
      </c>
      <c r="H176" s="7">
        <f>IF(H114+J114&gt;0, H114+J114, "")</f>
        <v>816174.97953100014</v>
      </c>
      <c r="I176" s="7">
        <f>IFERROR(I114+(I114/H114)*J114, "")</f>
        <v>0</v>
      </c>
      <c r="J176" s="15"/>
      <c r="K176" s="8">
        <f t="shared" ref="K176:K183" si="25">K114</f>
        <v>0</v>
      </c>
      <c r="M176" s="14" t="s">
        <v>22</v>
      </c>
      <c r="N176" s="7" t="str">
        <f>IF(N114+P114&gt;0, N114+P114, "")</f>
        <v/>
      </c>
      <c r="O176" s="7" t="str">
        <f>IFERROR(O114+(O114/N114)*P114, "")</f>
        <v/>
      </c>
      <c r="P176" s="15"/>
      <c r="Q176" s="8">
        <f t="shared" ref="Q176:Q183" si="26">Q114</f>
        <v>0</v>
      </c>
      <c r="S176" s="14" t="s">
        <v>22</v>
      </c>
      <c r="T176" s="200" t="str">
        <f>IF(T114+V114&gt;0, T114+V114, "")</f>
        <v/>
      </c>
      <c r="U176" s="7" t="str">
        <f>IFERROR(U114+(U114/T114)*V114, "")</f>
        <v/>
      </c>
      <c r="V176" s="15"/>
      <c r="W176" s="8" t="e">
        <f t="shared" ref="W176:W183" si="27">W114</f>
        <v>#DIV/0!</v>
      </c>
      <c r="Y176" s="14" t="s">
        <v>22</v>
      </c>
      <c r="Z176" s="7" t="str">
        <f>IF(Z114+AB114&gt;0, Z114+AB114, "")</f>
        <v/>
      </c>
      <c r="AA176" s="7" t="str">
        <f>IFERROR(AA114+(AA114/Z114)*AB114, "")</f>
        <v/>
      </c>
      <c r="AB176" s="15"/>
      <c r="AC176" s="8">
        <f t="shared" ref="AC176:AC183" si="28">AC114</f>
        <v>0</v>
      </c>
    </row>
    <row r="177" spans="1:29">
      <c r="E177" s="10">
        <f t="shared" si="24"/>
        <v>0</v>
      </c>
      <c r="K177" s="10">
        <f t="shared" si="25"/>
        <v>0</v>
      </c>
      <c r="Q177" s="10">
        <f t="shared" si="26"/>
        <v>0</v>
      </c>
      <c r="W177" s="10">
        <f t="shared" si="27"/>
        <v>0</v>
      </c>
      <c r="AC177" s="10">
        <f t="shared" si="28"/>
        <v>0</v>
      </c>
    </row>
    <row r="178" spans="1:29">
      <c r="A178" s="16" t="s">
        <v>9</v>
      </c>
      <c r="B178" s="17">
        <f>B116+D116</f>
        <v>490239.294215</v>
      </c>
      <c r="C178" s="17">
        <f>IFERROR(C116+(C116/B116)*D116, 0)</f>
        <v>0</v>
      </c>
      <c r="D178" s="17"/>
      <c r="E178" s="18">
        <f t="shared" si="24"/>
        <v>0</v>
      </c>
      <c r="G178" s="16" t="s">
        <v>9</v>
      </c>
      <c r="H178" s="17">
        <f>H116+J116</f>
        <v>468166.737349</v>
      </c>
      <c r="I178" s="17">
        <f>IFERROR(I116+(I116/H116)*J116, 0)</f>
        <v>0</v>
      </c>
      <c r="J178" s="17"/>
      <c r="K178" s="18">
        <f t="shared" si="25"/>
        <v>0</v>
      </c>
      <c r="M178" s="16" t="s">
        <v>9</v>
      </c>
      <c r="N178" s="17">
        <f>N116+P116</f>
        <v>0</v>
      </c>
      <c r="O178" s="17">
        <f>IFERROR(O116+(O116/N116)*P116, 0)</f>
        <v>0</v>
      </c>
      <c r="P178" s="17"/>
      <c r="Q178" s="18">
        <f t="shared" si="26"/>
        <v>0</v>
      </c>
      <c r="S178" s="16" t="s">
        <v>9</v>
      </c>
      <c r="T178" s="196">
        <f>T116+V116</f>
        <v>0</v>
      </c>
      <c r="U178" s="17">
        <f>IFERROR(U116+(U116/T116)*V116, 0)</f>
        <v>0</v>
      </c>
      <c r="V178" s="17"/>
      <c r="W178" s="18">
        <f t="shared" si="27"/>
        <v>0</v>
      </c>
      <c r="Y178" s="16" t="s">
        <v>9</v>
      </c>
      <c r="Z178" s="17">
        <f>Z116+AB116</f>
        <v>0</v>
      </c>
      <c r="AA178" s="17">
        <f>IFERROR(AA116+(AA116/Z116)*AB116, 0)</f>
        <v>0</v>
      </c>
      <c r="AB178" s="17"/>
      <c r="AC178" s="18">
        <f t="shared" si="28"/>
        <v>0</v>
      </c>
    </row>
    <row r="179" spans="1:29">
      <c r="E179" s="10" t="str">
        <f t="shared" si="24"/>
        <v/>
      </c>
      <c r="K179" s="10" t="str">
        <f t="shared" si="25"/>
        <v/>
      </c>
      <c r="Q179" s="10" t="str">
        <f t="shared" si="26"/>
        <v/>
      </c>
      <c r="W179" s="10" t="str">
        <f t="shared" si="27"/>
        <v/>
      </c>
      <c r="AC179" s="10" t="str">
        <f t="shared" si="28"/>
        <v/>
      </c>
    </row>
    <row r="180" spans="1:29">
      <c r="A180" s="19" t="s">
        <v>23</v>
      </c>
      <c r="B180" s="20">
        <f t="shared" ref="B180:B187" si="29">B118+D118</f>
        <v>88590.202896000003</v>
      </c>
      <c r="C180" s="20">
        <f t="shared" ref="C180:C187" si="30">IFERROR(C118+(C118/B118)*D118, 0)</f>
        <v>0</v>
      </c>
      <c r="D180" s="20"/>
      <c r="E180" s="8">
        <f t="shared" si="24"/>
        <v>0</v>
      </c>
      <c r="G180" s="19" t="s">
        <v>23</v>
      </c>
      <c r="H180" s="20">
        <f t="shared" ref="H180:H187" si="31">H118+J118</f>
        <v>86246.171231999993</v>
      </c>
      <c r="I180" s="20">
        <f t="shared" ref="I180:I187" si="32">IFERROR(I118+(I118/H118)*J118, 0)</f>
        <v>0</v>
      </c>
      <c r="J180" s="20"/>
      <c r="K180" s="8">
        <f t="shared" si="25"/>
        <v>0</v>
      </c>
      <c r="M180" s="19" t="s">
        <v>23</v>
      </c>
      <c r="N180" s="20">
        <f t="shared" ref="N180:N187" si="33">N118+P118</f>
        <v>0</v>
      </c>
      <c r="O180" s="20">
        <f t="shared" ref="O180:O187" si="34">IFERROR(O118+(O118/N118)*P118, 0)</f>
        <v>0</v>
      </c>
      <c r="P180" s="20"/>
      <c r="Q180" s="8">
        <f t="shared" si="26"/>
        <v>0</v>
      </c>
      <c r="S180" s="19" t="s">
        <v>23</v>
      </c>
      <c r="T180" s="133">
        <f t="shared" ref="T180:T187" si="35">T118+V118</f>
        <v>0</v>
      </c>
      <c r="U180" s="20">
        <f t="shared" ref="U180:U187" si="36">IFERROR(U118+(U118/T118)*V118, 0)</f>
        <v>0</v>
      </c>
      <c r="V180" s="20"/>
      <c r="W180" s="8">
        <f t="shared" si="27"/>
        <v>0</v>
      </c>
      <c r="Y180" s="19" t="s">
        <v>23</v>
      </c>
      <c r="Z180" s="20">
        <f t="shared" ref="Z180:Z187" si="37">Z118+AB118</f>
        <v>0</v>
      </c>
      <c r="AA180" s="20">
        <f t="shared" ref="AA180:AA187" si="38">IFERROR(AA118+(AA118/Z118)*AB118, 0)</f>
        <v>0</v>
      </c>
      <c r="AB180" s="20"/>
      <c r="AC180" s="8">
        <f t="shared" si="28"/>
        <v>0</v>
      </c>
    </row>
    <row r="181" spans="1:29">
      <c r="A181" s="26" t="s">
        <v>93</v>
      </c>
      <c r="B181" s="20">
        <f t="shared" si="29"/>
        <v>31054.025495999998</v>
      </c>
      <c r="C181" s="20">
        <f t="shared" si="30"/>
        <v>0</v>
      </c>
      <c r="D181" s="20"/>
      <c r="E181" s="8">
        <f t="shared" si="24"/>
        <v>0</v>
      </c>
      <c r="G181" s="26" t="s">
        <v>93</v>
      </c>
      <c r="H181" s="20">
        <f t="shared" si="31"/>
        <v>31506.939048</v>
      </c>
      <c r="I181" s="20">
        <f t="shared" si="32"/>
        <v>0</v>
      </c>
      <c r="J181" s="20"/>
      <c r="K181" s="8">
        <f t="shared" si="25"/>
        <v>0</v>
      </c>
      <c r="M181" s="26" t="s">
        <v>93</v>
      </c>
      <c r="N181" s="20">
        <f t="shared" si="33"/>
        <v>0</v>
      </c>
      <c r="O181" s="20">
        <f t="shared" si="34"/>
        <v>0</v>
      </c>
      <c r="P181" s="20"/>
      <c r="Q181" s="8">
        <f t="shared" si="26"/>
        <v>0</v>
      </c>
      <c r="S181" s="26" t="s">
        <v>93</v>
      </c>
      <c r="T181" s="133">
        <f t="shared" si="35"/>
        <v>0</v>
      </c>
      <c r="U181" s="20">
        <f t="shared" si="36"/>
        <v>0</v>
      </c>
      <c r="V181" s="20"/>
      <c r="W181" s="8">
        <f t="shared" si="27"/>
        <v>0</v>
      </c>
      <c r="Y181" s="26" t="s">
        <v>93</v>
      </c>
      <c r="Z181" s="20">
        <f t="shared" si="37"/>
        <v>0</v>
      </c>
      <c r="AA181" s="20">
        <f t="shared" si="38"/>
        <v>0</v>
      </c>
      <c r="AB181" s="20"/>
      <c r="AC181" s="8">
        <f t="shared" si="28"/>
        <v>0</v>
      </c>
    </row>
    <row r="182" spans="1:29">
      <c r="A182" s="26" t="s">
        <v>87</v>
      </c>
      <c r="B182" s="20">
        <f t="shared" si="29"/>
        <v>43602.069263999998</v>
      </c>
      <c r="C182" s="20">
        <f t="shared" si="30"/>
        <v>0</v>
      </c>
      <c r="D182" s="20"/>
      <c r="E182" s="8">
        <f t="shared" si="24"/>
        <v>0</v>
      </c>
      <c r="G182" s="26" t="s">
        <v>87</v>
      </c>
      <c r="H182" s="20">
        <f t="shared" si="31"/>
        <v>45263.212799999994</v>
      </c>
      <c r="I182" s="20">
        <f t="shared" si="32"/>
        <v>0</v>
      </c>
      <c r="J182" s="20"/>
      <c r="K182" s="8">
        <f t="shared" si="25"/>
        <v>0</v>
      </c>
      <c r="M182" s="26" t="s">
        <v>87</v>
      </c>
      <c r="N182" s="20">
        <f t="shared" si="33"/>
        <v>0</v>
      </c>
      <c r="O182" s="20">
        <f t="shared" si="34"/>
        <v>0</v>
      </c>
      <c r="P182" s="20"/>
      <c r="Q182" s="8">
        <f t="shared" si="26"/>
        <v>0</v>
      </c>
      <c r="S182" s="26" t="s">
        <v>87</v>
      </c>
      <c r="T182" s="133">
        <f t="shared" si="35"/>
        <v>0</v>
      </c>
      <c r="U182" s="20">
        <f t="shared" si="36"/>
        <v>0</v>
      </c>
      <c r="V182" s="20"/>
      <c r="W182" s="8">
        <f t="shared" si="27"/>
        <v>0</v>
      </c>
      <c r="Y182" s="26" t="s">
        <v>87</v>
      </c>
      <c r="Z182" s="20">
        <f t="shared" si="37"/>
        <v>0</v>
      </c>
      <c r="AA182" s="20">
        <f t="shared" si="38"/>
        <v>0</v>
      </c>
      <c r="AB182" s="20"/>
      <c r="AC182" s="8">
        <f t="shared" si="28"/>
        <v>0</v>
      </c>
    </row>
    <row r="183" spans="1:29">
      <c r="A183" s="26" t="s">
        <v>63</v>
      </c>
      <c r="B183" s="20">
        <f t="shared" si="29"/>
        <v>29884.133136</v>
      </c>
      <c r="C183" s="20">
        <f t="shared" si="30"/>
        <v>0</v>
      </c>
      <c r="D183" s="20"/>
      <c r="E183" s="8">
        <f t="shared" si="24"/>
        <v>0</v>
      </c>
      <c r="G183" s="26" t="s">
        <v>63</v>
      </c>
      <c r="H183" s="20">
        <f t="shared" si="31"/>
        <v>29106.980759999999</v>
      </c>
      <c r="I183" s="20">
        <f t="shared" si="32"/>
        <v>0</v>
      </c>
      <c r="J183" s="20"/>
      <c r="K183" s="8">
        <f t="shared" si="25"/>
        <v>0</v>
      </c>
      <c r="M183" s="26" t="s">
        <v>63</v>
      </c>
      <c r="N183" s="20">
        <f t="shared" si="33"/>
        <v>0</v>
      </c>
      <c r="O183" s="20">
        <f t="shared" si="34"/>
        <v>0</v>
      </c>
      <c r="P183" s="20"/>
      <c r="Q183" s="8">
        <f t="shared" si="26"/>
        <v>0</v>
      </c>
      <c r="S183" s="26" t="s">
        <v>63</v>
      </c>
      <c r="T183" s="133">
        <f t="shared" si="35"/>
        <v>0</v>
      </c>
      <c r="U183" s="20">
        <f t="shared" si="36"/>
        <v>0</v>
      </c>
      <c r="V183" s="20"/>
      <c r="W183" s="8">
        <f t="shared" si="27"/>
        <v>0</v>
      </c>
      <c r="Y183" s="26" t="s">
        <v>63</v>
      </c>
      <c r="Z183" s="20">
        <f t="shared" si="37"/>
        <v>0</v>
      </c>
      <c r="AA183" s="20">
        <f t="shared" si="38"/>
        <v>0</v>
      </c>
      <c r="AB183" s="20"/>
      <c r="AC183" s="8">
        <f t="shared" si="28"/>
        <v>0</v>
      </c>
    </row>
    <row r="184" spans="1:29" ht="15" customHeight="1">
      <c r="A184" s="26" t="s">
        <v>97</v>
      </c>
      <c r="B184" s="20">
        <f t="shared" si="29"/>
        <v>9939.1921199999997</v>
      </c>
      <c r="C184" s="20">
        <f t="shared" si="30"/>
        <v>0</v>
      </c>
      <c r="D184" s="20"/>
      <c r="E184" s="8"/>
      <c r="G184" s="26" t="s">
        <v>97</v>
      </c>
      <c r="H184" s="20">
        <f t="shared" si="31"/>
        <v>10144.887479999999</v>
      </c>
      <c r="I184" s="20">
        <f t="shared" si="32"/>
        <v>0</v>
      </c>
      <c r="J184" s="20"/>
      <c r="K184" s="8"/>
      <c r="M184" s="26" t="s">
        <v>97</v>
      </c>
      <c r="N184" s="20">
        <f t="shared" si="33"/>
        <v>0</v>
      </c>
      <c r="O184" s="20">
        <f t="shared" si="34"/>
        <v>0</v>
      </c>
      <c r="P184" s="20"/>
      <c r="Q184" s="8"/>
      <c r="S184" s="26" t="s">
        <v>97</v>
      </c>
      <c r="T184" s="133">
        <f t="shared" si="35"/>
        <v>0</v>
      </c>
      <c r="U184" s="20">
        <f t="shared" si="36"/>
        <v>0</v>
      </c>
      <c r="V184" s="20"/>
      <c r="W184" s="8"/>
      <c r="Y184" s="26" t="s">
        <v>97</v>
      </c>
      <c r="Z184" s="20">
        <f t="shared" si="37"/>
        <v>0</v>
      </c>
      <c r="AA184" s="20">
        <f t="shared" si="38"/>
        <v>0</v>
      </c>
      <c r="AB184" s="20"/>
      <c r="AC184" s="8"/>
    </row>
    <row r="185" spans="1:29">
      <c r="A185" s="26" t="s">
        <v>64</v>
      </c>
      <c r="B185" s="20">
        <f t="shared" si="29"/>
        <v>5500.0611120000003</v>
      </c>
      <c r="C185" s="20">
        <f t="shared" si="30"/>
        <v>0</v>
      </c>
      <c r="D185" s="20"/>
      <c r="E185" s="8">
        <f>E123</f>
        <v>0</v>
      </c>
      <c r="G185" s="26" t="s">
        <v>64</v>
      </c>
      <c r="H185" s="20">
        <f t="shared" si="31"/>
        <v>5638.4321760000003</v>
      </c>
      <c r="I185" s="20">
        <f t="shared" si="32"/>
        <v>0</v>
      </c>
      <c r="J185" s="20"/>
      <c r="K185" s="8">
        <f>K123</f>
        <v>0</v>
      </c>
      <c r="M185" s="26" t="s">
        <v>64</v>
      </c>
      <c r="N185" s="20">
        <f t="shared" si="33"/>
        <v>0</v>
      </c>
      <c r="O185" s="20">
        <f t="shared" si="34"/>
        <v>0</v>
      </c>
      <c r="P185" s="20"/>
      <c r="Q185" s="8">
        <f>Q123</f>
        <v>0</v>
      </c>
      <c r="S185" s="26" t="s">
        <v>64</v>
      </c>
      <c r="T185" s="133">
        <f t="shared" si="35"/>
        <v>0</v>
      </c>
      <c r="U185" s="20">
        <f t="shared" si="36"/>
        <v>0</v>
      </c>
      <c r="V185" s="20"/>
      <c r="W185" s="8">
        <f>W123</f>
        <v>0</v>
      </c>
      <c r="Y185" s="26" t="s">
        <v>64</v>
      </c>
      <c r="Z185" s="20">
        <f t="shared" si="37"/>
        <v>0</v>
      </c>
      <c r="AA185" s="20">
        <f t="shared" si="38"/>
        <v>0</v>
      </c>
      <c r="AB185" s="20"/>
      <c r="AC185" s="8">
        <f>AC123</f>
        <v>0</v>
      </c>
    </row>
    <row r="186" spans="1:29">
      <c r="A186" s="26" t="s">
        <v>89</v>
      </c>
      <c r="B186" s="20">
        <f t="shared" si="29"/>
        <v>5382.6177600000001</v>
      </c>
      <c r="C186" s="20">
        <f t="shared" si="30"/>
        <v>0</v>
      </c>
      <c r="D186" s="20"/>
      <c r="E186" s="8"/>
      <c r="G186" s="26" t="s">
        <v>89</v>
      </c>
      <c r="H186" s="20">
        <f t="shared" si="31"/>
        <v>4487.7022319999996</v>
      </c>
      <c r="I186" s="20">
        <f t="shared" si="32"/>
        <v>0</v>
      </c>
      <c r="J186" s="20"/>
      <c r="K186" s="8"/>
      <c r="M186" s="26" t="s">
        <v>89</v>
      </c>
      <c r="N186" s="20">
        <f t="shared" si="33"/>
        <v>0</v>
      </c>
      <c r="O186" s="20">
        <f t="shared" si="34"/>
        <v>0</v>
      </c>
      <c r="P186" s="20"/>
      <c r="Q186" s="8"/>
      <c r="S186" s="26" t="s">
        <v>89</v>
      </c>
      <c r="T186" s="133">
        <f t="shared" si="35"/>
        <v>0</v>
      </c>
      <c r="U186" s="20">
        <f t="shared" si="36"/>
        <v>0</v>
      </c>
      <c r="V186" s="20"/>
      <c r="W186" s="8"/>
      <c r="Y186" s="26" t="s">
        <v>89</v>
      </c>
      <c r="Z186" s="20">
        <f t="shared" si="37"/>
        <v>0</v>
      </c>
      <c r="AA186" s="20">
        <f t="shared" si="38"/>
        <v>0</v>
      </c>
      <c r="AB186" s="20"/>
      <c r="AC186" s="8"/>
    </row>
    <row r="187" spans="1:29">
      <c r="A187" s="16" t="s">
        <v>24</v>
      </c>
      <c r="B187" s="17">
        <f t="shared" si="29"/>
        <v>213952.30178399998</v>
      </c>
      <c r="C187" s="17">
        <f t="shared" si="30"/>
        <v>0</v>
      </c>
      <c r="D187" s="17"/>
      <c r="E187" s="18">
        <f>E125</f>
        <v>0</v>
      </c>
      <c r="G187" s="16" t="s">
        <v>24</v>
      </c>
      <c r="H187" s="17">
        <f t="shared" si="31"/>
        <v>212394.32572800003</v>
      </c>
      <c r="I187" s="17">
        <f t="shared" si="32"/>
        <v>0</v>
      </c>
      <c r="J187" s="17"/>
      <c r="K187" s="18">
        <f>K125</f>
        <v>0</v>
      </c>
      <c r="M187" s="16" t="s">
        <v>24</v>
      </c>
      <c r="N187" s="17">
        <f t="shared" si="33"/>
        <v>0</v>
      </c>
      <c r="O187" s="17">
        <f t="shared" si="34"/>
        <v>0</v>
      </c>
      <c r="P187" s="17"/>
      <c r="Q187" s="18">
        <f>Q125</f>
        <v>0</v>
      </c>
      <c r="S187" s="16" t="s">
        <v>24</v>
      </c>
      <c r="T187" s="196">
        <f t="shared" si="35"/>
        <v>0</v>
      </c>
      <c r="U187" s="17">
        <f t="shared" si="36"/>
        <v>0</v>
      </c>
      <c r="V187" s="17"/>
      <c r="W187" s="18">
        <f>W125</f>
        <v>0</v>
      </c>
      <c r="Y187" s="16" t="s">
        <v>24</v>
      </c>
      <c r="Z187" s="17">
        <f t="shared" si="37"/>
        <v>0</v>
      </c>
      <c r="AA187" s="17">
        <f t="shared" si="38"/>
        <v>0</v>
      </c>
      <c r="AB187" s="17"/>
      <c r="AC187" s="18">
        <f>AC125</f>
        <v>0</v>
      </c>
    </row>
    <row r="188" spans="1:29">
      <c r="E188" s="10" t="str">
        <f>E126</f>
        <v/>
      </c>
      <c r="K188" s="10" t="str">
        <f>K126</f>
        <v/>
      </c>
      <c r="Q188" s="10" t="str">
        <f>Q126</f>
        <v/>
      </c>
      <c r="W188" s="10" t="str">
        <f>W126</f>
        <v/>
      </c>
      <c r="AC188" s="10" t="str">
        <f>AC126</f>
        <v/>
      </c>
    </row>
    <row r="189" spans="1:29">
      <c r="A189" s="19" t="s">
        <v>66</v>
      </c>
      <c r="B189" s="20">
        <f>B127+D127</f>
        <v>50823.964092000002</v>
      </c>
      <c r="C189" s="20">
        <f>IFERROR(C127+(C127/B127)*D127,0)</f>
        <v>0</v>
      </c>
      <c r="D189" s="20"/>
      <c r="E189" s="8">
        <f>E127</f>
        <v>0</v>
      </c>
      <c r="G189" s="19" t="s">
        <v>66</v>
      </c>
      <c r="H189" s="20">
        <f>H127+J127</f>
        <v>50940.146351999996</v>
      </c>
      <c r="I189" s="20">
        <f>IFERROR(I127+(I127/H127)*J127,0)</f>
        <v>0</v>
      </c>
      <c r="J189" s="20"/>
      <c r="K189" s="8">
        <f>K127</f>
        <v>0</v>
      </c>
      <c r="M189" s="19" t="s">
        <v>66</v>
      </c>
      <c r="N189" s="20">
        <f>N127+P127</f>
        <v>0</v>
      </c>
      <c r="O189" s="20">
        <f>IFERROR(O127+(O127/N127)*P127,0)</f>
        <v>0</v>
      </c>
      <c r="P189" s="20"/>
      <c r="Q189" s="8">
        <f>Q127</f>
        <v>0</v>
      </c>
      <c r="S189" s="19" t="s">
        <v>66</v>
      </c>
      <c r="T189" s="133">
        <f>T127+V127</f>
        <v>0</v>
      </c>
      <c r="U189" s="20">
        <f>IFERROR(U127+(U127/T127)*V127,0)</f>
        <v>0</v>
      </c>
      <c r="V189" s="20"/>
      <c r="W189" s="8">
        <f>W127</f>
        <v>0</v>
      </c>
      <c r="Y189" s="19" t="s">
        <v>66</v>
      </c>
      <c r="Z189" s="20">
        <f>Z127+AB127</f>
        <v>0</v>
      </c>
      <c r="AA189" s="20">
        <f>IFERROR(AA127+(AA127/Z127)*AB127,0)</f>
        <v>0</v>
      </c>
      <c r="AB189" s="20"/>
      <c r="AC189" s="8">
        <f>AC127</f>
        <v>0</v>
      </c>
    </row>
    <row r="190" spans="1:29">
      <c r="A190" s="19" t="s">
        <v>25</v>
      </c>
      <c r="B190" s="20">
        <f>B128+D128</f>
        <v>18882.084194999999</v>
      </c>
      <c r="C190" s="20">
        <f>IFERROR(C128+(C128/B128)*D128, 0)</f>
        <v>0</v>
      </c>
      <c r="D190" s="20"/>
      <c r="E190" s="8">
        <f>E128</f>
        <v>0</v>
      </c>
      <c r="G190" s="19" t="s">
        <v>25</v>
      </c>
      <c r="H190" s="20">
        <f>H128+J128</f>
        <v>18735.534674999999</v>
      </c>
      <c r="I190" s="20">
        <f>IFERROR(I128+(I128/H128)*J128, 0)</f>
        <v>0</v>
      </c>
      <c r="J190" s="20"/>
      <c r="K190" s="8">
        <f>K128</f>
        <v>0</v>
      </c>
      <c r="M190" s="19" t="s">
        <v>25</v>
      </c>
      <c r="N190" s="20">
        <f>N128+P128</f>
        <v>0</v>
      </c>
      <c r="O190" s="20">
        <f>IFERROR(O128+(O128/N128)*P128, 0)</f>
        <v>0</v>
      </c>
      <c r="P190" s="20"/>
      <c r="Q190" s="8">
        <f>Q128</f>
        <v>0</v>
      </c>
      <c r="S190" s="19" t="s">
        <v>25</v>
      </c>
      <c r="T190" s="133">
        <f>T128+V128</f>
        <v>0</v>
      </c>
      <c r="U190" s="20">
        <f>IFERROR(U128+(U128/T128)*V128, 0)</f>
        <v>0</v>
      </c>
      <c r="V190" s="20"/>
      <c r="W190" s="8">
        <f>W128</f>
        <v>0</v>
      </c>
      <c r="Y190" s="19" t="s">
        <v>25</v>
      </c>
      <c r="Z190" s="20">
        <f>Z128+AB128</f>
        <v>0</v>
      </c>
      <c r="AA190" s="20">
        <f>IFERROR(AA128+(AA128/Z128)*AB128, 0)</f>
        <v>0</v>
      </c>
      <c r="AB190" s="20"/>
      <c r="AC190" s="8">
        <f>AC128</f>
        <v>0</v>
      </c>
    </row>
    <row r="191" spans="1:29">
      <c r="A191" s="19" t="s">
        <v>96</v>
      </c>
      <c r="B191" s="20">
        <f>B129+D129</f>
        <v>17983.009999999998</v>
      </c>
      <c r="C191" s="20">
        <f>IFERROR(C129+(C129/B129)*D129, 0)</f>
        <v>0</v>
      </c>
      <c r="D191" s="20"/>
      <c r="E191" s="8"/>
      <c r="G191" s="19" t="s">
        <v>96</v>
      </c>
      <c r="H191" s="20">
        <f>H129+J129</f>
        <v>18190.460000000003</v>
      </c>
      <c r="I191" s="20">
        <f>IFERROR(I129+(I129/H129)*J129, 0)</f>
        <v>0</v>
      </c>
      <c r="J191" s="20"/>
      <c r="K191" s="8"/>
      <c r="M191" s="19" t="s">
        <v>96</v>
      </c>
      <c r="N191" s="20">
        <f>N129+P129</f>
        <v>0</v>
      </c>
      <c r="O191" s="20">
        <f>IFERROR(O129+(O129/N129)*P129, 0)</f>
        <v>0</v>
      </c>
      <c r="P191" s="20"/>
      <c r="Q191" s="8"/>
      <c r="S191" s="19" t="s">
        <v>96</v>
      </c>
      <c r="T191" s="133">
        <f>T129+V129</f>
        <v>0</v>
      </c>
      <c r="U191" s="20">
        <f>IFERROR(U129+(U129/T129)*V129, 0)</f>
        <v>0</v>
      </c>
      <c r="V191" s="20"/>
      <c r="W191" s="8"/>
      <c r="Y191" s="19" t="s">
        <v>96</v>
      </c>
      <c r="Z191" s="20">
        <f>Z129+AB129</f>
        <v>0</v>
      </c>
      <c r="AA191" s="20">
        <f>IFERROR(AA129+(AA129/Z129)*AB129, 0)</f>
        <v>0</v>
      </c>
      <c r="AB191" s="20"/>
      <c r="AC191" s="8"/>
    </row>
    <row r="192" spans="1:29">
      <c r="A192" s="26" t="s">
        <v>99</v>
      </c>
      <c r="B192" s="20">
        <f>B130+D130</f>
        <v>4806.7368839999999</v>
      </c>
      <c r="C192" s="20"/>
      <c r="D192" s="20"/>
      <c r="E192" s="8"/>
      <c r="G192" s="26" t="s">
        <v>99</v>
      </c>
      <c r="H192" s="20">
        <f>H130+J130</f>
        <v>5418.7716899999996</v>
      </c>
      <c r="I192" s="20"/>
      <c r="J192" s="20"/>
      <c r="K192" s="8"/>
      <c r="M192" s="26" t="s">
        <v>99</v>
      </c>
      <c r="N192" s="20">
        <f>N130+P130</f>
        <v>0</v>
      </c>
      <c r="O192" s="20"/>
      <c r="P192" s="20"/>
      <c r="Q192" s="8"/>
      <c r="S192" s="26" t="s">
        <v>99</v>
      </c>
      <c r="T192" s="133">
        <f>T130+V130</f>
        <v>0</v>
      </c>
      <c r="U192" s="20"/>
      <c r="V192" s="20"/>
      <c r="W192" s="8"/>
      <c r="Y192" s="26" t="s">
        <v>99</v>
      </c>
      <c r="Z192" s="20">
        <f>Z130+AB130</f>
        <v>0</v>
      </c>
      <c r="AA192" s="20"/>
      <c r="AB192" s="20"/>
      <c r="AC192" s="8"/>
    </row>
    <row r="193" spans="1:30">
      <c r="A193" s="26" t="s">
        <v>200</v>
      </c>
      <c r="B193" s="20">
        <f>B131+D131</f>
        <v>10535.702955000001</v>
      </c>
      <c r="C193" s="20"/>
      <c r="D193" s="20"/>
      <c r="E193" s="8"/>
      <c r="G193" s="26" t="s">
        <v>200</v>
      </c>
      <c r="H193" s="20">
        <f>H131+J131</f>
        <v>10659.372379999999</v>
      </c>
      <c r="I193" s="20"/>
      <c r="J193" s="20"/>
      <c r="K193" s="8"/>
      <c r="M193" s="26" t="s">
        <v>200</v>
      </c>
      <c r="N193" s="20">
        <f>N131+P131</f>
        <v>0</v>
      </c>
      <c r="O193" s="20"/>
      <c r="P193" s="20"/>
      <c r="Q193" s="8"/>
      <c r="S193" s="26" t="s">
        <v>200</v>
      </c>
      <c r="T193" s="133">
        <f>T131+V131</f>
        <v>0</v>
      </c>
      <c r="U193" s="20"/>
      <c r="V193" s="20"/>
      <c r="W193" s="8"/>
      <c r="Y193" s="26" t="s">
        <v>200</v>
      </c>
      <c r="Z193" s="20">
        <f>Z131+AB131</f>
        <v>0</v>
      </c>
      <c r="AA193" s="20"/>
      <c r="AB193" s="20"/>
      <c r="AC193" s="8"/>
    </row>
    <row r="194" spans="1:30">
      <c r="A194" s="16" t="s">
        <v>26</v>
      </c>
      <c r="B194" s="17">
        <f t="shared" ref="B194" si="39">B134+D134</f>
        <v>103031.49812599999</v>
      </c>
      <c r="C194" s="17">
        <f>IFERROR(C134+(C134/B134)*D134, 0)</f>
        <v>0</v>
      </c>
      <c r="D194" s="17"/>
      <c r="E194" s="18">
        <f>E134</f>
        <v>0</v>
      </c>
      <c r="G194" s="16" t="s">
        <v>26</v>
      </c>
      <c r="H194" s="17">
        <f t="shared" ref="H194" si="40">H134+J134</f>
        <v>103944.285097</v>
      </c>
      <c r="I194" s="17">
        <f>IFERROR(I134+(I134/H134)*J134, 0)</f>
        <v>0</v>
      </c>
      <c r="J194" s="17"/>
      <c r="K194" s="18">
        <f>K134</f>
        <v>0</v>
      </c>
      <c r="M194" s="16" t="s">
        <v>26</v>
      </c>
      <c r="N194" s="17">
        <f t="shared" ref="N194" si="41">N134+P134</f>
        <v>0</v>
      </c>
      <c r="O194" s="17">
        <f>IFERROR(O134+(O134/N134)*P134, 0)</f>
        <v>0</v>
      </c>
      <c r="P194" s="17"/>
      <c r="Q194" s="18">
        <f>Q134</f>
        <v>0</v>
      </c>
      <c r="S194" s="16" t="s">
        <v>26</v>
      </c>
      <c r="T194" s="196">
        <f t="shared" ref="T194" si="42">T134+V134</f>
        <v>0</v>
      </c>
      <c r="U194" s="17">
        <f>IFERROR(U134+(U134/T134)*V134, 0)</f>
        <v>0</v>
      </c>
      <c r="V194" s="17"/>
      <c r="W194" s="18">
        <f>W134</f>
        <v>0</v>
      </c>
      <c r="Y194" s="16" t="s">
        <v>26</v>
      </c>
      <c r="Z194" s="17">
        <f t="shared" ref="Z194" si="43">Z134+AB134</f>
        <v>0</v>
      </c>
      <c r="AA194" s="17">
        <f>IFERROR(AA134+(AA134/Z134)*AB134, 0)</f>
        <v>0</v>
      </c>
      <c r="AB194" s="17"/>
      <c r="AC194" s="18">
        <f>AC134</f>
        <v>0</v>
      </c>
    </row>
    <row r="195" spans="1:30">
      <c r="E195" s="8" t="str">
        <f>E135</f>
        <v/>
      </c>
      <c r="K195" s="8" t="str">
        <f>K135</f>
        <v/>
      </c>
      <c r="Q195" s="8" t="str">
        <f>Q135</f>
        <v/>
      </c>
      <c r="W195" s="8" t="str">
        <f>W135</f>
        <v/>
      </c>
      <c r="AC195" s="8" t="str">
        <f>AC135</f>
        <v/>
      </c>
    </row>
    <row r="196" spans="1:30">
      <c r="A196" s="21" t="s">
        <v>27</v>
      </c>
      <c r="B196" s="22">
        <f>B136+D136</f>
        <v>807223.09412500006</v>
      </c>
      <c r="C196" s="22">
        <f>IFERROR(C136+(C136/B136)*D136,0)</f>
        <v>0</v>
      </c>
      <c r="D196" s="22"/>
      <c r="E196" s="23">
        <f>E136</f>
        <v>0</v>
      </c>
      <c r="G196" s="21" t="s">
        <v>28</v>
      </c>
      <c r="H196" s="22">
        <f>H136+J136</f>
        <v>784505.34817399993</v>
      </c>
      <c r="I196" s="22">
        <f>IFERROR(I136+(I136/H136)*J136,0)</f>
        <v>0</v>
      </c>
      <c r="J196" s="22"/>
      <c r="K196" s="23">
        <f>K136</f>
        <v>0</v>
      </c>
      <c r="M196" s="21" t="s">
        <v>29</v>
      </c>
      <c r="N196" s="22">
        <f>N136+P136</f>
        <v>0</v>
      </c>
      <c r="O196" s="22">
        <f>IFERROR(O136+(O136/N136)*P136,0)</f>
        <v>0</v>
      </c>
      <c r="P196" s="22"/>
      <c r="Q196" s="23">
        <f>Q136</f>
        <v>0</v>
      </c>
      <c r="S196" s="21" t="s">
        <v>30</v>
      </c>
      <c r="T196" s="198">
        <f>T136+V136</f>
        <v>0</v>
      </c>
      <c r="U196" s="22">
        <f>IFERROR(U136+(U136/T136)*V136,0)</f>
        <v>0</v>
      </c>
      <c r="V196" s="22"/>
      <c r="W196" s="23">
        <f>W136</f>
        <v>0</v>
      </c>
      <c r="Y196" s="21" t="s">
        <v>31</v>
      </c>
      <c r="Z196" s="22">
        <f>Z136+AB136</f>
        <v>0</v>
      </c>
      <c r="AA196" s="22">
        <f>IFERROR(AA136+(AA136/Z136)*AB136,0)</f>
        <v>0</v>
      </c>
      <c r="AB196" s="22"/>
      <c r="AC196" s="23">
        <f>AC136</f>
        <v>0</v>
      </c>
    </row>
    <row r="197" spans="1:30">
      <c r="AC197" s="9"/>
      <c r="AD197" s="10"/>
    </row>
    <row r="199" spans="1:30">
      <c r="A199" s="10" t="s">
        <v>124</v>
      </c>
      <c r="B199" s="10">
        <f>B2</f>
        <v>0</v>
      </c>
      <c r="G199" s="10" t="s">
        <v>124</v>
      </c>
      <c r="H199" s="10">
        <f>H2</f>
        <v>0</v>
      </c>
      <c r="M199" s="10" t="s">
        <v>124</v>
      </c>
      <c r="N199" s="10">
        <f>N2</f>
        <v>0</v>
      </c>
      <c r="S199" s="10" t="s">
        <v>124</v>
      </c>
      <c r="T199" s="10">
        <f>T2</f>
        <v>0</v>
      </c>
      <c r="Y199" s="10" t="s">
        <v>124</v>
      </c>
      <c r="Z199" s="10">
        <f>Z2</f>
        <v>0</v>
      </c>
    </row>
    <row r="200" spans="1:30">
      <c r="A200" s="10" t="s">
        <v>125</v>
      </c>
      <c r="B200" s="10">
        <f t="shared" ref="B200:B263" si="44">B3</f>
        <v>1.22</v>
      </c>
      <c r="G200" s="10" t="s">
        <v>125</v>
      </c>
      <c r="H200" s="10">
        <f t="shared" ref="H200:H263" si="45">H3</f>
        <v>1.83</v>
      </c>
      <c r="M200" s="10" t="s">
        <v>125</v>
      </c>
      <c r="N200" s="10">
        <f t="shared" ref="N200:N263" si="46">N3</f>
        <v>0</v>
      </c>
      <c r="S200" s="10" t="s">
        <v>125</v>
      </c>
      <c r="T200" s="10">
        <f t="shared" ref="T200:T263" si="47">T3</f>
        <v>0</v>
      </c>
      <c r="Y200" s="10" t="s">
        <v>125</v>
      </c>
      <c r="Z200" s="10">
        <f t="shared" ref="Z200:Z263" si="48">Z3</f>
        <v>0</v>
      </c>
    </row>
    <row r="201" spans="1:30">
      <c r="A201" s="10" t="s">
        <v>126</v>
      </c>
      <c r="B201" s="10">
        <f t="shared" si="44"/>
        <v>1729.66</v>
      </c>
      <c r="G201" s="10" t="s">
        <v>126</v>
      </c>
      <c r="H201" s="10">
        <f t="shared" si="45"/>
        <v>1356.15</v>
      </c>
      <c r="M201" s="10" t="s">
        <v>126</v>
      </c>
      <c r="N201" s="10">
        <f t="shared" si="46"/>
        <v>0</v>
      </c>
      <c r="S201" s="10" t="s">
        <v>126</v>
      </c>
      <c r="T201" s="10">
        <f t="shared" si="47"/>
        <v>0</v>
      </c>
      <c r="Y201" s="10" t="s">
        <v>126</v>
      </c>
      <c r="Z201" s="10">
        <f t="shared" si="48"/>
        <v>0</v>
      </c>
    </row>
    <row r="202" spans="1:30">
      <c r="A202" s="10" t="s">
        <v>127</v>
      </c>
      <c r="B202" s="10">
        <f t="shared" si="44"/>
        <v>24.6</v>
      </c>
      <c r="G202" s="10" t="s">
        <v>127</v>
      </c>
      <c r="H202" s="10">
        <f t="shared" si="45"/>
        <v>11.16</v>
      </c>
      <c r="M202" s="10" t="s">
        <v>127</v>
      </c>
      <c r="N202" s="10">
        <f t="shared" si="46"/>
        <v>0</v>
      </c>
      <c r="S202" s="10" t="s">
        <v>127</v>
      </c>
      <c r="T202" s="10">
        <f t="shared" si="47"/>
        <v>0</v>
      </c>
      <c r="Y202" s="10" t="s">
        <v>127</v>
      </c>
      <c r="Z202" s="10">
        <f t="shared" si="48"/>
        <v>0</v>
      </c>
    </row>
    <row r="203" spans="1:30">
      <c r="A203" s="10" t="s">
        <v>33</v>
      </c>
      <c r="B203" s="10">
        <f t="shared" si="44"/>
        <v>46113.065168000001</v>
      </c>
      <c r="G203" s="10" t="s">
        <v>33</v>
      </c>
      <c r="H203" s="10">
        <f t="shared" si="45"/>
        <v>46709.081539999999</v>
      </c>
      <c r="M203" s="10" t="s">
        <v>33</v>
      </c>
      <c r="N203" s="10">
        <f t="shared" si="46"/>
        <v>0</v>
      </c>
      <c r="S203" s="10" t="s">
        <v>33</v>
      </c>
      <c r="T203" s="10">
        <f t="shared" si="47"/>
        <v>0</v>
      </c>
      <c r="Y203" s="10" t="s">
        <v>33</v>
      </c>
      <c r="Z203" s="10">
        <f t="shared" si="48"/>
        <v>0</v>
      </c>
    </row>
    <row r="204" spans="1:30">
      <c r="A204" s="10" t="s">
        <v>34</v>
      </c>
      <c r="B204" s="10">
        <f t="shared" si="44"/>
        <v>3317.7075359999999</v>
      </c>
      <c r="G204" s="10" t="s">
        <v>34</v>
      </c>
      <c r="H204" s="10">
        <f t="shared" si="45"/>
        <v>3215.499456</v>
      </c>
      <c r="M204" s="10" t="s">
        <v>34</v>
      </c>
      <c r="N204" s="10">
        <f t="shared" si="46"/>
        <v>0</v>
      </c>
      <c r="S204" s="10" t="s">
        <v>34</v>
      </c>
      <c r="T204" s="10">
        <f t="shared" si="47"/>
        <v>0</v>
      </c>
      <c r="Y204" s="10" t="s">
        <v>34</v>
      </c>
      <c r="Z204" s="10">
        <f t="shared" si="48"/>
        <v>0</v>
      </c>
    </row>
    <row r="205" spans="1:30">
      <c r="A205" s="10" t="s">
        <v>128</v>
      </c>
      <c r="B205" s="10">
        <f t="shared" si="44"/>
        <v>91.56</v>
      </c>
      <c r="G205" s="10" t="s">
        <v>128</v>
      </c>
      <c r="H205" s="10">
        <f t="shared" si="45"/>
        <v>113.16</v>
      </c>
      <c r="M205" s="10" t="s">
        <v>128</v>
      </c>
      <c r="N205" s="10">
        <f t="shared" si="46"/>
        <v>0</v>
      </c>
      <c r="S205" s="10" t="s">
        <v>128</v>
      </c>
      <c r="T205" s="10">
        <f t="shared" si="47"/>
        <v>0</v>
      </c>
      <c r="Y205" s="10" t="s">
        <v>128</v>
      </c>
      <c r="Z205" s="10">
        <f t="shared" si="48"/>
        <v>0</v>
      </c>
    </row>
    <row r="206" spans="1:30">
      <c r="A206" s="10" t="s">
        <v>129</v>
      </c>
      <c r="B206" s="10">
        <f t="shared" si="44"/>
        <v>6.1</v>
      </c>
      <c r="G206" s="10" t="s">
        <v>129</v>
      </c>
      <c r="H206" s="10">
        <f t="shared" si="45"/>
        <v>21.71</v>
      </c>
      <c r="M206" s="10" t="s">
        <v>129</v>
      </c>
      <c r="N206" s="10">
        <f t="shared" si="46"/>
        <v>0</v>
      </c>
      <c r="S206" s="10" t="s">
        <v>129</v>
      </c>
      <c r="T206" s="10">
        <f t="shared" si="47"/>
        <v>0</v>
      </c>
      <c r="Y206" s="10" t="s">
        <v>129</v>
      </c>
      <c r="Z206" s="10">
        <f t="shared" si="48"/>
        <v>0</v>
      </c>
    </row>
    <row r="207" spans="1:30">
      <c r="A207" s="10" t="s">
        <v>130</v>
      </c>
      <c r="B207" s="10">
        <f t="shared" si="44"/>
        <v>16.47</v>
      </c>
      <c r="G207" s="10" t="s">
        <v>130</v>
      </c>
      <c r="H207" s="10">
        <f t="shared" si="45"/>
        <v>14.64</v>
      </c>
      <c r="M207" s="10" t="s">
        <v>130</v>
      </c>
      <c r="N207" s="10">
        <f t="shared" si="46"/>
        <v>0</v>
      </c>
      <c r="S207" s="10" t="s">
        <v>130</v>
      </c>
      <c r="T207" s="10">
        <f t="shared" si="47"/>
        <v>0</v>
      </c>
      <c r="Y207" s="10" t="s">
        <v>130</v>
      </c>
      <c r="Z207" s="10">
        <f t="shared" si="48"/>
        <v>0</v>
      </c>
    </row>
    <row r="208" spans="1:30">
      <c r="A208" s="10" t="s">
        <v>131</v>
      </c>
      <c r="B208" s="10">
        <f t="shared" si="44"/>
        <v>68.94</v>
      </c>
      <c r="G208" s="10" t="s">
        <v>131</v>
      </c>
      <c r="H208" s="10">
        <f t="shared" si="45"/>
        <v>60</v>
      </c>
      <c r="M208" s="10" t="s">
        <v>131</v>
      </c>
      <c r="N208" s="10">
        <f t="shared" si="46"/>
        <v>0</v>
      </c>
      <c r="S208" s="10" t="s">
        <v>131</v>
      </c>
      <c r="T208" s="10">
        <f t="shared" si="47"/>
        <v>0</v>
      </c>
      <c r="Y208" s="10" t="s">
        <v>131</v>
      </c>
      <c r="Z208" s="10">
        <f t="shared" si="48"/>
        <v>0</v>
      </c>
    </row>
    <row r="209" spans="1:26">
      <c r="A209" s="10" t="s">
        <v>35</v>
      </c>
      <c r="B209" s="10">
        <f t="shared" si="44"/>
        <v>4938.6586079999997</v>
      </c>
      <c r="G209" s="10" t="s">
        <v>35</v>
      </c>
      <c r="H209" s="10">
        <f t="shared" si="45"/>
        <v>4844.6502</v>
      </c>
      <c r="M209" s="10" t="s">
        <v>35</v>
      </c>
      <c r="N209" s="10">
        <f t="shared" si="46"/>
        <v>0</v>
      </c>
      <c r="S209" s="10" t="s">
        <v>35</v>
      </c>
      <c r="T209" s="10">
        <f t="shared" si="47"/>
        <v>0</v>
      </c>
      <c r="Y209" s="10" t="s">
        <v>35</v>
      </c>
      <c r="Z209" s="10">
        <f t="shared" si="48"/>
        <v>0</v>
      </c>
    </row>
    <row r="210" spans="1:26">
      <c r="A210" s="10" t="s">
        <v>132</v>
      </c>
      <c r="B210" s="10">
        <f t="shared" si="44"/>
        <v>0.61</v>
      </c>
      <c r="G210" s="10" t="s">
        <v>132</v>
      </c>
      <c r="H210" s="10">
        <f t="shared" si="45"/>
        <v>0.61</v>
      </c>
      <c r="M210" s="10" t="s">
        <v>132</v>
      </c>
      <c r="N210" s="10">
        <f t="shared" si="46"/>
        <v>0</v>
      </c>
      <c r="S210" s="10" t="s">
        <v>132</v>
      </c>
      <c r="T210" s="10">
        <f t="shared" si="47"/>
        <v>0</v>
      </c>
      <c r="Y210" s="10" t="s">
        <v>132</v>
      </c>
      <c r="Z210" s="10">
        <f t="shared" si="48"/>
        <v>0</v>
      </c>
    </row>
    <row r="211" spans="1:26">
      <c r="A211" s="10" t="s">
        <v>133</v>
      </c>
      <c r="B211" s="10">
        <f t="shared" si="44"/>
        <v>32.08</v>
      </c>
      <c r="G211" s="10" t="s">
        <v>133</v>
      </c>
      <c r="H211" s="10">
        <f t="shared" si="45"/>
        <v>42.09</v>
      </c>
      <c r="M211" s="10" t="s">
        <v>133</v>
      </c>
      <c r="N211" s="10">
        <f t="shared" si="46"/>
        <v>0</v>
      </c>
      <c r="S211" s="10" t="s">
        <v>133</v>
      </c>
      <c r="T211" s="10">
        <f t="shared" si="47"/>
        <v>0</v>
      </c>
      <c r="Y211" s="10" t="s">
        <v>133</v>
      </c>
      <c r="Z211" s="10">
        <f t="shared" si="48"/>
        <v>0</v>
      </c>
    </row>
    <row r="212" spans="1:26">
      <c r="A212" s="10" t="s">
        <v>134</v>
      </c>
      <c r="B212" s="10">
        <f t="shared" si="44"/>
        <v>34.770000000000003</v>
      </c>
      <c r="G212" s="10" t="s">
        <v>134</v>
      </c>
      <c r="H212" s="10">
        <f t="shared" si="45"/>
        <v>8.9700000000000006</v>
      </c>
      <c r="M212" s="10" t="s">
        <v>134</v>
      </c>
      <c r="N212" s="10">
        <f t="shared" si="46"/>
        <v>0</v>
      </c>
      <c r="S212" s="10" t="s">
        <v>134</v>
      </c>
      <c r="T212" s="10">
        <f t="shared" si="47"/>
        <v>0</v>
      </c>
      <c r="Y212" s="10" t="s">
        <v>134</v>
      </c>
      <c r="Z212" s="10">
        <f t="shared" si="48"/>
        <v>0</v>
      </c>
    </row>
    <row r="213" spans="1:26">
      <c r="A213" s="10" t="s">
        <v>135</v>
      </c>
      <c r="B213" s="10">
        <f t="shared" si="44"/>
        <v>12.81</v>
      </c>
      <c r="G213" s="10" t="s">
        <v>135</v>
      </c>
      <c r="H213" s="10">
        <f t="shared" si="45"/>
        <v>64.23</v>
      </c>
      <c r="M213" s="10" t="s">
        <v>135</v>
      </c>
      <c r="N213" s="10">
        <f t="shared" si="46"/>
        <v>0</v>
      </c>
      <c r="S213" s="10" t="s">
        <v>135</v>
      </c>
      <c r="T213" s="10">
        <f t="shared" si="47"/>
        <v>0</v>
      </c>
      <c r="Y213" s="10" t="s">
        <v>135</v>
      </c>
      <c r="Z213" s="10">
        <f t="shared" si="48"/>
        <v>0</v>
      </c>
    </row>
    <row r="214" spans="1:26">
      <c r="A214" s="10" t="s">
        <v>136</v>
      </c>
      <c r="B214" s="10">
        <f t="shared" si="44"/>
        <v>9286.92</v>
      </c>
      <c r="G214" s="10" t="s">
        <v>136</v>
      </c>
      <c r="H214" s="10">
        <f t="shared" si="45"/>
        <v>9513.6</v>
      </c>
      <c r="M214" s="10" t="s">
        <v>136</v>
      </c>
      <c r="N214" s="10">
        <f t="shared" si="46"/>
        <v>0</v>
      </c>
      <c r="S214" s="10" t="s">
        <v>136</v>
      </c>
      <c r="T214" s="10">
        <f t="shared" si="47"/>
        <v>0</v>
      </c>
      <c r="Y214" s="10" t="s">
        <v>136</v>
      </c>
      <c r="Z214" s="10">
        <f t="shared" si="48"/>
        <v>0</v>
      </c>
    </row>
    <row r="215" spans="1:26">
      <c r="A215" s="10" t="s">
        <v>137</v>
      </c>
      <c r="B215" s="10">
        <f t="shared" si="44"/>
        <v>38.44</v>
      </c>
      <c r="G215" s="10" t="s">
        <v>137</v>
      </c>
      <c r="H215" s="10">
        <f t="shared" si="45"/>
        <v>16.12</v>
      </c>
      <c r="M215" s="10" t="s">
        <v>137</v>
      </c>
      <c r="N215" s="10">
        <f t="shared" si="46"/>
        <v>0</v>
      </c>
      <c r="S215" s="10" t="s">
        <v>137</v>
      </c>
      <c r="T215" s="10">
        <f t="shared" si="47"/>
        <v>0</v>
      </c>
      <c r="Y215" s="10" t="s">
        <v>137</v>
      </c>
      <c r="Z215" s="10">
        <f t="shared" si="48"/>
        <v>0</v>
      </c>
    </row>
    <row r="216" spans="1:26">
      <c r="A216" s="10" t="s">
        <v>62</v>
      </c>
      <c r="B216" s="10">
        <f t="shared" si="44"/>
        <v>130.68307200000001</v>
      </c>
      <c r="G216" s="10" t="s">
        <v>62</v>
      </c>
      <c r="H216" s="10">
        <f t="shared" si="45"/>
        <v>174.82826399999999</v>
      </c>
      <c r="M216" s="10" t="s">
        <v>62</v>
      </c>
      <c r="N216" s="10">
        <f t="shared" si="46"/>
        <v>0</v>
      </c>
      <c r="S216" s="10" t="s">
        <v>62</v>
      </c>
      <c r="T216" s="10">
        <f t="shared" si="47"/>
        <v>0</v>
      </c>
      <c r="Y216" s="10" t="s">
        <v>62</v>
      </c>
      <c r="Z216" s="10">
        <f t="shared" si="48"/>
        <v>0</v>
      </c>
    </row>
    <row r="217" spans="1:26">
      <c r="A217" s="10" t="s">
        <v>138</v>
      </c>
      <c r="B217" s="10">
        <f t="shared" si="44"/>
        <v>0</v>
      </c>
      <c r="G217" s="10" t="s">
        <v>138</v>
      </c>
      <c r="H217" s="10">
        <f t="shared" si="45"/>
        <v>10.98</v>
      </c>
      <c r="M217" s="10" t="s">
        <v>138</v>
      </c>
      <c r="N217" s="10">
        <f t="shared" si="46"/>
        <v>0</v>
      </c>
      <c r="S217" s="10" t="s">
        <v>138</v>
      </c>
      <c r="T217" s="10">
        <f t="shared" si="47"/>
        <v>0</v>
      </c>
      <c r="Y217" s="10" t="s">
        <v>138</v>
      </c>
      <c r="Z217" s="10">
        <f t="shared" si="48"/>
        <v>0</v>
      </c>
    </row>
    <row r="218" spans="1:26">
      <c r="A218" s="10" t="s">
        <v>139</v>
      </c>
      <c r="B218" s="10">
        <f t="shared" si="44"/>
        <v>0.62</v>
      </c>
      <c r="G218" s="10" t="s">
        <v>139</v>
      </c>
      <c r="H218" s="10">
        <f t="shared" si="45"/>
        <v>5.58</v>
      </c>
      <c r="M218" s="10" t="s">
        <v>139</v>
      </c>
      <c r="N218" s="10">
        <f t="shared" si="46"/>
        <v>0</v>
      </c>
      <c r="S218" s="10" t="s">
        <v>139</v>
      </c>
      <c r="T218" s="10">
        <f t="shared" si="47"/>
        <v>0</v>
      </c>
      <c r="Y218" s="10" t="s">
        <v>139</v>
      </c>
      <c r="Z218" s="10">
        <f t="shared" si="48"/>
        <v>0</v>
      </c>
    </row>
    <row r="219" spans="1:26">
      <c r="A219" s="10" t="s">
        <v>36</v>
      </c>
      <c r="B219" s="10">
        <f t="shared" si="44"/>
        <v>52408.562007</v>
      </c>
      <c r="G219" s="10" t="s">
        <v>36</v>
      </c>
      <c r="H219" s="10">
        <f t="shared" si="45"/>
        <v>48761.307674999996</v>
      </c>
      <c r="M219" s="10" t="s">
        <v>36</v>
      </c>
      <c r="N219" s="10">
        <f t="shared" si="46"/>
        <v>0</v>
      </c>
      <c r="S219" s="10" t="s">
        <v>36</v>
      </c>
      <c r="T219" s="10">
        <f t="shared" si="47"/>
        <v>0</v>
      </c>
      <c r="Y219" s="10" t="s">
        <v>36</v>
      </c>
      <c r="Z219" s="10">
        <f t="shared" si="48"/>
        <v>0</v>
      </c>
    </row>
    <row r="220" spans="1:26">
      <c r="A220" s="10" t="s">
        <v>140</v>
      </c>
      <c r="B220" s="10">
        <f t="shared" si="44"/>
        <v>1.22</v>
      </c>
      <c r="G220" s="10" t="s">
        <v>140</v>
      </c>
      <c r="H220" s="10">
        <f t="shared" si="45"/>
        <v>1.83</v>
      </c>
      <c r="M220" s="10" t="s">
        <v>140</v>
      </c>
      <c r="N220" s="10">
        <f t="shared" si="46"/>
        <v>0</v>
      </c>
      <c r="S220" s="10" t="s">
        <v>140</v>
      </c>
      <c r="T220" s="10">
        <f t="shared" si="47"/>
        <v>0</v>
      </c>
      <c r="Y220" s="10" t="s">
        <v>140</v>
      </c>
      <c r="Z220" s="10">
        <f t="shared" si="48"/>
        <v>0</v>
      </c>
    </row>
    <row r="221" spans="1:26">
      <c r="A221" s="10" t="s">
        <v>141</v>
      </c>
      <c r="B221" s="10">
        <f t="shared" si="44"/>
        <v>5.49</v>
      </c>
      <c r="G221" s="10" t="s">
        <v>141</v>
      </c>
      <c r="H221" s="10">
        <f t="shared" si="45"/>
        <v>13.78</v>
      </c>
      <c r="M221" s="10" t="s">
        <v>141</v>
      </c>
      <c r="N221" s="10">
        <f t="shared" si="46"/>
        <v>0</v>
      </c>
      <c r="S221" s="10" t="s">
        <v>141</v>
      </c>
      <c r="T221" s="10">
        <f t="shared" si="47"/>
        <v>0</v>
      </c>
      <c r="Y221" s="10" t="s">
        <v>141</v>
      </c>
      <c r="Z221" s="10">
        <f t="shared" si="48"/>
        <v>0</v>
      </c>
    </row>
    <row r="222" spans="1:26">
      <c r="A222" s="10" t="s">
        <v>142</v>
      </c>
      <c r="B222" s="10">
        <f t="shared" si="44"/>
        <v>2413.27</v>
      </c>
      <c r="G222" s="10" t="s">
        <v>142</v>
      </c>
      <c r="H222" s="10">
        <f t="shared" si="45"/>
        <v>2521.09</v>
      </c>
      <c r="M222" s="10" t="s">
        <v>142</v>
      </c>
      <c r="N222" s="10">
        <f t="shared" si="46"/>
        <v>0</v>
      </c>
      <c r="S222" s="10" t="s">
        <v>142</v>
      </c>
      <c r="T222" s="10">
        <f t="shared" si="47"/>
        <v>0</v>
      </c>
      <c r="Y222" s="10" t="s">
        <v>142</v>
      </c>
      <c r="Z222" s="10">
        <f t="shared" si="48"/>
        <v>0</v>
      </c>
    </row>
    <row r="223" spans="1:26">
      <c r="A223" s="10" t="s">
        <v>143</v>
      </c>
      <c r="B223" s="10">
        <f t="shared" si="44"/>
        <v>1804.31</v>
      </c>
      <c r="G223" s="10" t="s">
        <v>143</v>
      </c>
      <c r="H223" s="10">
        <f t="shared" si="45"/>
        <v>1841.18</v>
      </c>
      <c r="M223" s="10" t="s">
        <v>143</v>
      </c>
      <c r="N223" s="10">
        <f t="shared" si="46"/>
        <v>0</v>
      </c>
      <c r="S223" s="10" t="s">
        <v>143</v>
      </c>
      <c r="T223" s="10">
        <f t="shared" si="47"/>
        <v>0</v>
      </c>
      <c r="Y223" s="10" t="s">
        <v>143</v>
      </c>
      <c r="Z223" s="10">
        <f t="shared" si="48"/>
        <v>0</v>
      </c>
    </row>
    <row r="224" spans="1:26">
      <c r="A224" s="10" t="s">
        <v>144</v>
      </c>
      <c r="B224" s="10">
        <f t="shared" si="44"/>
        <v>349.53</v>
      </c>
      <c r="G224" s="10" t="s">
        <v>144</v>
      </c>
      <c r="H224" s="10">
        <f t="shared" si="45"/>
        <v>473.9</v>
      </c>
      <c r="M224" s="10" t="s">
        <v>144</v>
      </c>
      <c r="N224" s="10">
        <f t="shared" si="46"/>
        <v>0</v>
      </c>
      <c r="S224" s="10" t="s">
        <v>144</v>
      </c>
      <c r="T224" s="10">
        <f t="shared" si="47"/>
        <v>0</v>
      </c>
      <c r="Y224" s="10" t="s">
        <v>144</v>
      </c>
      <c r="Z224" s="10">
        <f t="shared" si="48"/>
        <v>0</v>
      </c>
    </row>
    <row r="225" spans="1:26">
      <c r="A225" s="10" t="s">
        <v>61</v>
      </c>
      <c r="B225" s="10">
        <f t="shared" si="44"/>
        <v>180.443952</v>
      </c>
      <c r="G225" s="10" t="s">
        <v>61</v>
      </c>
      <c r="H225" s="10">
        <f t="shared" si="45"/>
        <v>139.381632</v>
      </c>
      <c r="M225" s="10" t="s">
        <v>61</v>
      </c>
      <c r="N225" s="10">
        <f t="shared" si="46"/>
        <v>0</v>
      </c>
      <c r="S225" s="10" t="s">
        <v>61</v>
      </c>
      <c r="T225" s="10">
        <f t="shared" si="47"/>
        <v>0</v>
      </c>
      <c r="Y225" s="10" t="s">
        <v>61</v>
      </c>
      <c r="Z225" s="10">
        <f t="shared" si="48"/>
        <v>0</v>
      </c>
    </row>
    <row r="226" spans="1:26">
      <c r="A226" s="10" t="s">
        <v>60</v>
      </c>
      <c r="B226" s="10">
        <f t="shared" si="44"/>
        <v>784.32868800000006</v>
      </c>
      <c r="G226" s="10" t="s">
        <v>60</v>
      </c>
      <c r="H226" s="10">
        <f t="shared" si="45"/>
        <v>672.75686399999995</v>
      </c>
      <c r="M226" s="10" t="s">
        <v>60</v>
      </c>
      <c r="N226" s="10">
        <f t="shared" si="46"/>
        <v>0</v>
      </c>
      <c r="S226" s="10" t="s">
        <v>60</v>
      </c>
      <c r="T226" s="10">
        <f t="shared" si="47"/>
        <v>0</v>
      </c>
      <c r="Y226" s="10" t="s">
        <v>60</v>
      </c>
      <c r="Z226" s="10">
        <f t="shared" si="48"/>
        <v>0</v>
      </c>
    </row>
    <row r="227" spans="1:26">
      <c r="A227" s="10" t="s">
        <v>37</v>
      </c>
      <c r="B227" s="10">
        <f t="shared" si="44"/>
        <v>4779.487752</v>
      </c>
      <c r="G227" s="10" t="s">
        <v>37</v>
      </c>
      <c r="H227" s="10">
        <f t="shared" si="45"/>
        <v>4621.6088879999998</v>
      </c>
      <c r="M227" s="10" t="s">
        <v>37</v>
      </c>
      <c r="N227" s="10">
        <f t="shared" si="46"/>
        <v>0</v>
      </c>
      <c r="S227" s="10" t="s">
        <v>37</v>
      </c>
      <c r="T227" s="10">
        <f t="shared" si="47"/>
        <v>0</v>
      </c>
      <c r="Y227" s="10" t="s">
        <v>37</v>
      </c>
      <c r="Z227" s="10">
        <f t="shared" si="48"/>
        <v>0</v>
      </c>
    </row>
    <row r="228" spans="1:26">
      <c r="A228" s="10" t="s">
        <v>145</v>
      </c>
      <c r="B228" s="10">
        <f t="shared" si="44"/>
        <v>0.61</v>
      </c>
      <c r="G228" s="10" t="s">
        <v>145</v>
      </c>
      <c r="H228" s="10">
        <f t="shared" si="45"/>
        <v>0.61</v>
      </c>
      <c r="M228" s="10" t="s">
        <v>145</v>
      </c>
      <c r="N228" s="10">
        <f t="shared" si="46"/>
        <v>0</v>
      </c>
      <c r="S228" s="10" t="s">
        <v>145</v>
      </c>
      <c r="T228" s="10">
        <f t="shared" si="47"/>
        <v>0</v>
      </c>
      <c r="Y228" s="10" t="s">
        <v>145</v>
      </c>
      <c r="Z228" s="10">
        <f t="shared" si="48"/>
        <v>0</v>
      </c>
    </row>
    <row r="229" spans="1:26">
      <c r="A229" s="10" t="s">
        <v>146</v>
      </c>
      <c r="B229" s="10">
        <f t="shared" si="44"/>
        <v>192.94</v>
      </c>
      <c r="G229" s="10" t="s">
        <v>146</v>
      </c>
      <c r="H229" s="10">
        <f t="shared" si="45"/>
        <v>166.28</v>
      </c>
      <c r="M229" s="10" t="s">
        <v>146</v>
      </c>
      <c r="N229" s="10">
        <f t="shared" si="46"/>
        <v>0</v>
      </c>
      <c r="S229" s="10" t="s">
        <v>146</v>
      </c>
      <c r="T229" s="10">
        <f t="shared" si="47"/>
        <v>0</v>
      </c>
      <c r="Y229" s="10" t="s">
        <v>146</v>
      </c>
      <c r="Z229" s="10">
        <f t="shared" si="48"/>
        <v>0</v>
      </c>
    </row>
    <row r="230" spans="1:26">
      <c r="A230" s="10" t="s">
        <v>147</v>
      </c>
      <c r="B230" s="10">
        <f t="shared" si="44"/>
        <v>437.91</v>
      </c>
      <c r="G230" s="10" t="s">
        <v>147</v>
      </c>
      <c r="H230" s="10">
        <f t="shared" si="45"/>
        <v>459.01</v>
      </c>
      <c r="M230" s="10" t="s">
        <v>147</v>
      </c>
      <c r="N230" s="10">
        <f t="shared" si="46"/>
        <v>0</v>
      </c>
      <c r="S230" s="10" t="s">
        <v>147</v>
      </c>
      <c r="T230" s="10">
        <f t="shared" si="47"/>
        <v>0</v>
      </c>
      <c r="Y230" s="10" t="s">
        <v>147</v>
      </c>
      <c r="Z230" s="10">
        <f t="shared" si="48"/>
        <v>0</v>
      </c>
    </row>
    <row r="231" spans="1:26">
      <c r="A231" s="10" t="s">
        <v>148</v>
      </c>
      <c r="B231" s="10">
        <f t="shared" si="44"/>
        <v>84.97</v>
      </c>
      <c r="G231" s="10" t="s">
        <v>148</v>
      </c>
      <c r="H231" s="10">
        <f t="shared" si="45"/>
        <v>137.43</v>
      </c>
      <c r="M231" s="10" t="s">
        <v>148</v>
      </c>
      <c r="N231" s="10">
        <f t="shared" si="46"/>
        <v>0</v>
      </c>
      <c r="S231" s="10" t="s">
        <v>148</v>
      </c>
      <c r="T231" s="10">
        <f t="shared" si="47"/>
        <v>0</v>
      </c>
      <c r="Y231" s="10" t="s">
        <v>148</v>
      </c>
      <c r="Z231" s="10">
        <f t="shared" si="48"/>
        <v>0</v>
      </c>
    </row>
    <row r="232" spans="1:26">
      <c r="A232" s="10" t="s">
        <v>59</v>
      </c>
      <c r="B232" s="10">
        <f t="shared" si="44"/>
        <v>146.250936</v>
      </c>
      <c r="G232" s="10" t="s">
        <v>59</v>
      </c>
      <c r="H232" s="10">
        <f t="shared" si="45"/>
        <v>147.862728</v>
      </c>
      <c r="M232" s="10" t="s">
        <v>59</v>
      </c>
      <c r="N232" s="10">
        <f t="shared" si="46"/>
        <v>0</v>
      </c>
      <c r="S232" s="10" t="s">
        <v>59</v>
      </c>
      <c r="T232" s="10">
        <f t="shared" si="47"/>
        <v>0</v>
      </c>
      <c r="Y232" s="10" t="s">
        <v>59</v>
      </c>
      <c r="Z232" s="10">
        <f t="shared" si="48"/>
        <v>0</v>
      </c>
    </row>
    <row r="233" spans="1:26">
      <c r="A233" s="10" t="s">
        <v>149</v>
      </c>
      <c r="B233" s="10">
        <f t="shared" si="44"/>
        <v>4.2699999999999996</v>
      </c>
      <c r="G233" s="10" t="s">
        <v>149</v>
      </c>
      <c r="H233" s="10">
        <f t="shared" si="45"/>
        <v>0.61</v>
      </c>
      <c r="M233" s="10" t="s">
        <v>149</v>
      </c>
      <c r="N233" s="10">
        <f t="shared" si="46"/>
        <v>0</v>
      </c>
      <c r="S233" s="10" t="s">
        <v>149</v>
      </c>
      <c r="T233" s="10">
        <f t="shared" si="47"/>
        <v>0</v>
      </c>
      <c r="Y233" s="10" t="s">
        <v>149</v>
      </c>
      <c r="Z233" s="10">
        <f t="shared" si="48"/>
        <v>0</v>
      </c>
    </row>
    <row r="234" spans="1:26">
      <c r="A234" s="10" t="s">
        <v>38</v>
      </c>
      <c r="B234" s="10">
        <f t="shared" si="44"/>
        <v>838.25976000000003</v>
      </c>
      <c r="G234" s="10" t="s">
        <v>38</v>
      </c>
      <c r="H234" s="10">
        <f t="shared" si="45"/>
        <v>949.52457600000002</v>
      </c>
      <c r="M234" s="10" t="s">
        <v>38</v>
      </c>
      <c r="N234" s="10">
        <f t="shared" si="46"/>
        <v>0</v>
      </c>
      <c r="S234" s="10" t="s">
        <v>38</v>
      </c>
      <c r="T234" s="10">
        <f t="shared" si="47"/>
        <v>0</v>
      </c>
      <c r="Y234" s="10" t="s">
        <v>38</v>
      </c>
      <c r="Z234" s="10">
        <f t="shared" si="48"/>
        <v>0</v>
      </c>
    </row>
    <row r="235" spans="1:26">
      <c r="A235" s="10" t="s">
        <v>39</v>
      </c>
      <c r="B235" s="10">
        <f t="shared" si="44"/>
        <v>20906.643575999999</v>
      </c>
      <c r="G235" s="10" t="s">
        <v>39</v>
      </c>
      <c r="H235" s="10">
        <f t="shared" si="45"/>
        <v>20776.484976</v>
      </c>
      <c r="M235" s="10" t="s">
        <v>39</v>
      </c>
      <c r="N235" s="10">
        <f t="shared" si="46"/>
        <v>0</v>
      </c>
      <c r="S235" s="10" t="s">
        <v>39</v>
      </c>
      <c r="T235" s="10">
        <f t="shared" si="47"/>
        <v>0</v>
      </c>
      <c r="Y235" s="10" t="s">
        <v>39</v>
      </c>
      <c r="Z235" s="10">
        <f t="shared" si="48"/>
        <v>0</v>
      </c>
    </row>
    <row r="236" spans="1:26">
      <c r="A236" s="10" t="s">
        <v>150</v>
      </c>
      <c r="B236" s="10">
        <f t="shared" si="44"/>
        <v>0</v>
      </c>
      <c r="G236" s="10" t="s">
        <v>150</v>
      </c>
      <c r="H236" s="10">
        <f t="shared" si="45"/>
        <v>0</v>
      </c>
      <c r="M236" s="10" t="s">
        <v>150</v>
      </c>
      <c r="N236" s="10">
        <f t="shared" si="46"/>
        <v>0</v>
      </c>
      <c r="S236" s="10" t="s">
        <v>150</v>
      </c>
      <c r="T236" s="10">
        <f t="shared" si="47"/>
        <v>0</v>
      </c>
      <c r="Y236" s="10" t="s">
        <v>150</v>
      </c>
      <c r="Z236" s="10">
        <f t="shared" si="48"/>
        <v>0</v>
      </c>
    </row>
    <row r="237" spans="1:26">
      <c r="A237" s="10" t="s">
        <v>40</v>
      </c>
      <c r="B237" s="10">
        <f t="shared" si="44"/>
        <v>29412.364175999999</v>
      </c>
      <c r="G237" s="10" t="s">
        <v>40</v>
      </c>
      <c r="H237" s="10">
        <f t="shared" si="45"/>
        <v>31844.711808</v>
      </c>
      <c r="M237" s="10" t="s">
        <v>40</v>
      </c>
      <c r="N237" s="10">
        <f t="shared" si="46"/>
        <v>0</v>
      </c>
      <c r="S237" s="10" t="s">
        <v>40</v>
      </c>
      <c r="T237" s="10">
        <f t="shared" si="47"/>
        <v>0</v>
      </c>
      <c r="Y237" s="10" t="s">
        <v>40</v>
      </c>
      <c r="Z237" s="10">
        <f t="shared" si="48"/>
        <v>0</v>
      </c>
    </row>
    <row r="238" spans="1:26">
      <c r="A238" s="10" t="s">
        <v>151</v>
      </c>
      <c r="B238" s="10">
        <f t="shared" si="44"/>
        <v>28.06</v>
      </c>
      <c r="G238" s="10" t="s">
        <v>151</v>
      </c>
      <c r="H238" s="10">
        <f t="shared" si="45"/>
        <v>13.42</v>
      </c>
      <c r="M238" s="10" t="s">
        <v>151</v>
      </c>
      <c r="N238" s="10">
        <f t="shared" si="46"/>
        <v>0</v>
      </c>
      <c r="S238" s="10" t="s">
        <v>151</v>
      </c>
      <c r="T238" s="10">
        <f t="shared" si="47"/>
        <v>0</v>
      </c>
      <c r="Y238" s="10" t="s">
        <v>151</v>
      </c>
      <c r="Z238" s="10">
        <f t="shared" si="48"/>
        <v>0</v>
      </c>
    </row>
    <row r="239" spans="1:26">
      <c r="A239" s="10" t="s">
        <v>41</v>
      </c>
      <c r="B239" s="10">
        <f t="shared" si="44"/>
        <v>1176.902376</v>
      </c>
      <c r="G239" s="10" t="s">
        <v>41</v>
      </c>
      <c r="H239" s="10">
        <f t="shared" si="45"/>
        <v>1174.1009280000001</v>
      </c>
      <c r="M239" s="10" t="s">
        <v>41</v>
      </c>
      <c r="N239" s="10">
        <f t="shared" si="46"/>
        <v>0</v>
      </c>
      <c r="S239" s="10" t="s">
        <v>41</v>
      </c>
      <c r="T239" s="10">
        <f t="shared" si="47"/>
        <v>0</v>
      </c>
      <c r="Y239" s="10" t="s">
        <v>41</v>
      </c>
      <c r="Z239" s="10">
        <f t="shared" si="48"/>
        <v>0</v>
      </c>
    </row>
    <row r="240" spans="1:26">
      <c r="A240" s="10" t="s">
        <v>152</v>
      </c>
      <c r="B240" s="10">
        <f t="shared" si="44"/>
        <v>0.61</v>
      </c>
      <c r="G240" s="10" t="s">
        <v>152</v>
      </c>
      <c r="H240" s="10">
        <f t="shared" si="45"/>
        <v>7.32</v>
      </c>
      <c r="M240" s="10" t="s">
        <v>152</v>
      </c>
      <c r="N240" s="10">
        <f t="shared" si="46"/>
        <v>0</v>
      </c>
      <c r="S240" s="10" t="s">
        <v>152</v>
      </c>
      <c r="T240" s="10">
        <f t="shared" si="47"/>
        <v>0</v>
      </c>
      <c r="Y240" s="10" t="s">
        <v>152</v>
      </c>
      <c r="Z240" s="10">
        <f t="shared" si="48"/>
        <v>0</v>
      </c>
    </row>
    <row r="241" spans="1:26">
      <c r="A241" s="10" t="s">
        <v>153</v>
      </c>
      <c r="B241" s="10">
        <f t="shared" si="44"/>
        <v>188.24</v>
      </c>
      <c r="G241" s="10" t="s">
        <v>153</v>
      </c>
      <c r="H241" s="10">
        <f t="shared" si="45"/>
        <v>208.19</v>
      </c>
      <c r="M241" s="10" t="s">
        <v>153</v>
      </c>
      <c r="N241" s="10">
        <f t="shared" si="46"/>
        <v>0</v>
      </c>
      <c r="S241" s="10" t="s">
        <v>153</v>
      </c>
      <c r="T241" s="10">
        <f t="shared" si="47"/>
        <v>0</v>
      </c>
      <c r="Y241" s="10" t="s">
        <v>153</v>
      </c>
      <c r="Z241" s="10">
        <f t="shared" si="48"/>
        <v>0</v>
      </c>
    </row>
    <row r="242" spans="1:26">
      <c r="A242" s="10" t="s">
        <v>154</v>
      </c>
      <c r="B242" s="10">
        <f t="shared" si="44"/>
        <v>0</v>
      </c>
      <c r="G242" s="10" t="s">
        <v>154</v>
      </c>
      <c r="H242" s="10">
        <f t="shared" si="45"/>
        <v>0</v>
      </c>
      <c r="M242" s="10" t="s">
        <v>154</v>
      </c>
      <c r="N242" s="10">
        <f t="shared" si="46"/>
        <v>0</v>
      </c>
      <c r="S242" s="10" t="s">
        <v>154</v>
      </c>
      <c r="T242" s="10">
        <f t="shared" si="47"/>
        <v>0</v>
      </c>
      <c r="Y242" s="10" t="s">
        <v>154</v>
      </c>
      <c r="Z242" s="10">
        <f t="shared" si="48"/>
        <v>0</v>
      </c>
    </row>
    <row r="243" spans="1:26">
      <c r="A243" s="10" t="s">
        <v>155</v>
      </c>
      <c r="B243" s="10">
        <f t="shared" si="44"/>
        <v>156.77000000000001</v>
      </c>
      <c r="G243" s="10" t="s">
        <v>155</v>
      </c>
      <c r="H243" s="10">
        <f t="shared" si="45"/>
        <v>81.92</v>
      </c>
      <c r="M243" s="10" t="s">
        <v>155</v>
      </c>
      <c r="N243" s="10">
        <f t="shared" si="46"/>
        <v>0</v>
      </c>
      <c r="S243" s="10" t="s">
        <v>155</v>
      </c>
      <c r="T243" s="10">
        <f t="shared" si="47"/>
        <v>0</v>
      </c>
      <c r="Y243" s="10" t="s">
        <v>155</v>
      </c>
      <c r="Z243" s="10">
        <f t="shared" si="48"/>
        <v>0</v>
      </c>
    </row>
    <row r="244" spans="1:26">
      <c r="A244" s="10" t="s">
        <v>156</v>
      </c>
      <c r="B244" s="10">
        <f t="shared" si="44"/>
        <v>708.22645599999998</v>
      </c>
      <c r="G244" s="10" t="s">
        <v>156</v>
      </c>
      <c r="H244" s="10">
        <f t="shared" si="45"/>
        <v>768.56828599999994</v>
      </c>
      <c r="M244" s="10" t="s">
        <v>156</v>
      </c>
      <c r="N244" s="10">
        <f t="shared" si="46"/>
        <v>0</v>
      </c>
      <c r="S244" s="10" t="s">
        <v>156</v>
      </c>
      <c r="T244" s="10">
        <f t="shared" si="47"/>
        <v>0</v>
      </c>
      <c r="Y244" s="10" t="s">
        <v>156</v>
      </c>
      <c r="Z244" s="10">
        <f t="shared" si="48"/>
        <v>0</v>
      </c>
    </row>
    <row r="245" spans="1:26">
      <c r="A245" s="10" t="s">
        <v>58</v>
      </c>
      <c r="B245" s="10">
        <f t="shared" si="44"/>
        <v>316.06473599999998</v>
      </c>
      <c r="G245" s="10" t="s">
        <v>58</v>
      </c>
      <c r="H245" s="10">
        <f t="shared" si="45"/>
        <v>411.46747199999999</v>
      </c>
      <c r="M245" s="10" t="s">
        <v>58</v>
      </c>
      <c r="N245" s="10">
        <f t="shared" si="46"/>
        <v>0</v>
      </c>
      <c r="S245" s="10" t="s">
        <v>58</v>
      </c>
      <c r="T245" s="10">
        <f t="shared" si="47"/>
        <v>0</v>
      </c>
      <c r="Y245" s="10" t="s">
        <v>58</v>
      </c>
      <c r="Z245" s="10">
        <f t="shared" si="48"/>
        <v>0</v>
      </c>
    </row>
    <row r="246" spans="1:26">
      <c r="A246" s="10" t="s">
        <v>157</v>
      </c>
      <c r="B246" s="10">
        <f t="shared" si="44"/>
        <v>1371.6181349999999</v>
      </c>
      <c r="G246" s="10" t="s">
        <v>157</v>
      </c>
      <c r="H246" s="10">
        <f t="shared" si="45"/>
        <v>1387.7029239999999</v>
      </c>
      <c r="M246" s="10" t="s">
        <v>157</v>
      </c>
      <c r="N246" s="10">
        <f t="shared" si="46"/>
        <v>0</v>
      </c>
      <c r="S246" s="10" t="s">
        <v>157</v>
      </c>
      <c r="T246" s="10">
        <f t="shared" si="47"/>
        <v>0</v>
      </c>
      <c r="Y246" s="10" t="s">
        <v>157</v>
      </c>
      <c r="Z246" s="10">
        <f t="shared" si="48"/>
        <v>0</v>
      </c>
    </row>
    <row r="247" spans="1:26">
      <c r="A247" s="10" t="s">
        <v>158</v>
      </c>
      <c r="B247" s="10">
        <f t="shared" si="44"/>
        <v>879.274</v>
      </c>
      <c r="G247" s="10" t="s">
        <v>158</v>
      </c>
      <c r="H247" s="10">
        <f t="shared" si="45"/>
        <v>879.85799999999995</v>
      </c>
      <c r="M247" s="10" t="s">
        <v>158</v>
      </c>
      <c r="N247" s="10">
        <f t="shared" si="46"/>
        <v>0</v>
      </c>
      <c r="S247" s="10" t="s">
        <v>158</v>
      </c>
      <c r="T247" s="10">
        <f t="shared" si="47"/>
        <v>0</v>
      </c>
      <c r="Y247" s="10" t="s">
        <v>158</v>
      </c>
      <c r="Z247" s="10">
        <f t="shared" si="48"/>
        <v>0</v>
      </c>
    </row>
    <row r="248" spans="1:26">
      <c r="A248" s="10" t="s">
        <v>42</v>
      </c>
      <c r="B248" s="10">
        <f t="shared" si="44"/>
        <v>4323.1587360000003</v>
      </c>
      <c r="G248" s="10" t="s">
        <v>42</v>
      </c>
      <c r="H248" s="10">
        <f t="shared" si="45"/>
        <v>4464.3312480000004</v>
      </c>
      <c r="M248" s="10" t="s">
        <v>42</v>
      </c>
      <c r="N248" s="10">
        <f t="shared" si="46"/>
        <v>0</v>
      </c>
      <c r="S248" s="10" t="s">
        <v>42</v>
      </c>
      <c r="T248" s="10">
        <f t="shared" si="47"/>
        <v>0</v>
      </c>
      <c r="Y248" s="10" t="s">
        <v>42</v>
      </c>
      <c r="Z248" s="10">
        <f t="shared" si="48"/>
        <v>0</v>
      </c>
    </row>
    <row r="249" spans="1:26">
      <c r="A249" s="10" t="s">
        <v>159</v>
      </c>
      <c r="B249" s="10">
        <f t="shared" si="44"/>
        <v>998.33281999999997</v>
      </c>
      <c r="G249" s="10" t="s">
        <v>159</v>
      </c>
      <c r="H249" s="10">
        <f t="shared" si="45"/>
        <v>1037.779456</v>
      </c>
      <c r="M249" s="10" t="s">
        <v>159</v>
      </c>
      <c r="N249" s="10">
        <f t="shared" si="46"/>
        <v>0</v>
      </c>
      <c r="S249" s="10" t="s">
        <v>159</v>
      </c>
      <c r="T249" s="10">
        <f t="shared" si="47"/>
        <v>0</v>
      </c>
      <c r="Y249" s="10" t="s">
        <v>159</v>
      </c>
      <c r="Z249" s="10">
        <f t="shared" si="48"/>
        <v>0</v>
      </c>
    </row>
    <row r="250" spans="1:26">
      <c r="A250" s="10" t="s">
        <v>11</v>
      </c>
      <c r="B250" s="10">
        <f t="shared" si="44"/>
        <v>15776.296848</v>
      </c>
      <c r="G250" s="10" t="s">
        <v>11</v>
      </c>
      <c r="H250" s="10">
        <f t="shared" si="45"/>
        <v>14798.988047999999</v>
      </c>
      <c r="M250" s="10" t="s">
        <v>11</v>
      </c>
      <c r="N250" s="10">
        <f t="shared" si="46"/>
        <v>0</v>
      </c>
      <c r="S250" s="10" t="s">
        <v>11</v>
      </c>
      <c r="T250" s="10">
        <f t="shared" si="47"/>
        <v>0</v>
      </c>
      <c r="Y250" s="10" t="s">
        <v>11</v>
      </c>
      <c r="Z250" s="10">
        <f t="shared" si="48"/>
        <v>0</v>
      </c>
    </row>
    <row r="251" spans="1:26">
      <c r="A251" s="10" t="s">
        <v>13</v>
      </c>
      <c r="B251" s="10">
        <f t="shared" si="44"/>
        <v>18882.084194999999</v>
      </c>
      <c r="G251" s="10" t="s">
        <v>13</v>
      </c>
      <c r="H251" s="10">
        <f t="shared" si="45"/>
        <v>18735.534674999999</v>
      </c>
      <c r="M251" s="10" t="s">
        <v>13</v>
      </c>
      <c r="N251" s="10">
        <f t="shared" si="46"/>
        <v>0</v>
      </c>
      <c r="S251" s="10" t="s">
        <v>13</v>
      </c>
      <c r="T251" s="10">
        <f t="shared" si="47"/>
        <v>0</v>
      </c>
      <c r="Y251" s="10" t="s">
        <v>13</v>
      </c>
      <c r="Z251" s="10">
        <f t="shared" si="48"/>
        <v>0</v>
      </c>
    </row>
    <row r="252" spans="1:26">
      <c r="A252" s="10" t="s">
        <v>160</v>
      </c>
      <c r="B252" s="10">
        <f t="shared" si="44"/>
        <v>293.52</v>
      </c>
      <c r="G252" s="10" t="s">
        <v>160</v>
      </c>
      <c r="H252" s="10">
        <f t="shared" si="45"/>
        <v>460.56</v>
      </c>
      <c r="M252" s="10" t="s">
        <v>160</v>
      </c>
      <c r="N252" s="10">
        <f t="shared" si="46"/>
        <v>0</v>
      </c>
      <c r="S252" s="10" t="s">
        <v>160</v>
      </c>
      <c r="T252" s="10">
        <f t="shared" si="47"/>
        <v>0</v>
      </c>
      <c r="Y252" s="10" t="s">
        <v>160</v>
      </c>
      <c r="Z252" s="10">
        <f t="shared" si="48"/>
        <v>0</v>
      </c>
    </row>
    <row r="253" spans="1:26">
      <c r="A253" s="10" t="s">
        <v>161</v>
      </c>
      <c r="B253" s="10">
        <f t="shared" si="44"/>
        <v>129.32</v>
      </c>
      <c r="G253" s="10" t="s">
        <v>161</v>
      </c>
      <c r="H253" s="10">
        <f t="shared" si="45"/>
        <v>159.82</v>
      </c>
      <c r="M253" s="10" t="s">
        <v>161</v>
      </c>
      <c r="N253" s="10">
        <f t="shared" si="46"/>
        <v>0</v>
      </c>
      <c r="S253" s="10" t="s">
        <v>161</v>
      </c>
      <c r="T253" s="10">
        <f t="shared" si="47"/>
        <v>0</v>
      </c>
      <c r="Y253" s="10" t="s">
        <v>161</v>
      </c>
      <c r="Z253" s="10">
        <f t="shared" si="48"/>
        <v>0</v>
      </c>
    </row>
    <row r="254" spans="1:26">
      <c r="A254" s="10" t="s">
        <v>162</v>
      </c>
      <c r="B254" s="10">
        <f t="shared" si="44"/>
        <v>3.6</v>
      </c>
      <c r="G254" s="10" t="s">
        <v>162</v>
      </c>
      <c r="H254" s="10">
        <f t="shared" si="45"/>
        <v>7.2</v>
      </c>
      <c r="M254" s="10" t="s">
        <v>162</v>
      </c>
      <c r="N254" s="10">
        <f t="shared" si="46"/>
        <v>0</v>
      </c>
      <c r="S254" s="10" t="s">
        <v>162</v>
      </c>
      <c r="T254" s="10">
        <f t="shared" si="47"/>
        <v>0</v>
      </c>
      <c r="Y254" s="10" t="s">
        <v>162</v>
      </c>
      <c r="Z254" s="10">
        <f t="shared" si="48"/>
        <v>0</v>
      </c>
    </row>
    <row r="255" spans="1:26">
      <c r="A255" s="10" t="s">
        <v>201</v>
      </c>
      <c r="B255" s="10">
        <f t="shared" si="44"/>
        <v>0.62</v>
      </c>
      <c r="G255" s="10" t="s">
        <v>201</v>
      </c>
      <c r="H255" s="10">
        <f t="shared" si="45"/>
        <v>0</v>
      </c>
      <c r="M255" s="10" t="s">
        <v>201</v>
      </c>
      <c r="N255" s="10">
        <f t="shared" si="46"/>
        <v>0</v>
      </c>
      <c r="S255" s="10" t="s">
        <v>201</v>
      </c>
      <c r="T255" s="10">
        <f t="shared" si="47"/>
        <v>0</v>
      </c>
      <c r="Y255" s="10" t="s">
        <v>201</v>
      </c>
      <c r="Z255" s="10">
        <f t="shared" si="48"/>
        <v>0</v>
      </c>
    </row>
    <row r="256" spans="1:26">
      <c r="A256" s="10" t="s">
        <v>57</v>
      </c>
      <c r="B256" s="10">
        <f t="shared" si="44"/>
        <v>264.78160800000001</v>
      </c>
      <c r="G256" s="10" t="s">
        <v>57</v>
      </c>
      <c r="H256" s="10">
        <f t="shared" si="45"/>
        <v>301.469064</v>
      </c>
      <c r="M256" s="10" t="s">
        <v>57</v>
      </c>
      <c r="N256" s="10">
        <f t="shared" si="46"/>
        <v>0</v>
      </c>
      <c r="S256" s="10" t="s">
        <v>57</v>
      </c>
      <c r="T256" s="10">
        <f t="shared" si="47"/>
        <v>0</v>
      </c>
      <c r="Y256" s="10" t="s">
        <v>57</v>
      </c>
      <c r="Z256" s="10">
        <f t="shared" si="48"/>
        <v>0</v>
      </c>
    </row>
    <row r="257" spans="1:26">
      <c r="A257" s="10" t="s">
        <v>56</v>
      </c>
      <c r="B257" s="10">
        <f t="shared" si="44"/>
        <v>66.505607999999995</v>
      </c>
      <c r="G257" s="10" t="s">
        <v>56</v>
      </c>
      <c r="H257" s="10">
        <f t="shared" si="45"/>
        <v>59.956104000000003</v>
      </c>
      <c r="M257" s="10" t="s">
        <v>56</v>
      </c>
      <c r="N257" s="10">
        <f t="shared" si="46"/>
        <v>0</v>
      </c>
      <c r="S257" s="10" t="s">
        <v>56</v>
      </c>
      <c r="T257" s="10">
        <f t="shared" si="47"/>
        <v>0</v>
      </c>
      <c r="Y257" s="10" t="s">
        <v>56</v>
      </c>
      <c r="Z257" s="10">
        <f t="shared" si="48"/>
        <v>0</v>
      </c>
    </row>
    <row r="258" spans="1:26">
      <c r="A258" s="10" t="s">
        <v>43</v>
      </c>
      <c r="B258" s="10">
        <f t="shared" si="44"/>
        <v>702.67735200000004</v>
      </c>
      <c r="G258" s="10" t="s">
        <v>43</v>
      </c>
      <c r="H258" s="10">
        <f t="shared" si="45"/>
        <v>735.71908800000006</v>
      </c>
      <c r="M258" s="10" t="s">
        <v>43</v>
      </c>
      <c r="N258" s="10">
        <f t="shared" si="46"/>
        <v>0</v>
      </c>
      <c r="S258" s="10" t="s">
        <v>43</v>
      </c>
      <c r="T258" s="10">
        <f t="shared" si="47"/>
        <v>0</v>
      </c>
      <c r="Y258" s="10" t="s">
        <v>43</v>
      </c>
      <c r="Z258" s="10">
        <f t="shared" si="48"/>
        <v>0</v>
      </c>
    </row>
    <row r="259" spans="1:26">
      <c r="A259" s="10" t="s">
        <v>163</v>
      </c>
      <c r="B259" s="10">
        <f t="shared" si="44"/>
        <v>25.42</v>
      </c>
      <c r="G259" s="10" t="s">
        <v>163</v>
      </c>
      <c r="H259" s="10">
        <f t="shared" si="45"/>
        <v>37.200000000000003</v>
      </c>
      <c r="M259" s="10" t="s">
        <v>163</v>
      </c>
      <c r="N259" s="10">
        <f t="shared" si="46"/>
        <v>0</v>
      </c>
      <c r="S259" s="10" t="s">
        <v>163</v>
      </c>
      <c r="T259" s="10">
        <f t="shared" si="47"/>
        <v>0</v>
      </c>
      <c r="Y259" s="10" t="s">
        <v>163</v>
      </c>
      <c r="Z259" s="10">
        <f t="shared" si="48"/>
        <v>0</v>
      </c>
    </row>
    <row r="260" spans="1:26">
      <c r="A260" s="10" t="s">
        <v>164</v>
      </c>
      <c r="B260" s="10">
        <f t="shared" si="44"/>
        <v>470.44</v>
      </c>
      <c r="G260" s="10" t="s">
        <v>164</v>
      </c>
      <c r="H260" s="10">
        <f t="shared" si="45"/>
        <v>522.52</v>
      </c>
      <c r="M260" s="10" t="s">
        <v>164</v>
      </c>
      <c r="N260" s="10">
        <f t="shared" si="46"/>
        <v>0</v>
      </c>
      <c r="S260" s="10" t="s">
        <v>164</v>
      </c>
      <c r="T260" s="10">
        <f t="shared" si="47"/>
        <v>0</v>
      </c>
      <c r="Y260" s="10" t="s">
        <v>164</v>
      </c>
      <c r="Z260" s="10">
        <f t="shared" si="48"/>
        <v>0</v>
      </c>
    </row>
    <row r="261" spans="1:26">
      <c r="A261" s="10" t="s">
        <v>55</v>
      </c>
      <c r="B261" s="10">
        <f t="shared" si="44"/>
        <v>93.675815999999998</v>
      </c>
      <c r="G261" s="10" t="s">
        <v>55</v>
      </c>
      <c r="H261" s="10">
        <f t="shared" si="45"/>
        <v>43.595135999999997</v>
      </c>
      <c r="M261" s="10" t="s">
        <v>55</v>
      </c>
      <c r="N261" s="10">
        <f t="shared" si="46"/>
        <v>0</v>
      </c>
      <c r="S261" s="10" t="s">
        <v>55</v>
      </c>
      <c r="T261" s="10">
        <f t="shared" si="47"/>
        <v>0</v>
      </c>
      <c r="Y261" s="10" t="s">
        <v>55</v>
      </c>
      <c r="Z261" s="10">
        <f t="shared" si="48"/>
        <v>0</v>
      </c>
    </row>
    <row r="262" spans="1:26">
      <c r="A262" s="10" t="s">
        <v>165</v>
      </c>
      <c r="B262" s="10">
        <f t="shared" si="44"/>
        <v>35.130000000000003</v>
      </c>
      <c r="G262" s="10" t="s">
        <v>165</v>
      </c>
      <c r="H262" s="10">
        <f t="shared" si="45"/>
        <v>55.51</v>
      </c>
      <c r="M262" s="10" t="s">
        <v>165</v>
      </c>
      <c r="N262" s="10">
        <f t="shared" si="46"/>
        <v>0</v>
      </c>
      <c r="S262" s="10" t="s">
        <v>165</v>
      </c>
      <c r="T262" s="10">
        <f t="shared" si="47"/>
        <v>0</v>
      </c>
      <c r="Y262" s="10" t="s">
        <v>165</v>
      </c>
      <c r="Z262" s="10">
        <f t="shared" si="48"/>
        <v>0</v>
      </c>
    </row>
    <row r="263" spans="1:26">
      <c r="A263" s="10" t="s">
        <v>73</v>
      </c>
      <c r="B263" s="10">
        <f t="shared" si="44"/>
        <v>19294.572208000001</v>
      </c>
      <c r="G263" s="10" t="s">
        <v>73</v>
      </c>
      <c r="H263" s="10">
        <f t="shared" si="45"/>
        <v>18416.869674000001</v>
      </c>
      <c r="M263" s="10" t="s">
        <v>73</v>
      </c>
      <c r="N263" s="10">
        <f t="shared" si="46"/>
        <v>0</v>
      </c>
      <c r="S263" s="10" t="s">
        <v>73</v>
      </c>
      <c r="T263" s="10">
        <f t="shared" si="47"/>
        <v>0</v>
      </c>
      <c r="Y263" s="10" t="s">
        <v>73</v>
      </c>
      <c r="Z263" s="10">
        <f t="shared" si="48"/>
        <v>0</v>
      </c>
    </row>
    <row r="264" spans="1:26">
      <c r="A264" s="10" t="s">
        <v>166</v>
      </c>
      <c r="B264" s="10">
        <f t="shared" ref="B264:B310" si="49">B67</f>
        <v>0</v>
      </c>
      <c r="G264" s="10" t="s">
        <v>166</v>
      </c>
      <c r="H264" s="10">
        <f t="shared" ref="H264:H310" si="50">H67</f>
        <v>1.22</v>
      </c>
      <c r="M264" s="10" t="s">
        <v>166</v>
      </c>
      <c r="N264" s="10">
        <f t="shared" ref="N264:N310" si="51">N67</f>
        <v>0</v>
      </c>
      <c r="S264" s="10" t="s">
        <v>166</v>
      </c>
      <c r="T264" s="10">
        <f t="shared" ref="T264:T310" si="52">T67</f>
        <v>0</v>
      </c>
      <c r="Y264" s="10" t="s">
        <v>166</v>
      </c>
      <c r="Z264" s="10">
        <f t="shared" ref="Z264:Z310" si="53">Z67</f>
        <v>0</v>
      </c>
    </row>
    <row r="265" spans="1:26">
      <c r="A265" s="10" t="s">
        <v>167</v>
      </c>
      <c r="B265" s="10">
        <f t="shared" si="49"/>
        <v>4.8</v>
      </c>
      <c r="G265" s="10" t="s">
        <v>167</v>
      </c>
      <c r="H265" s="10">
        <f t="shared" si="50"/>
        <v>13.8</v>
      </c>
      <c r="M265" s="10" t="s">
        <v>167</v>
      </c>
      <c r="N265" s="10">
        <f t="shared" si="51"/>
        <v>0</v>
      </c>
      <c r="S265" s="10" t="s">
        <v>167</v>
      </c>
      <c r="T265" s="10">
        <f t="shared" si="52"/>
        <v>0</v>
      </c>
      <c r="Y265" s="10" t="s">
        <v>167</v>
      </c>
      <c r="Z265" s="10">
        <f t="shared" si="53"/>
        <v>0</v>
      </c>
    </row>
    <row r="266" spans="1:26">
      <c r="A266" s="10" t="s">
        <v>168</v>
      </c>
      <c r="B266" s="10">
        <f t="shared" si="49"/>
        <v>7.44</v>
      </c>
      <c r="G266" s="10" t="s">
        <v>168</v>
      </c>
      <c r="H266" s="10">
        <f t="shared" si="50"/>
        <v>19.84</v>
      </c>
      <c r="M266" s="10" t="s">
        <v>168</v>
      </c>
      <c r="N266" s="10">
        <f t="shared" si="51"/>
        <v>0</v>
      </c>
      <c r="S266" s="10" t="s">
        <v>168</v>
      </c>
      <c r="T266" s="10">
        <f t="shared" si="52"/>
        <v>0</v>
      </c>
      <c r="Y266" s="10" t="s">
        <v>168</v>
      </c>
      <c r="Z266" s="10">
        <f t="shared" si="53"/>
        <v>0</v>
      </c>
    </row>
    <row r="267" spans="1:26">
      <c r="A267" s="10" t="s">
        <v>202</v>
      </c>
      <c r="B267" s="10">
        <f t="shared" si="49"/>
        <v>0</v>
      </c>
      <c r="G267" s="10" t="s">
        <v>202</v>
      </c>
      <c r="H267" s="10">
        <f t="shared" si="50"/>
        <v>0</v>
      </c>
      <c r="M267" s="10" t="s">
        <v>202</v>
      </c>
      <c r="N267" s="10">
        <f t="shared" si="51"/>
        <v>0</v>
      </c>
      <c r="S267" s="10" t="s">
        <v>202</v>
      </c>
      <c r="T267" s="10">
        <f t="shared" si="52"/>
        <v>0</v>
      </c>
      <c r="Y267" s="10" t="s">
        <v>202</v>
      </c>
      <c r="Z267" s="10">
        <f t="shared" si="53"/>
        <v>0</v>
      </c>
    </row>
    <row r="268" spans="1:26">
      <c r="A268" s="10" t="s">
        <v>169</v>
      </c>
      <c r="B268" s="10">
        <f t="shared" si="49"/>
        <v>25.62</v>
      </c>
      <c r="G268" s="10" t="s">
        <v>169</v>
      </c>
      <c r="H268" s="10">
        <f t="shared" si="50"/>
        <v>47.58</v>
      </c>
      <c r="M268" s="10" t="s">
        <v>169</v>
      </c>
      <c r="N268" s="10">
        <f t="shared" si="51"/>
        <v>0</v>
      </c>
      <c r="S268" s="10" t="s">
        <v>169</v>
      </c>
      <c r="T268" s="10">
        <f t="shared" si="52"/>
        <v>0</v>
      </c>
      <c r="Y268" s="10" t="s">
        <v>169</v>
      </c>
      <c r="Z268" s="10">
        <f t="shared" si="53"/>
        <v>0</v>
      </c>
    </row>
    <row r="269" spans="1:26">
      <c r="A269" s="10" t="s">
        <v>170</v>
      </c>
      <c r="B269" s="10">
        <f t="shared" si="49"/>
        <v>52.64</v>
      </c>
      <c r="G269" s="10" t="s">
        <v>170</v>
      </c>
      <c r="H269" s="10">
        <f t="shared" si="50"/>
        <v>103.09</v>
      </c>
      <c r="M269" s="10" t="s">
        <v>170</v>
      </c>
      <c r="N269" s="10">
        <f t="shared" si="51"/>
        <v>0</v>
      </c>
      <c r="S269" s="10" t="s">
        <v>170</v>
      </c>
      <c r="T269" s="10">
        <f t="shared" si="52"/>
        <v>0</v>
      </c>
      <c r="Y269" s="10" t="s">
        <v>170</v>
      </c>
      <c r="Z269" s="10">
        <f t="shared" si="53"/>
        <v>0</v>
      </c>
    </row>
    <row r="270" spans="1:26">
      <c r="A270" s="10" t="s">
        <v>171</v>
      </c>
      <c r="B270" s="10">
        <f t="shared" si="49"/>
        <v>0</v>
      </c>
      <c r="G270" s="10" t="s">
        <v>171</v>
      </c>
      <c r="H270" s="10">
        <f t="shared" si="50"/>
        <v>0</v>
      </c>
      <c r="M270" s="10" t="s">
        <v>171</v>
      </c>
      <c r="N270" s="10">
        <f t="shared" si="51"/>
        <v>0</v>
      </c>
      <c r="S270" s="10" t="s">
        <v>171</v>
      </c>
      <c r="T270" s="10">
        <f t="shared" si="52"/>
        <v>0</v>
      </c>
      <c r="Y270" s="10" t="s">
        <v>171</v>
      </c>
      <c r="Z270" s="10">
        <f t="shared" si="53"/>
        <v>0</v>
      </c>
    </row>
    <row r="271" spans="1:26">
      <c r="A271" s="10" t="s">
        <v>44</v>
      </c>
      <c r="B271" s="10">
        <f t="shared" si="49"/>
        <v>4506.0459600000004</v>
      </c>
      <c r="G271" s="10" t="s">
        <v>44</v>
      </c>
      <c r="H271" s="10">
        <f t="shared" si="50"/>
        <v>5150.0847839999997</v>
      </c>
      <c r="M271" s="10" t="s">
        <v>44</v>
      </c>
      <c r="N271" s="10">
        <f t="shared" si="51"/>
        <v>0</v>
      </c>
      <c r="S271" s="10" t="s">
        <v>44</v>
      </c>
      <c r="T271" s="10">
        <f t="shared" si="52"/>
        <v>0</v>
      </c>
      <c r="Y271" s="10" t="s">
        <v>44</v>
      </c>
      <c r="Z271" s="10">
        <f t="shared" si="53"/>
        <v>0</v>
      </c>
    </row>
    <row r="272" spans="1:26">
      <c r="A272" s="10" t="s">
        <v>45</v>
      </c>
      <c r="B272" s="10">
        <f t="shared" si="49"/>
        <v>4710.8989240000001</v>
      </c>
      <c r="G272" s="10" t="s">
        <v>45</v>
      </c>
      <c r="H272" s="10">
        <f t="shared" si="50"/>
        <v>4231.0648119999996</v>
      </c>
      <c r="M272" s="10" t="s">
        <v>45</v>
      </c>
      <c r="N272" s="10">
        <f t="shared" si="51"/>
        <v>0</v>
      </c>
      <c r="S272" s="10" t="s">
        <v>45</v>
      </c>
      <c r="T272" s="10">
        <f t="shared" si="52"/>
        <v>0</v>
      </c>
      <c r="Y272" s="10" t="s">
        <v>45</v>
      </c>
      <c r="Z272" s="10">
        <f t="shared" si="53"/>
        <v>0</v>
      </c>
    </row>
    <row r="273" spans="1:26">
      <c r="A273" s="10" t="s">
        <v>172</v>
      </c>
      <c r="B273" s="10">
        <f t="shared" si="49"/>
        <v>51.24</v>
      </c>
      <c r="G273" s="10" t="s">
        <v>172</v>
      </c>
      <c r="H273" s="10">
        <f t="shared" si="50"/>
        <v>84.79</v>
      </c>
      <c r="M273" s="10" t="s">
        <v>172</v>
      </c>
      <c r="N273" s="10">
        <f t="shared" si="51"/>
        <v>0</v>
      </c>
      <c r="S273" s="10" t="s">
        <v>172</v>
      </c>
      <c r="T273" s="10">
        <f t="shared" si="52"/>
        <v>0</v>
      </c>
      <c r="Y273" s="10" t="s">
        <v>172</v>
      </c>
      <c r="Z273" s="10">
        <f t="shared" si="53"/>
        <v>0</v>
      </c>
    </row>
    <row r="274" spans="1:26">
      <c r="A274" s="10" t="s">
        <v>173</v>
      </c>
      <c r="B274" s="10">
        <f t="shared" si="49"/>
        <v>0</v>
      </c>
      <c r="G274" s="10" t="s">
        <v>173</v>
      </c>
      <c r="H274" s="10">
        <f t="shared" si="50"/>
        <v>3.05</v>
      </c>
      <c r="M274" s="10" t="s">
        <v>173</v>
      </c>
      <c r="N274" s="10">
        <f t="shared" si="51"/>
        <v>0</v>
      </c>
      <c r="S274" s="10" t="s">
        <v>173</v>
      </c>
      <c r="T274" s="10">
        <f t="shared" si="52"/>
        <v>0</v>
      </c>
      <c r="Y274" s="10" t="s">
        <v>173</v>
      </c>
      <c r="Z274" s="10">
        <f t="shared" si="53"/>
        <v>0</v>
      </c>
    </row>
    <row r="275" spans="1:26">
      <c r="A275" s="10" t="s">
        <v>174</v>
      </c>
      <c r="B275" s="10">
        <f t="shared" si="49"/>
        <v>488.35</v>
      </c>
      <c r="G275" s="10" t="s">
        <v>174</v>
      </c>
      <c r="H275" s="10">
        <f t="shared" si="50"/>
        <v>562.02</v>
      </c>
      <c r="M275" s="10" t="s">
        <v>174</v>
      </c>
      <c r="N275" s="10">
        <f t="shared" si="51"/>
        <v>0</v>
      </c>
      <c r="S275" s="10" t="s">
        <v>174</v>
      </c>
      <c r="T275" s="10">
        <f t="shared" si="52"/>
        <v>0</v>
      </c>
      <c r="Y275" s="10" t="s">
        <v>174</v>
      </c>
      <c r="Z275" s="10">
        <f t="shared" si="53"/>
        <v>0</v>
      </c>
    </row>
    <row r="276" spans="1:26">
      <c r="A276" s="10" t="s">
        <v>46</v>
      </c>
      <c r="B276" s="10">
        <f t="shared" si="49"/>
        <v>2222.6227920000001</v>
      </c>
      <c r="G276" s="10" t="s">
        <v>46</v>
      </c>
      <c r="H276" s="10">
        <f t="shared" si="50"/>
        <v>2435.0339520000002</v>
      </c>
      <c r="M276" s="10" t="s">
        <v>46</v>
      </c>
      <c r="N276" s="10">
        <f t="shared" si="51"/>
        <v>0</v>
      </c>
      <c r="S276" s="10" t="s">
        <v>46</v>
      </c>
      <c r="T276" s="10">
        <f t="shared" si="52"/>
        <v>0</v>
      </c>
      <c r="Y276" s="10" t="s">
        <v>46</v>
      </c>
      <c r="Z276" s="10">
        <f t="shared" si="53"/>
        <v>0</v>
      </c>
    </row>
    <row r="277" spans="1:26">
      <c r="A277" s="10" t="s">
        <v>175</v>
      </c>
      <c r="B277" s="10">
        <f t="shared" si="49"/>
        <v>187.13</v>
      </c>
      <c r="G277" s="10" t="s">
        <v>175</v>
      </c>
      <c r="H277" s="10">
        <f t="shared" si="50"/>
        <v>167.14</v>
      </c>
      <c r="M277" s="10" t="s">
        <v>175</v>
      </c>
      <c r="N277" s="10">
        <f t="shared" si="51"/>
        <v>0</v>
      </c>
      <c r="S277" s="10" t="s">
        <v>175</v>
      </c>
      <c r="T277" s="10">
        <f t="shared" si="52"/>
        <v>0</v>
      </c>
      <c r="Y277" s="10" t="s">
        <v>175</v>
      </c>
      <c r="Z277" s="10">
        <f t="shared" si="53"/>
        <v>0</v>
      </c>
    </row>
    <row r="278" spans="1:26">
      <c r="A278" s="10" t="s">
        <v>176</v>
      </c>
      <c r="B278" s="10">
        <f t="shared" si="49"/>
        <v>0.61</v>
      </c>
      <c r="G278" s="10" t="s">
        <v>176</v>
      </c>
      <c r="H278" s="10">
        <f t="shared" si="50"/>
        <v>8.5399999999999991</v>
      </c>
      <c r="M278" s="10" t="s">
        <v>176</v>
      </c>
      <c r="N278" s="10">
        <f t="shared" si="51"/>
        <v>0</v>
      </c>
      <c r="S278" s="10" t="s">
        <v>176</v>
      </c>
      <c r="T278" s="10">
        <f t="shared" si="52"/>
        <v>0</v>
      </c>
      <c r="Y278" s="10" t="s">
        <v>176</v>
      </c>
      <c r="Z278" s="10">
        <f t="shared" si="53"/>
        <v>0</v>
      </c>
    </row>
    <row r="279" spans="1:26">
      <c r="A279" s="10" t="s">
        <v>177</v>
      </c>
      <c r="B279" s="10">
        <f t="shared" si="49"/>
        <v>88.77</v>
      </c>
      <c r="G279" s="10" t="s">
        <v>177</v>
      </c>
      <c r="H279" s="10">
        <f t="shared" si="50"/>
        <v>112.24</v>
      </c>
      <c r="M279" s="10" t="s">
        <v>177</v>
      </c>
      <c r="N279" s="10">
        <f t="shared" si="51"/>
        <v>0</v>
      </c>
      <c r="S279" s="10" t="s">
        <v>177</v>
      </c>
      <c r="T279" s="10">
        <f t="shared" si="52"/>
        <v>0</v>
      </c>
      <c r="Y279" s="10" t="s">
        <v>177</v>
      </c>
      <c r="Z279" s="10">
        <f t="shared" si="53"/>
        <v>0</v>
      </c>
    </row>
    <row r="280" spans="1:26">
      <c r="A280" s="10" t="s">
        <v>178</v>
      </c>
      <c r="B280" s="10">
        <f t="shared" si="49"/>
        <v>889.35</v>
      </c>
      <c r="G280" s="10" t="s">
        <v>178</v>
      </c>
      <c r="H280" s="10">
        <f t="shared" si="50"/>
        <v>981.1</v>
      </c>
      <c r="M280" s="10" t="s">
        <v>178</v>
      </c>
      <c r="N280" s="10">
        <f t="shared" si="51"/>
        <v>0</v>
      </c>
      <c r="S280" s="10" t="s">
        <v>178</v>
      </c>
      <c r="T280" s="10">
        <f t="shared" si="52"/>
        <v>0</v>
      </c>
      <c r="Y280" s="10" t="s">
        <v>178</v>
      </c>
      <c r="Z280" s="10">
        <f t="shared" si="53"/>
        <v>0</v>
      </c>
    </row>
    <row r="281" spans="1:26">
      <c r="A281" s="10" t="s">
        <v>179</v>
      </c>
      <c r="B281" s="10">
        <f t="shared" si="49"/>
        <v>1175.5</v>
      </c>
      <c r="G281" s="10" t="s">
        <v>179</v>
      </c>
      <c r="H281" s="10">
        <f t="shared" si="50"/>
        <v>1335.8</v>
      </c>
      <c r="M281" s="10" t="s">
        <v>179</v>
      </c>
      <c r="N281" s="10">
        <f t="shared" si="51"/>
        <v>0</v>
      </c>
      <c r="S281" s="10" t="s">
        <v>179</v>
      </c>
      <c r="T281" s="10">
        <f t="shared" si="52"/>
        <v>0</v>
      </c>
      <c r="Y281" s="10" t="s">
        <v>179</v>
      </c>
      <c r="Z281" s="10">
        <f t="shared" si="53"/>
        <v>0</v>
      </c>
    </row>
    <row r="282" spans="1:26">
      <c r="A282" s="10" t="s">
        <v>54</v>
      </c>
      <c r="B282" s="10">
        <f t="shared" si="49"/>
        <v>2757.9040319999999</v>
      </c>
      <c r="G282" s="10" t="s">
        <v>54</v>
      </c>
      <c r="H282" s="10">
        <f t="shared" si="50"/>
        <v>1881.7159919999999</v>
      </c>
      <c r="M282" s="10" t="s">
        <v>54</v>
      </c>
      <c r="N282" s="10">
        <f t="shared" si="51"/>
        <v>0</v>
      </c>
      <c r="S282" s="10" t="s">
        <v>54</v>
      </c>
      <c r="T282" s="10">
        <f t="shared" si="52"/>
        <v>0</v>
      </c>
      <c r="Y282" s="10" t="s">
        <v>54</v>
      </c>
      <c r="Z282" s="10">
        <f t="shared" si="53"/>
        <v>0</v>
      </c>
    </row>
    <row r="283" spans="1:26">
      <c r="A283" s="10" t="s">
        <v>47</v>
      </c>
      <c r="B283" s="10">
        <f t="shared" si="49"/>
        <v>3033.085536</v>
      </c>
      <c r="G283" s="10" t="s">
        <v>47</v>
      </c>
      <c r="H283" s="10">
        <f t="shared" si="50"/>
        <v>2926.0292880000002</v>
      </c>
      <c r="M283" s="10" t="s">
        <v>47</v>
      </c>
      <c r="N283" s="10">
        <f t="shared" si="51"/>
        <v>0</v>
      </c>
      <c r="S283" s="10" t="s">
        <v>47</v>
      </c>
      <c r="T283" s="10">
        <f t="shared" si="52"/>
        <v>0</v>
      </c>
      <c r="Y283" s="10" t="s">
        <v>47</v>
      </c>
      <c r="Z283" s="10">
        <f t="shared" si="53"/>
        <v>0</v>
      </c>
    </row>
    <row r="284" spans="1:26">
      <c r="A284" s="10" t="s">
        <v>53</v>
      </c>
      <c r="B284" s="10">
        <f t="shared" si="49"/>
        <v>258.09139199999998</v>
      </c>
      <c r="G284" s="10" t="s">
        <v>53</v>
      </c>
      <c r="H284" s="10">
        <f t="shared" si="50"/>
        <v>301.99353600000001</v>
      </c>
      <c r="M284" s="10" t="s">
        <v>53</v>
      </c>
      <c r="N284" s="10">
        <f t="shared" si="51"/>
        <v>0</v>
      </c>
      <c r="S284" s="10" t="s">
        <v>53</v>
      </c>
      <c r="T284" s="10">
        <f t="shared" si="52"/>
        <v>0</v>
      </c>
      <c r="Y284" s="10" t="s">
        <v>53</v>
      </c>
      <c r="Z284" s="10">
        <f t="shared" si="53"/>
        <v>0</v>
      </c>
    </row>
    <row r="285" spans="1:26">
      <c r="A285" s="10" t="s">
        <v>180</v>
      </c>
      <c r="B285" s="10">
        <f t="shared" si="49"/>
        <v>23211.925564000001</v>
      </c>
      <c r="G285" s="10" t="s">
        <v>180</v>
      </c>
      <c r="H285" s="10">
        <f t="shared" si="50"/>
        <v>23079.725222000001</v>
      </c>
      <c r="M285" s="10" t="s">
        <v>180</v>
      </c>
      <c r="N285" s="10">
        <f t="shared" si="51"/>
        <v>0</v>
      </c>
      <c r="S285" s="10" t="s">
        <v>180</v>
      </c>
      <c r="T285" s="10">
        <f t="shared" si="52"/>
        <v>0</v>
      </c>
      <c r="Y285" s="10" t="s">
        <v>180</v>
      </c>
      <c r="Z285" s="10">
        <f t="shared" si="53"/>
        <v>0</v>
      </c>
    </row>
    <row r="286" spans="1:26">
      <c r="A286" s="10" t="s">
        <v>181</v>
      </c>
      <c r="B286" s="10">
        <f t="shared" si="49"/>
        <v>15.86</v>
      </c>
      <c r="G286" s="10" t="s">
        <v>181</v>
      </c>
      <c r="H286" s="10">
        <f t="shared" si="50"/>
        <v>1.83</v>
      </c>
      <c r="M286" s="10" t="s">
        <v>181</v>
      </c>
      <c r="N286" s="10">
        <f t="shared" si="51"/>
        <v>0</v>
      </c>
      <c r="S286" s="10" t="s">
        <v>181</v>
      </c>
      <c r="T286" s="10">
        <f t="shared" si="52"/>
        <v>0</v>
      </c>
      <c r="Y286" s="10" t="s">
        <v>181</v>
      </c>
      <c r="Z286" s="10">
        <f t="shared" si="53"/>
        <v>0</v>
      </c>
    </row>
    <row r="287" spans="1:26">
      <c r="A287" s="10" t="s">
        <v>182</v>
      </c>
      <c r="B287" s="10">
        <f t="shared" si="49"/>
        <v>1208.735868</v>
      </c>
      <c r="G287" s="10" t="s">
        <v>182</v>
      </c>
      <c r="H287" s="10">
        <f t="shared" si="50"/>
        <v>1360.3302200000001</v>
      </c>
      <c r="M287" s="10" t="s">
        <v>182</v>
      </c>
      <c r="N287" s="10">
        <f t="shared" si="51"/>
        <v>0</v>
      </c>
      <c r="S287" s="10" t="s">
        <v>182</v>
      </c>
      <c r="T287" s="10">
        <f t="shared" si="52"/>
        <v>0</v>
      </c>
      <c r="Y287" s="10" t="s">
        <v>182</v>
      </c>
      <c r="Z287" s="10">
        <f t="shared" si="53"/>
        <v>0</v>
      </c>
    </row>
    <row r="288" spans="1:26">
      <c r="A288" s="10" t="s">
        <v>52</v>
      </c>
      <c r="B288" s="10">
        <f t="shared" si="49"/>
        <v>244.51908</v>
      </c>
      <c r="G288" s="10" t="s">
        <v>52</v>
      </c>
      <c r="H288" s="10">
        <f t="shared" si="50"/>
        <v>242.70261600000001</v>
      </c>
      <c r="M288" s="10" t="s">
        <v>52</v>
      </c>
      <c r="N288" s="10">
        <f t="shared" si="51"/>
        <v>0</v>
      </c>
      <c r="S288" s="10" t="s">
        <v>52</v>
      </c>
      <c r="T288" s="10">
        <f t="shared" si="52"/>
        <v>0</v>
      </c>
      <c r="Y288" s="10" t="s">
        <v>52</v>
      </c>
      <c r="Z288" s="10">
        <f t="shared" si="53"/>
        <v>0</v>
      </c>
    </row>
    <row r="289" spans="1:26">
      <c r="A289" s="10" t="s">
        <v>90</v>
      </c>
      <c r="B289" s="10">
        <f t="shared" si="49"/>
        <v>139.36884000000001</v>
      </c>
      <c r="G289" s="10" t="s">
        <v>90</v>
      </c>
      <c r="H289" s="10">
        <f t="shared" si="50"/>
        <v>109.972824</v>
      </c>
      <c r="M289" s="10" t="s">
        <v>90</v>
      </c>
      <c r="N289" s="10">
        <f t="shared" si="51"/>
        <v>0</v>
      </c>
      <c r="S289" s="10" t="s">
        <v>90</v>
      </c>
      <c r="T289" s="10">
        <f t="shared" si="52"/>
        <v>0</v>
      </c>
      <c r="Y289" s="10" t="s">
        <v>90</v>
      </c>
      <c r="Z289" s="10">
        <f t="shared" si="53"/>
        <v>0</v>
      </c>
    </row>
    <row r="290" spans="1:26">
      <c r="A290" s="10" t="s">
        <v>183</v>
      </c>
      <c r="B290" s="10">
        <f t="shared" si="49"/>
        <v>5360.2479999999996</v>
      </c>
      <c r="G290" s="10" t="s">
        <v>183</v>
      </c>
      <c r="H290" s="10">
        <f t="shared" si="50"/>
        <v>4904.7120000000004</v>
      </c>
      <c r="M290" s="10" t="s">
        <v>183</v>
      </c>
      <c r="N290" s="10">
        <f t="shared" si="51"/>
        <v>0</v>
      </c>
      <c r="S290" s="10" t="s">
        <v>183</v>
      </c>
      <c r="T290" s="10">
        <f t="shared" si="52"/>
        <v>0</v>
      </c>
      <c r="Y290" s="10" t="s">
        <v>183</v>
      </c>
      <c r="Z290" s="10">
        <f t="shared" si="53"/>
        <v>0</v>
      </c>
    </row>
    <row r="291" spans="1:26">
      <c r="A291" s="10" t="s">
        <v>48</v>
      </c>
      <c r="B291" s="10">
        <f t="shared" si="49"/>
        <v>11074.750752</v>
      </c>
      <c r="G291" s="10" t="s">
        <v>48</v>
      </c>
      <c r="H291" s="10">
        <f t="shared" si="50"/>
        <v>11381.963424</v>
      </c>
      <c r="M291" s="10" t="s">
        <v>48</v>
      </c>
      <c r="N291" s="10">
        <f t="shared" si="51"/>
        <v>0</v>
      </c>
      <c r="S291" s="10" t="s">
        <v>48</v>
      </c>
      <c r="T291" s="10">
        <f t="shared" si="52"/>
        <v>0</v>
      </c>
      <c r="Y291" s="10" t="s">
        <v>48</v>
      </c>
      <c r="Z291" s="10">
        <f t="shared" si="53"/>
        <v>0</v>
      </c>
    </row>
    <row r="292" spans="1:26">
      <c r="A292" s="10" t="s">
        <v>184</v>
      </c>
      <c r="B292" s="10">
        <f t="shared" si="49"/>
        <v>118.42</v>
      </c>
      <c r="G292" s="10" t="s">
        <v>184</v>
      </c>
      <c r="H292" s="10">
        <f t="shared" si="50"/>
        <v>138.26</v>
      </c>
      <c r="M292" s="10" t="s">
        <v>184</v>
      </c>
      <c r="N292" s="10">
        <f t="shared" si="51"/>
        <v>0</v>
      </c>
      <c r="S292" s="10" t="s">
        <v>184</v>
      </c>
      <c r="T292" s="10">
        <f t="shared" si="52"/>
        <v>0</v>
      </c>
      <c r="Y292" s="10" t="s">
        <v>184</v>
      </c>
      <c r="Z292" s="10">
        <f t="shared" si="53"/>
        <v>0</v>
      </c>
    </row>
    <row r="293" spans="1:26">
      <c r="A293" s="10" t="s">
        <v>185</v>
      </c>
      <c r="B293" s="10">
        <f t="shared" si="49"/>
        <v>0</v>
      </c>
      <c r="G293" s="10" t="s">
        <v>185</v>
      </c>
      <c r="H293" s="10">
        <f t="shared" si="50"/>
        <v>0</v>
      </c>
      <c r="M293" s="10" t="s">
        <v>185</v>
      </c>
      <c r="N293" s="10">
        <f t="shared" si="51"/>
        <v>0</v>
      </c>
      <c r="S293" s="10" t="s">
        <v>185</v>
      </c>
      <c r="T293" s="10">
        <f t="shared" si="52"/>
        <v>0</v>
      </c>
      <c r="Y293" s="10" t="s">
        <v>185</v>
      </c>
      <c r="Z293" s="10">
        <f t="shared" si="53"/>
        <v>0</v>
      </c>
    </row>
    <row r="294" spans="1:26">
      <c r="A294" s="10" t="s">
        <v>49</v>
      </c>
      <c r="B294" s="10">
        <f t="shared" si="49"/>
        <v>2098.8218160000001</v>
      </c>
      <c r="G294" s="10" t="s">
        <v>49</v>
      </c>
      <c r="H294" s="10">
        <f t="shared" si="50"/>
        <v>2138.7200640000001</v>
      </c>
      <c r="M294" s="10" t="s">
        <v>49</v>
      </c>
      <c r="N294" s="10">
        <f t="shared" si="51"/>
        <v>0</v>
      </c>
      <c r="S294" s="10" t="s">
        <v>49</v>
      </c>
      <c r="T294" s="10">
        <f t="shared" si="52"/>
        <v>0</v>
      </c>
      <c r="Y294" s="10" t="s">
        <v>49</v>
      </c>
      <c r="Z294" s="10">
        <f t="shared" si="53"/>
        <v>0</v>
      </c>
    </row>
    <row r="295" spans="1:26">
      <c r="A295" s="10" t="s">
        <v>50</v>
      </c>
      <c r="B295" s="10">
        <f t="shared" si="49"/>
        <v>10871.997552000001</v>
      </c>
      <c r="G295" s="10" t="s">
        <v>50</v>
      </c>
      <c r="H295" s="10">
        <f t="shared" si="50"/>
        <v>10203.001536</v>
      </c>
      <c r="M295" s="10" t="s">
        <v>50</v>
      </c>
      <c r="N295" s="10">
        <f t="shared" si="51"/>
        <v>0</v>
      </c>
      <c r="S295" s="10" t="s">
        <v>50</v>
      </c>
      <c r="T295" s="10">
        <f t="shared" si="52"/>
        <v>0</v>
      </c>
      <c r="Y295" s="10" t="s">
        <v>50</v>
      </c>
      <c r="Z295" s="10">
        <f t="shared" si="53"/>
        <v>0</v>
      </c>
    </row>
    <row r="296" spans="1:26">
      <c r="A296" s="10" t="s">
        <v>186</v>
      </c>
      <c r="B296" s="10">
        <f t="shared" si="49"/>
        <v>408.93455999999998</v>
      </c>
      <c r="G296" s="10" t="s">
        <v>186</v>
      </c>
      <c r="H296" s="10">
        <f t="shared" si="50"/>
        <v>438.36318399999999</v>
      </c>
      <c r="M296" s="10" t="s">
        <v>186</v>
      </c>
      <c r="N296" s="10">
        <f t="shared" si="51"/>
        <v>0</v>
      </c>
      <c r="S296" s="10" t="s">
        <v>186</v>
      </c>
      <c r="T296" s="10">
        <f t="shared" si="52"/>
        <v>0</v>
      </c>
      <c r="Y296" s="10" t="s">
        <v>186</v>
      </c>
      <c r="Z296" s="10">
        <f t="shared" si="53"/>
        <v>0</v>
      </c>
    </row>
    <row r="297" spans="1:26">
      <c r="A297" s="10" t="s">
        <v>187</v>
      </c>
      <c r="B297" s="10">
        <f t="shared" si="49"/>
        <v>1.2</v>
      </c>
      <c r="G297" s="10" t="s">
        <v>187</v>
      </c>
      <c r="H297" s="10">
        <f t="shared" si="50"/>
        <v>2.4</v>
      </c>
      <c r="M297" s="10" t="s">
        <v>187</v>
      </c>
      <c r="N297" s="10">
        <f t="shared" si="51"/>
        <v>0</v>
      </c>
      <c r="S297" s="10" t="s">
        <v>187</v>
      </c>
      <c r="T297" s="10">
        <f t="shared" si="52"/>
        <v>0</v>
      </c>
      <c r="Y297" s="10" t="s">
        <v>187</v>
      </c>
      <c r="Z297" s="10">
        <f t="shared" si="53"/>
        <v>0</v>
      </c>
    </row>
    <row r="298" spans="1:26">
      <c r="A298" s="10" t="s">
        <v>188</v>
      </c>
      <c r="B298" s="10">
        <f t="shared" si="49"/>
        <v>584.41999999999996</v>
      </c>
      <c r="G298" s="10" t="s">
        <v>188</v>
      </c>
      <c r="H298" s="10">
        <f t="shared" si="50"/>
        <v>673.08</v>
      </c>
      <c r="M298" s="10" t="s">
        <v>188</v>
      </c>
      <c r="N298" s="10">
        <f t="shared" si="51"/>
        <v>0</v>
      </c>
      <c r="S298" s="10" t="s">
        <v>188</v>
      </c>
      <c r="T298" s="10">
        <f t="shared" si="52"/>
        <v>0</v>
      </c>
      <c r="Y298" s="10" t="s">
        <v>188</v>
      </c>
      <c r="Z298" s="10">
        <f t="shared" si="53"/>
        <v>0</v>
      </c>
    </row>
    <row r="299" spans="1:26">
      <c r="A299" s="10" t="s">
        <v>189</v>
      </c>
      <c r="B299" s="10">
        <f t="shared" si="49"/>
        <v>54.58</v>
      </c>
      <c r="G299" s="10" t="s">
        <v>189</v>
      </c>
      <c r="H299" s="10">
        <f t="shared" si="50"/>
        <v>42.09</v>
      </c>
      <c r="M299" s="10" t="s">
        <v>189</v>
      </c>
      <c r="N299" s="10">
        <f t="shared" si="51"/>
        <v>0</v>
      </c>
      <c r="S299" s="10" t="s">
        <v>189</v>
      </c>
      <c r="T299" s="10">
        <f t="shared" si="52"/>
        <v>0</v>
      </c>
      <c r="Y299" s="10" t="s">
        <v>189</v>
      </c>
      <c r="Z299" s="10">
        <f t="shared" si="53"/>
        <v>0</v>
      </c>
    </row>
    <row r="300" spans="1:26">
      <c r="A300" s="10" t="s">
        <v>190</v>
      </c>
      <c r="B300" s="10">
        <f t="shared" si="49"/>
        <v>8106.0361339999999</v>
      </c>
      <c r="G300" s="10" t="s">
        <v>190</v>
      </c>
      <c r="H300" s="10">
        <f t="shared" si="50"/>
        <v>8589.9061349999993</v>
      </c>
      <c r="M300" s="10" t="s">
        <v>190</v>
      </c>
      <c r="N300" s="10">
        <f t="shared" si="51"/>
        <v>0</v>
      </c>
      <c r="S300" s="10" t="s">
        <v>190</v>
      </c>
      <c r="T300" s="10">
        <f t="shared" si="52"/>
        <v>0</v>
      </c>
      <c r="Y300" s="10" t="s">
        <v>190</v>
      </c>
      <c r="Z300" s="10">
        <f t="shared" si="53"/>
        <v>0</v>
      </c>
    </row>
    <row r="301" spans="1:26">
      <c r="A301" s="10" t="s">
        <v>191</v>
      </c>
      <c r="B301" s="10">
        <f t="shared" si="49"/>
        <v>3</v>
      </c>
      <c r="G301" s="10" t="s">
        <v>191</v>
      </c>
      <c r="H301" s="10">
        <f t="shared" si="50"/>
        <v>25.2</v>
      </c>
      <c r="M301" s="10" t="s">
        <v>191</v>
      </c>
      <c r="N301" s="10">
        <f t="shared" si="51"/>
        <v>0</v>
      </c>
      <c r="S301" s="10" t="s">
        <v>191</v>
      </c>
      <c r="T301" s="10">
        <f t="shared" si="52"/>
        <v>0</v>
      </c>
      <c r="Y301" s="10" t="s">
        <v>191</v>
      </c>
      <c r="Z301" s="10">
        <f t="shared" si="53"/>
        <v>0</v>
      </c>
    </row>
    <row r="302" spans="1:26">
      <c r="A302" s="10" t="s">
        <v>192</v>
      </c>
      <c r="B302" s="10">
        <f t="shared" si="49"/>
        <v>0.61</v>
      </c>
      <c r="G302" s="10" t="s">
        <v>192</v>
      </c>
      <c r="H302" s="10">
        <f t="shared" si="50"/>
        <v>9.76</v>
      </c>
      <c r="M302" s="10" t="s">
        <v>192</v>
      </c>
      <c r="N302" s="10">
        <f t="shared" si="51"/>
        <v>0</v>
      </c>
      <c r="S302" s="10" t="s">
        <v>192</v>
      </c>
      <c r="T302" s="10">
        <f t="shared" si="52"/>
        <v>0</v>
      </c>
      <c r="Y302" s="10" t="s">
        <v>192</v>
      </c>
      <c r="Z302" s="10">
        <f t="shared" si="53"/>
        <v>0</v>
      </c>
    </row>
    <row r="303" spans="1:26">
      <c r="A303" s="10" t="s">
        <v>193</v>
      </c>
      <c r="B303" s="10">
        <f t="shared" si="49"/>
        <v>503.04</v>
      </c>
      <c r="G303" s="10" t="s">
        <v>193</v>
      </c>
      <c r="H303" s="10">
        <f t="shared" si="50"/>
        <v>531.29999999999995</v>
      </c>
      <c r="M303" s="10" t="s">
        <v>193</v>
      </c>
      <c r="N303" s="10">
        <f t="shared" si="51"/>
        <v>0</v>
      </c>
      <c r="S303" s="10" t="s">
        <v>193</v>
      </c>
      <c r="T303" s="10">
        <f t="shared" si="52"/>
        <v>0</v>
      </c>
      <c r="Y303" s="10" t="s">
        <v>193</v>
      </c>
      <c r="Z303" s="10">
        <f t="shared" si="53"/>
        <v>0</v>
      </c>
    </row>
    <row r="304" spans="1:26">
      <c r="A304" s="10" t="s">
        <v>72</v>
      </c>
      <c r="B304" s="10">
        <f t="shared" si="49"/>
        <v>88590.202896000003</v>
      </c>
      <c r="G304" s="10" t="s">
        <v>72</v>
      </c>
      <c r="H304" s="10">
        <f t="shared" si="50"/>
        <v>86246.171231999993</v>
      </c>
      <c r="M304" s="10" t="s">
        <v>72</v>
      </c>
      <c r="N304" s="10">
        <f t="shared" si="51"/>
        <v>0</v>
      </c>
      <c r="S304" s="10" t="s">
        <v>72</v>
      </c>
      <c r="T304" s="10">
        <f t="shared" si="52"/>
        <v>0</v>
      </c>
      <c r="Y304" s="10" t="s">
        <v>72</v>
      </c>
      <c r="Z304" s="10">
        <f t="shared" si="53"/>
        <v>0</v>
      </c>
    </row>
    <row r="305" spans="1:26">
      <c r="A305" s="10" t="s">
        <v>199</v>
      </c>
      <c r="B305" s="10">
        <f t="shared" si="49"/>
        <v>418536.16</v>
      </c>
      <c r="G305" s="10" t="s">
        <v>199</v>
      </c>
      <c r="H305" s="10">
        <f t="shared" si="50"/>
        <v>400988.56</v>
      </c>
      <c r="M305" s="10" t="s">
        <v>199</v>
      </c>
      <c r="N305" s="10">
        <f t="shared" si="51"/>
        <v>0</v>
      </c>
      <c r="S305" s="10" t="s">
        <v>199</v>
      </c>
      <c r="T305" s="10">
        <f t="shared" si="52"/>
        <v>0</v>
      </c>
      <c r="Y305" s="10" t="s">
        <v>199</v>
      </c>
      <c r="Z305" s="10">
        <f t="shared" si="53"/>
        <v>0</v>
      </c>
    </row>
    <row r="306" spans="1:26">
      <c r="A306" s="10" t="s">
        <v>194</v>
      </c>
      <c r="B306" s="10">
        <f t="shared" si="49"/>
        <v>0</v>
      </c>
      <c r="G306" s="10" t="s">
        <v>194</v>
      </c>
      <c r="H306" s="10">
        <f t="shared" si="50"/>
        <v>13.8</v>
      </c>
      <c r="M306" s="10" t="s">
        <v>194</v>
      </c>
      <c r="N306" s="10">
        <f t="shared" si="51"/>
        <v>0</v>
      </c>
      <c r="S306" s="10" t="s">
        <v>194</v>
      </c>
      <c r="T306" s="10">
        <f t="shared" si="52"/>
        <v>0</v>
      </c>
      <c r="Y306" s="10" t="s">
        <v>194</v>
      </c>
      <c r="Z306" s="10">
        <f t="shared" si="53"/>
        <v>0</v>
      </c>
    </row>
    <row r="307" spans="1:26">
      <c r="A307" s="10" t="s">
        <v>195</v>
      </c>
      <c r="B307" s="10">
        <f t="shared" si="49"/>
        <v>86.62</v>
      </c>
      <c r="G307" s="10" t="s">
        <v>195</v>
      </c>
      <c r="H307" s="10">
        <f t="shared" si="50"/>
        <v>76.86</v>
      </c>
      <c r="M307" s="10" t="s">
        <v>195</v>
      </c>
      <c r="N307" s="10">
        <f t="shared" si="51"/>
        <v>0</v>
      </c>
      <c r="S307" s="10" t="s">
        <v>195</v>
      </c>
      <c r="T307" s="10">
        <f t="shared" si="52"/>
        <v>0</v>
      </c>
      <c r="Y307" s="10" t="s">
        <v>195</v>
      </c>
      <c r="Z307" s="10">
        <f t="shared" si="53"/>
        <v>0</v>
      </c>
    </row>
    <row r="308" spans="1:26">
      <c r="A308" s="10" t="s">
        <v>196</v>
      </c>
      <c r="B308" s="10">
        <f t="shared" si="49"/>
        <v>59.52</v>
      </c>
      <c r="G308" s="10" t="s">
        <v>196</v>
      </c>
      <c r="H308" s="10">
        <f t="shared" si="50"/>
        <v>103.11</v>
      </c>
      <c r="M308" s="10" t="s">
        <v>196</v>
      </c>
      <c r="N308" s="10">
        <f t="shared" si="51"/>
        <v>0</v>
      </c>
      <c r="S308" s="10" t="s">
        <v>196</v>
      </c>
      <c r="T308" s="10">
        <f t="shared" si="52"/>
        <v>0</v>
      </c>
      <c r="Y308" s="10" t="s">
        <v>196</v>
      </c>
      <c r="Z308" s="10">
        <f t="shared" si="53"/>
        <v>0</v>
      </c>
    </row>
    <row r="309" spans="1:26">
      <c r="A309" s="10" t="s">
        <v>197</v>
      </c>
      <c r="B309" s="10">
        <f t="shared" si="49"/>
        <v>12.81</v>
      </c>
      <c r="G309" s="10" t="s">
        <v>197</v>
      </c>
      <c r="H309" s="10">
        <f t="shared" si="50"/>
        <v>15.86</v>
      </c>
      <c r="M309" s="10" t="s">
        <v>197</v>
      </c>
      <c r="N309" s="10">
        <f t="shared" si="51"/>
        <v>0</v>
      </c>
      <c r="S309" s="10" t="s">
        <v>197</v>
      </c>
      <c r="T309" s="10">
        <f t="shared" si="52"/>
        <v>0</v>
      </c>
      <c r="Y309" s="10" t="s">
        <v>197</v>
      </c>
      <c r="Z309" s="10">
        <f t="shared" si="53"/>
        <v>0</v>
      </c>
    </row>
    <row r="310" spans="1:26">
      <c r="A310" s="10" t="s">
        <v>198</v>
      </c>
      <c r="B310" s="10">
        <f t="shared" si="49"/>
        <v>7.5</v>
      </c>
      <c r="G310" s="10" t="s">
        <v>198</v>
      </c>
      <c r="H310" s="10">
        <f t="shared" si="50"/>
        <v>7.32</v>
      </c>
      <c r="M310" s="10" t="s">
        <v>198</v>
      </c>
      <c r="N310" s="10">
        <f t="shared" si="51"/>
        <v>0</v>
      </c>
      <c r="S310" s="10" t="s">
        <v>198</v>
      </c>
      <c r="T310" s="10">
        <f t="shared" si="52"/>
        <v>0</v>
      </c>
      <c r="Y310" s="10" t="s">
        <v>198</v>
      </c>
      <c r="Z310" s="10">
        <f t="shared" si="53"/>
        <v>0</v>
      </c>
    </row>
  </sheetData>
  <phoneticPr fontId="19" type="noConversion"/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249977111117893"/>
  </sheetPr>
  <dimension ref="A1:AD249"/>
  <sheetViews>
    <sheetView zoomScale="85" zoomScaleNormal="85" zoomScalePageLayoutView="85" workbookViewId="0">
      <selection activeCell="H2" sqref="H2:H113"/>
    </sheetView>
  </sheetViews>
  <sheetFormatPr baseColWidth="10" defaultColWidth="8.83203125" defaultRowHeight="12" x14ac:dyDescent="0"/>
  <cols>
    <col min="1" max="1" width="27" style="42" bestFit="1" customWidth="1"/>
    <col min="2" max="2" width="14.33203125" style="42" bestFit="1" customWidth="1"/>
    <col min="3" max="3" width="12.33203125" style="42" bestFit="1" customWidth="1"/>
    <col min="4" max="6" width="8.83203125" style="42"/>
    <col min="7" max="7" width="27" style="42" bestFit="1" customWidth="1"/>
    <col min="8" max="8" width="12.5" style="42" customWidth="1"/>
    <col min="9" max="12" width="8.83203125" style="42"/>
    <col min="13" max="13" width="27" style="42" bestFit="1" customWidth="1"/>
    <col min="14" max="14" width="12.5" style="42" bestFit="1" customWidth="1"/>
    <col min="15" max="15" width="12.33203125" style="42" bestFit="1" customWidth="1"/>
    <col min="16" max="18" width="8.83203125" style="42"/>
    <col min="19" max="19" width="27" style="42" bestFit="1" customWidth="1"/>
    <col min="20" max="20" width="13.6640625" style="42" customWidth="1"/>
    <col min="21" max="21" width="9.1640625" style="42" customWidth="1"/>
    <col min="22" max="24" width="8.83203125" style="42"/>
    <col min="25" max="25" width="27" style="42" bestFit="1" customWidth="1"/>
    <col min="26" max="26" width="12.5" style="42" bestFit="1" customWidth="1"/>
    <col min="27" max="16384" width="8.83203125" style="42"/>
  </cols>
  <sheetData>
    <row r="1" spans="1:30" ht="14">
      <c r="A1" s="55" t="s">
        <v>16</v>
      </c>
      <c r="B1" s="55"/>
      <c r="C1" s="55"/>
      <c r="D1" s="55"/>
      <c r="E1" s="55"/>
      <c r="F1" s="81"/>
      <c r="G1" s="55" t="s">
        <v>17</v>
      </c>
      <c r="H1" s="55"/>
      <c r="I1" s="55"/>
      <c r="J1" s="55"/>
      <c r="K1" s="55"/>
      <c r="L1" s="81"/>
      <c r="M1" s="55" t="s">
        <v>18</v>
      </c>
      <c r="N1" s="55"/>
      <c r="O1" s="55"/>
      <c r="P1" s="55"/>
      <c r="Q1" s="55"/>
      <c r="R1" s="81"/>
      <c r="S1" s="55" t="s">
        <v>19</v>
      </c>
      <c r="T1" s="55"/>
      <c r="U1" s="55"/>
      <c r="V1" s="55"/>
      <c r="W1" s="55"/>
      <c r="X1" s="81"/>
      <c r="Y1" s="55" t="s">
        <v>20</v>
      </c>
      <c r="Z1" s="55"/>
      <c r="AA1" s="55"/>
      <c r="AB1" s="55"/>
      <c r="AC1" s="55"/>
      <c r="AD1" s="81"/>
    </row>
    <row r="2" spans="1:30" ht="14">
      <c r="A2" s="82" t="s">
        <v>203</v>
      </c>
      <c r="B2" s="378"/>
      <c r="C2" s="263"/>
      <c r="E2" s="55"/>
      <c r="F2" s="81"/>
      <c r="G2" s="82" t="s">
        <v>124</v>
      </c>
      <c r="H2" s="378">
        <v>0</v>
      </c>
      <c r="I2" s="8"/>
      <c r="J2" s="8"/>
      <c r="K2" s="55"/>
      <c r="L2" s="81"/>
      <c r="M2" s="82" t="s">
        <v>124</v>
      </c>
      <c r="N2" s="378"/>
      <c r="Q2" s="55"/>
      <c r="R2" s="81"/>
      <c r="S2" s="82" t="s">
        <v>124</v>
      </c>
      <c r="T2" s="307"/>
      <c r="W2" s="55"/>
      <c r="X2" s="81"/>
      <c r="Y2" s="82" t="s">
        <v>124</v>
      </c>
      <c r="Z2" s="307"/>
      <c r="AC2" s="55"/>
      <c r="AD2" s="81"/>
    </row>
    <row r="3" spans="1:30" ht="14">
      <c r="A3" s="56" t="s">
        <v>204</v>
      </c>
      <c r="B3" s="378">
        <v>6.1</v>
      </c>
      <c r="C3" s="263"/>
      <c r="E3" s="8">
        <f>C3/B3</f>
        <v>0</v>
      </c>
      <c r="F3" s="38"/>
      <c r="G3" s="56" t="s">
        <v>125</v>
      </c>
      <c r="H3" s="378">
        <v>1.83</v>
      </c>
      <c r="I3" s="8"/>
      <c r="J3" s="8"/>
      <c r="K3" s="8">
        <f>I3/H3</f>
        <v>0</v>
      </c>
      <c r="L3" s="38"/>
      <c r="M3" s="56" t="s">
        <v>125</v>
      </c>
      <c r="N3" s="378"/>
      <c r="Q3" s="8" t="e">
        <f>O3/N3</f>
        <v>#DIV/0!</v>
      </c>
      <c r="R3" s="38"/>
      <c r="S3" s="56" t="s">
        <v>125</v>
      </c>
      <c r="T3" s="307"/>
      <c r="W3" s="37" t="e">
        <f>U3/T3</f>
        <v>#DIV/0!</v>
      </c>
      <c r="X3" s="38"/>
      <c r="Y3" s="56" t="s">
        <v>125</v>
      </c>
      <c r="Z3" s="307"/>
      <c r="AC3" s="37" t="e">
        <f>AA3/Z3</f>
        <v>#DIV/0!</v>
      </c>
      <c r="AD3" s="38"/>
    </row>
    <row r="4" spans="1:30" ht="14">
      <c r="A4" s="56" t="s">
        <v>205</v>
      </c>
      <c r="B4" s="378">
        <v>370.01</v>
      </c>
      <c r="C4" s="263"/>
      <c r="E4" s="8">
        <f>C4/B4</f>
        <v>0</v>
      </c>
      <c r="F4" s="38"/>
      <c r="G4" s="56" t="s">
        <v>126</v>
      </c>
      <c r="H4" s="378">
        <v>1356.15</v>
      </c>
      <c r="I4" s="8"/>
      <c r="J4" s="8"/>
      <c r="K4" s="8">
        <f>I4/H4</f>
        <v>0</v>
      </c>
      <c r="L4" s="38"/>
      <c r="M4" s="56" t="s">
        <v>126</v>
      </c>
      <c r="N4" s="378"/>
      <c r="Q4" s="8" t="e">
        <f>O4/N4</f>
        <v>#DIV/0!</v>
      </c>
      <c r="R4" s="38"/>
      <c r="S4" s="56" t="s">
        <v>126</v>
      </c>
      <c r="T4" s="307"/>
      <c r="W4" s="37" t="e">
        <f>U4/T4</f>
        <v>#DIV/0!</v>
      </c>
      <c r="X4" s="38"/>
      <c r="Y4" s="56" t="s">
        <v>126</v>
      </c>
      <c r="Z4" s="307"/>
      <c r="AC4" s="37" t="e">
        <f>AA4/Z4</f>
        <v>#DIV/0!</v>
      </c>
      <c r="AD4" s="38"/>
    </row>
    <row r="5" spans="1:30" ht="14">
      <c r="A5" s="56" t="s">
        <v>206</v>
      </c>
      <c r="B5" s="378">
        <v>2.0699999999999998</v>
      </c>
      <c r="C5" s="263"/>
      <c r="E5" s="8">
        <f>C5/B5</f>
        <v>0</v>
      </c>
      <c r="F5" s="38"/>
      <c r="G5" s="56" t="s">
        <v>127</v>
      </c>
      <c r="H5" s="378">
        <v>11.16</v>
      </c>
      <c r="I5" s="8"/>
      <c r="J5" s="8"/>
      <c r="K5" s="8">
        <f>I5/H5</f>
        <v>0</v>
      </c>
      <c r="L5" s="38"/>
      <c r="M5" s="56" t="s">
        <v>127</v>
      </c>
      <c r="N5" s="378"/>
      <c r="Q5" s="8" t="e">
        <f>O5/N5</f>
        <v>#DIV/0!</v>
      </c>
      <c r="R5" s="38"/>
      <c r="S5" s="56" t="s">
        <v>127</v>
      </c>
      <c r="T5" s="307"/>
      <c r="W5" s="8" t="e">
        <f>U5/T5</f>
        <v>#DIV/0!</v>
      </c>
      <c r="X5" s="38"/>
      <c r="Y5" s="56" t="s">
        <v>127</v>
      </c>
      <c r="Z5" s="307"/>
      <c r="AC5" s="8" t="e">
        <f>AA5/Z5</f>
        <v>#DIV/0!</v>
      </c>
      <c r="AD5" s="38"/>
    </row>
    <row r="6" spans="1:30" ht="14">
      <c r="A6" s="56" t="s">
        <v>207</v>
      </c>
      <c r="B6" s="378">
        <v>64869.512684000001</v>
      </c>
      <c r="C6" s="263"/>
      <c r="E6" s="8"/>
      <c r="F6" s="38"/>
      <c r="G6" s="56" t="s">
        <v>33</v>
      </c>
      <c r="H6" s="378">
        <v>46709.081539999999</v>
      </c>
      <c r="I6" s="8"/>
      <c r="J6" s="8"/>
      <c r="K6" s="8"/>
      <c r="L6" s="38"/>
      <c r="M6" s="56" t="s">
        <v>33</v>
      </c>
      <c r="N6" s="378"/>
      <c r="Q6" s="8"/>
      <c r="R6" s="38"/>
      <c r="S6" s="56" t="s">
        <v>33</v>
      </c>
      <c r="T6" s="307"/>
      <c r="W6" s="8"/>
      <c r="X6" s="38"/>
      <c r="Y6" s="56" t="s">
        <v>33</v>
      </c>
      <c r="Z6" s="307"/>
      <c r="AC6" s="8"/>
      <c r="AD6" s="38"/>
    </row>
    <row r="7" spans="1:30" ht="14">
      <c r="A7" s="56" t="s">
        <v>208</v>
      </c>
      <c r="B7" s="378">
        <v>2353.15236</v>
      </c>
      <c r="C7" s="263"/>
      <c r="E7" s="8"/>
      <c r="F7" s="38"/>
      <c r="G7" s="56" t="s">
        <v>34</v>
      </c>
      <c r="H7" s="378">
        <v>3215.499456</v>
      </c>
      <c r="I7" s="8"/>
      <c r="J7" s="8"/>
      <c r="K7" s="8"/>
      <c r="L7" s="38"/>
      <c r="M7" s="56" t="s">
        <v>34</v>
      </c>
      <c r="N7" s="378"/>
      <c r="Q7" s="8"/>
      <c r="R7" s="38"/>
      <c r="S7" s="56" t="s">
        <v>34</v>
      </c>
      <c r="T7" s="307"/>
      <c r="W7" s="8"/>
      <c r="X7" s="38"/>
      <c r="Y7" s="56" t="s">
        <v>34</v>
      </c>
      <c r="Z7" s="307"/>
      <c r="AC7" s="8"/>
      <c r="AD7" s="38"/>
    </row>
    <row r="8" spans="1:30" ht="14">
      <c r="A8" s="56" t="s">
        <v>209</v>
      </c>
      <c r="B8" s="378">
        <v>32.94</v>
      </c>
      <c r="C8" s="263"/>
      <c r="E8" s="8"/>
      <c r="F8" s="38"/>
      <c r="G8" s="56" t="s">
        <v>128</v>
      </c>
      <c r="H8" s="378">
        <v>113.16</v>
      </c>
      <c r="I8" s="8"/>
      <c r="J8" s="8"/>
      <c r="K8" s="8"/>
      <c r="L8" s="38"/>
      <c r="M8" s="56" t="s">
        <v>128</v>
      </c>
      <c r="N8" s="378"/>
      <c r="Q8" s="8"/>
      <c r="R8" s="38"/>
      <c r="S8" s="56" t="s">
        <v>128</v>
      </c>
      <c r="T8" s="307"/>
      <c r="W8" s="8"/>
      <c r="X8" s="38"/>
      <c r="Y8" s="56" t="s">
        <v>128</v>
      </c>
      <c r="Z8" s="307"/>
      <c r="AC8" s="8"/>
      <c r="AD8" s="38"/>
    </row>
    <row r="9" spans="1:30" ht="14">
      <c r="A9" s="56" t="s">
        <v>210</v>
      </c>
      <c r="B9" s="378">
        <v>5.76</v>
      </c>
      <c r="C9" s="263"/>
      <c r="E9" s="8">
        <f t="shared" ref="E9:E63" si="0">C9/B9</f>
        <v>0</v>
      </c>
      <c r="F9" s="38"/>
      <c r="G9" s="56" t="s">
        <v>129</v>
      </c>
      <c r="H9" s="378">
        <v>21.71</v>
      </c>
      <c r="I9" s="8"/>
      <c r="J9" s="8"/>
      <c r="K9" s="8">
        <f t="shared" ref="K9:K63" si="1">I9/H9</f>
        <v>0</v>
      </c>
      <c r="L9" s="38"/>
      <c r="M9" s="56" t="s">
        <v>129</v>
      </c>
      <c r="N9" s="378"/>
      <c r="Q9" s="8" t="e">
        <f t="shared" ref="Q9:Q63" si="2">O9/N9</f>
        <v>#DIV/0!</v>
      </c>
      <c r="R9" s="38"/>
      <c r="S9" s="56" t="s">
        <v>129</v>
      </c>
      <c r="T9" s="307"/>
      <c r="W9" s="8" t="e">
        <f>U9/T9</f>
        <v>#DIV/0!</v>
      </c>
      <c r="X9" s="38"/>
      <c r="Y9" s="56" t="s">
        <v>129</v>
      </c>
      <c r="Z9" s="307"/>
      <c r="AC9" s="8" t="e">
        <f>AA9/Z9</f>
        <v>#DIV/0!</v>
      </c>
      <c r="AD9" s="38"/>
    </row>
    <row r="10" spans="1:30" ht="14">
      <c r="A10" s="56" t="s">
        <v>211</v>
      </c>
      <c r="B10" s="378">
        <v>5.92</v>
      </c>
      <c r="C10" s="263"/>
      <c r="E10" s="8"/>
      <c r="F10" s="38"/>
      <c r="G10" s="56" t="s">
        <v>130</v>
      </c>
      <c r="H10" s="378">
        <v>14.64</v>
      </c>
      <c r="I10" s="8"/>
      <c r="J10" s="8"/>
      <c r="K10" s="8"/>
      <c r="L10" s="38"/>
      <c r="M10" s="56" t="s">
        <v>130</v>
      </c>
      <c r="N10" s="378"/>
      <c r="Q10" s="8"/>
      <c r="R10" s="38"/>
      <c r="S10" s="56" t="s">
        <v>130</v>
      </c>
      <c r="T10" s="307"/>
      <c r="W10" s="8"/>
      <c r="X10" s="38"/>
      <c r="Y10" s="56" t="s">
        <v>130</v>
      </c>
      <c r="Z10" s="307"/>
      <c r="AC10" s="8"/>
      <c r="AD10" s="38"/>
    </row>
    <row r="11" spans="1:30" ht="14">
      <c r="A11" s="56" t="s">
        <v>212</v>
      </c>
      <c r="B11" s="378">
        <v>5.16</v>
      </c>
      <c r="C11" s="263"/>
      <c r="E11" s="8">
        <f t="shared" si="0"/>
        <v>0</v>
      </c>
      <c r="F11" s="38"/>
      <c r="G11" s="56" t="s">
        <v>131</v>
      </c>
      <c r="H11" s="378">
        <v>60</v>
      </c>
      <c r="I11" s="8"/>
      <c r="J11" s="8"/>
      <c r="K11" s="8">
        <f t="shared" si="1"/>
        <v>0</v>
      </c>
      <c r="L11" s="38"/>
      <c r="M11" s="56" t="s">
        <v>131</v>
      </c>
      <c r="N11" s="378"/>
      <c r="Q11" s="8" t="e">
        <f t="shared" si="2"/>
        <v>#DIV/0!</v>
      </c>
      <c r="R11" s="38"/>
      <c r="S11" s="56" t="s">
        <v>131</v>
      </c>
      <c r="T11" s="307"/>
      <c r="W11" s="8" t="e">
        <f t="shared" ref="W11:W63" si="3">U11/T11</f>
        <v>#DIV/0!</v>
      </c>
      <c r="X11" s="38"/>
      <c r="Y11" s="56" t="s">
        <v>131</v>
      </c>
      <c r="Z11" s="307"/>
      <c r="AC11" s="8" t="e">
        <f t="shared" ref="AC11:AC63" si="4">AA11/Z11</f>
        <v>#DIV/0!</v>
      </c>
      <c r="AD11" s="38"/>
    </row>
    <row r="12" spans="1:30" ht="14">
      <c r="A12" s="56" t="s">
        <v>213</v>
      </c>
      <c r="B12" s="378">
        <v>5168.1854640000001</v>
      </c>
      <c r="C12" s="263"/>
      <c r="E12" s="8"/>
      <c r="F12" s="38"/>
      <c r="G12" s="56" t="s">
        <v>35</v>
      </c>
      <c r="H12" s="378">
        <v>4844.6502</v>
      </c>
      <c r="I12" s="8"/>
      <c r="J12" s="8"/>
      <c r="K12" s="8"/>
      <c r="L12" s="38"/>
      <c r="M12" s="56" t="s">
        <v>35</v>
      </c>
      <c r="N12" s="378"/>
      <c r="Q12" s="8"/>
      <c r="R12" s="38"/>
      <c r="S12" s="56" t="s">
        <v>35</v>
      </c>
      <c r="T12" s="307"/>
      <c r="W12" s="8"/>
      <c r="X12" s="38"/>
      <c r="Y12" s="56" t="s">
        <v>35</v>
      </c>
      <c r="Z12" s="307"/>
      <c r="AC12" s="8"/>
      <c r="AD12" s="38"/>
    </row>
    <row r="13" spans="1:30" ht="14">
      <c r="A13" s="56" t="s">
        <v>214</v>
      </c>
      <c r="B13" s="378">
        <v>6.1</v>
      </c>
      <c r="C13" s="263"/>
      <c r="E13" s="8"/>
      <c r="F13" s="38"/>
      <c r="G13" s="56" t="s">
        <v>132</v>
      </c>
      <c r="H13" s="378">
        <v>0.61</v>
      </c>
      <c r="I13" s="8"/>
      <c r="J13" s="8"/>
      <c r="K13" s="8"/>
      <c r="L13" s="38"/>
      <c r="M13" s="56" t="s">
        <v>132</v>
      </c>
      <c r="N13" s="378"/>
      <c r="Q13" s="8"/>
      <c r="R13" s="38"/>
      <c r="S13" s="56" t="s">
        <v>132</v>
      </c>
      <c r="T13" s="307"/>
      <c r="W13" s="8"/>
      <c r="X13" s="38"/>
      <c r="Y13" s="56" t="s">
        <v>132</v>
      </c>
      <c r="Z13" s="307"/>
      <c r="AC13" s="8"/>
      <c r="AD13" s="38"/>
    </row>
    <row r="14" spans="1:30" ht="14">
      <c r="A14" s="56" t="s">
        <v>215</v>
      </c>
      <c r="B14" s="378">
        <v>32.33</v>
      </c>
      <c r="C14" s="263"/>
      <c r="E14" s="8"/>
      <c r="F14" s="38"/>
      <c r="G14" s="56" t="s">
        <v>133</v>
      </c>
      <c r="H14" s="378">
        <v>42.09</v>
      </c>
      <c r="I14" s="8"/>
      <c r="J14" s="8"/>
      <c r="K14" s="8"/>
      <c r="L14" s="38"/>
      <c r="M14" s="56" t="s">
        <v>133</v>
      </c>
      <c r="N14" s="378"/>
      <c r="Q14" s="8"/>
      <c r="R14" s="38"/>
      <c r="S14" s="56" t="s">
        <v>133</v>
      </c>
      <c r="T14" s="307"/>
      <c r="W14" s="8"/>
      <c r="X14" s="38"/>
      <c r="Y14" s="56" t="s">
        <v>133</v>
      </c>
      <c r="Z14" s="307"/>
      <c r="AC14" s="8"/>
      <c r="AD14" s="38"/>
    </row>
    <row r="15" spans="1:30" ht="14">
      <c r="A15" s="56" t="s">
        <v>216</v>
      </c>
      <c r="B15" s="378">
        <v>6.71</v>
      </c>
      <c r="C15" s="263"/>
      <c r="E15" s="8">
        <f t="shared" si="0"/>
        <v>0</v>
      </c>
      <c r="F15" s="38"/>
      <c r="G15" s="56" t="s">
        <v>134</v>
      </c>
      <c r="H15" s="378">
        <v>8.9700000000000006</v>
      </c>
      <c r="I15" s="8"/>
      <c r="J15" s="8"/>
      <c r="K15" s="8">
        <f t="shared" si="1"/>
        <v>0</v>
      </c>
      <c r="L15" s="38"/>
      <c r="M15" s="56" t="s">
        <v>134</v>
      </c>
      <c r="N15" s="378"/>
      <c r="Q15" s="8" t="e">
        <f t="shared" si="2"/>
        <v>#DIV/0!</v>
      </c>
      <c r="R15" s="38"/>
      <c r="S15" s="56" t="s">
        <v>134</v>
      </c>
      <c r="T15" s="307"/>
      <c r="W15" s="8" t="e">
        <f>U15/T15</f>
        <v>#DIV/0!</v>
      </c>
      <c r="X15" s="38"/>
      <c r="Y15" s="56" t="s">
        <v>134</v>
      </c>
      <c r="Z15" s="307"/>
      <c r="AC15" s="8" t="e">
        <f>AA15/Z15</f>
        <v>#DIV/0!</v>
      </c>
      <c r="AD15" s="38"/>
    </row>
    <row r="16" spans="1:30" ht="14">
      <c r="A16" s="56" t="s">
        <v>217</v>
      </c>
      <c r="B16" s="378">
        <v>1.22</v>
      </c>
      <c r="C16" s="263"/>
      <c r="E16" s="8">
        <f t="shared" si="0"/>
        <v>0</v>
      </c>
      <c r="F16" s="38"/>
      <c r="G16" s="56" t="s">
        <v>135</v>
      </c>
      <c r="H16" s="378">
        <v>64.23</v>
      </c>
      <c r="I16" s="8"/>
      <c r="J16" s="8"/>
      <c r="K16" s="8">
        <f t="shared" si="1"/>
        <v>0</v>
      </c>
      <c r="L16" s="38"/>
      <c r="M16" s="56" t="s">
        <v>135</v>
      </c>
      <c r="N16" s="378"/>
      <c r="Q16" s="8" t="e">
        <f t="shared" si="2"/>
        <v>#DIV/0!</v>
      </c>
      <c r="R16" s="38"/>
      <c r="S16" s="56" t="s">
        <v>135</v>
      </c>
      <c r="T16" s="307"/>
      <c r="W16" s="8" t="e">
        <f t="shared" si="3"/>
        <v>#DIV/0!</v>
      </c>
      <c r="X16" s="38"/>
      <c r="Y16" s="56" t="s">
        <v>135</v>
      </c>
      <c r="Z16" s="307"/>
      <c r="AC16" s="8" t="e">
        <f t="shared" si="4"/>
        <v>#DIV/0!</v>
      </c>
      <c r="AD16" s="38"/>
    </row>
    <row r="17" spans="1:30" ht="14">
      <c r="A17" s="56" t="s">
        <v>218</v>
      </c>
      <c r="B17" s="378">
        <v>29956.63</v>
      </c>
      <c r="C17" s="263"/>
      <c r="E17" s="8">
        <f t="shared" si="0"/>
        <v>0</v>
      </c>
      <c r="F17" s="38"/>
      <c r="G17" s="56" t="s">
        <v>136</v>
      </c>
      <c r="H17" s="378">
        <v>9513.6</v>
      </c>
      <c r="I17" s="8"/>
      <c r="J17" s="8"/>
      <c r="K17" s="8">
        <f t="shared" si="1"/>
        <v>0</v>
      </c>
      <c r="L17" s="38"/>
      <c r="M17" s="56" t="s">
        <v>136</v>
      </c>
      <c r="N17" s="378"/>
      <c r="Q17" s="8" t="e">
        <f t="shared" si="2"/>
        <v>#DIV/0!</v>
      </c>
      <c r="R17" s="38"/>
      <c r="S17" s="56" t="s">
        <v>136</v>
      </c>
      <c r="T17" s="307"/>
      <c r="W17" s="8" t="e">
        <f t="shared" si="3"/>
        <v>#DIV/0!</v>
      </c>
      <c r="X17" s="38"/>
      <c r="Y17" s="56" t="s">
        <v>136</v>
      </c>
      <c r="Z17" s="307"/>
      <c r="AC17" s="8" t="e">
        <f t="shared" si="4"/>
        <v>#DIV/0!</v>
      </c>
      <c r="AD17" s="38"/>
    </row>
    <row r="18" spans="1:30" ht="14">
      <c r="A18" s="56" t="s">
        <v>219</v>
      </c>
      <c r="B18" s="378">
        <v>35.96</v>
      </c>
      <c r="C18" s="263"/>
      <c r="E18" s="8"/>
      <c r="F18" s="38"/>
      <c r="G18" s="56" t="s">
        <v>137</v>
      </c>
      <c r="H18" s="378">
        <v>16.12</v>
      </c>
      <c r="I18" s="8"/>
      <c r="J18" s="8"/>
      <c r="K18" s="8"/>
      <c r="L18" s="38"/>
      <c r="M18" s="56" t="s">
        <v>137</v>
      </c>
      <c r="N18" s="378"/>
      <c r="Q18" s="8"/>
      <c r="R18" s="38"/>
      <c r="S18" s="56" t="s">
        <v>137</v>
      </c>
      <c r="T18" s="307"/>
      <c r="W18" s="8"/>
      <c r="X18" s="38"/>
      <c r="Y18" s="56" t="s">
        <v>137</v>
      </c>
      <c r="Z18" s="307"/>
      <c r="AC18" s="8"/>
      <c r="AD18" s="38"/>
    </row>
    <row r="19" spans="1:30" ht="14">
      <c r="A19" s="56" t="s">
        <v>220</v>
      </c>
      <c r="B19" s="378">
        <v>23.537279999999999</v>
      </c>
      <c r="C19" s="263"/>
      <c r="E19" s="8"/>
      <c r="F19" s="38"/>
      <c r="G19" s="56" t="s">
        <v>62</v>
      </c>
      <c r="H19" s="378">
        <v>174.82826399999999</v>
      </c>
      <c r="I19" s="8"/>
      <c r="J19" s="8"/>
      <c r="K19" s="8"/>
      <c r="L19" s="38"/>
      <c r="M19" s="56" t="s">
        <v>62</v>
      </c>
      <c r="N19" s="378"/>
      <c r="Q19" s="8"/>
      <c r="R19" s="38"/>
      <c r="S19" s="56" t="s">
        <v>62</v>
      </c>
      <c r="T19" s="307"/>
      <c r="W19" s="8"/>
      <c r="X19" s="38"/>
      <c r="Y19" s="56" t="s">
        <v>62</v>
      </c>
      <c r="Z19" s="307"/>
      <c r="AC19" s="8"/>
      <c r="AD19" s="38"/>
    </row>
    <row r="20" spans="1:30" ht="14">
      <c r="A20" s="56" t="s">
        <v>221</v>
      </c>
      <c r="B20" s="378"/>
      <c r="C20" s="263"/>
      <c r="E20" s="8"/>
      <c r="F20" s="38"/>
      <c r="G20" s="56" t="s">
        <v>138</v>
      </c>
      <c r="H20" s="378">
        <v>10.98</v>
      </c>
      <c r="I20" s="8"/>
      <c r="J20" s="8"/>
      <c r="K20" s="8"/>
      <c r="L20" s="38"/>
      <c r="M20" s="56" t="s">
        <v>138</v>
      </c>
      <c r="N20" s="378"/>
      <c r="Q20" s="8"/>
      <c r="R20" s="38"/>
      <c r="S20" s="56" t="s">
        <v>138</v>
      </c>
      <c r="T20" s="307"/>
      <c r="W20" s="8"/>
      <c r="X20" s="38"/>
      <c r="Y20" s="56" t="s">
        <v>138</v>
      </c>
      <c r="Z20" s="307"/>
      <c r="AC20" s="8"/>
      <c r="AD20" s="38"/>
    </row>
    <row r="21" spans="1:30" ht="14">
      <c r="A21" s="56" t="s">
        <v>222</v>
      </c>
      <c r="B21" s="378">
        <v>0.9</v>
      </c>
      <c r="C21" s="263"/>
      <c r="E21" s="8">
        <f t="shared" si="0"/>
        <v>0</v>
      </c>
      <c r="F21" s="38"/>
      <c r="G21" s="56" t="s">
        <v>139</v>
      </c>
      <c r="H21" s="378">
        <v>5.58</v>
      </c>
      <c r="I21" s="8"/>
      <c r="J21" s="8"/>
      <c r="K21" s="8">
        <f t="shared" si="1"/>
        <v>0</v>
      </c>
      <c r="L21" s="38"/>
      <c r="M21" s="56" t="s">
        <v>139</v>
      </c>
      <c r="N21" s="378"/>
      <c r="Q21" s="8" t="e">
        <f t="shared" si="2"/>
        <v>#DIV/0!</v>
      </c>
      <c r="R21" s="38"/>
      <c r="S21" s="56" t="s">
        <v>139</v>
      </c>
      <c r="T21" s="307"/>
      <c r="W21" s="8" t="e">
        <f t="shared" si="3"/>
        <v>#DIV/0!</v>
      </c>
      <c r="X21" s="38"/>
      <c r="Y21" s="56" t="s">
        <v>139</v>
      </c>
      <c r="Z21" s="307"/>
      <c r="AC21" s="8" t="e">
        <f t="shared" si="4"/>
        <v>#DIV/0!</v>
      </c>
      <c r="AD21" s="38"/>
    </row>
    <row r="22" spans="1:30" ht="14">
      <c r="A22" s="56" t="s">
        <v>223</v>
      </c>
      <c r="B22" s="378">
        <v>41832.423427000002</v>
      </c>
      <c r="C22" s="263"/>
      <c r="E22" s="8">
        <f t="shared" si="0"/>
        <v>0</v>
      </c>
      <c r="F22" s="38"/>
      <c r="G22" s="56" t="s">
        <v>36</v>
      </c>
      <c r="H22" s="378">
        <v>48761.307674999996</v>
      </c>
      <c r="I22" s="8"/>
      <c r="J22" s="8"/>
      <c r="K22" s="8">
        <f t="shared" si="1"/>
        <v>0</v>
      </c>
      <c r="L22" s="38"/>
      <c r="M22" s="56" t="s">
        <v>36</v>
      </c>
      <c r="N22" s="378"/>
      <c r="Q22" s="8" t="e">
        <f t="shared" si="2"/>
        <v>#DIV/0!</v>
      </c>
      <c r="R22" s="38"/>
      <c r="S22" s="56" t="s">
        <v>36</v>
      </c>
      <c r="T22" s="307"/>
      <c r="W22" s="8" t="e">
        <f t="shared" si="3"/>
        <v>#DIV/0!</v>
      </c>
      <c r="X22" s="38"/>
      <c r="Y22" s="56" t="s">
        <v>36</v>
      </c>
      <c r="Z22" s="307"/>
      <c r="AC22" s="8" t="e">
        <f t="shared" si="4"/>
        <v>#DIV/0!</v>
      </c>
      <c r="AD22" s="38"/>
    </row>
    <row r="23" spans="1:30" ht="14">
      <c r="A23" s="56" t="s">
        <v>224</v>
      </c>
      <c r="B23" s="378">
        <v>3.66</v>
      </c>
      <c r="C23" s="263"/>
      <c r="E23" s="8">
        <f t="shared" si="0"/>
        <v>0</v>
      </c>
      <c r="F23" s="38"/>
      <c r="G23" s="56" t="s">
        <v>140</v>
      </c>
      <c r="H23" s="378">
        <v>1.83</v>
      </c>
      <c r="I23" s="8"/>
      <c r="J23" s="8"/>
      <c r="K23" s="8">
        <f t="shared" si="1"/>
        <v>0</v>
      </c>
      <c r="L23" s="38"/>
      <c r="M23" s="56" t="s">
        <v>140</v>
      </c>
      <c r="N23" s="378"/>
      <c r="Q23" s="8" t="e">
        <f t="shared" si="2"/>
        <v>#DIV/0!</v>
      </c>
      <c r="R23" s="38"/>
      <c r="S23" s="56" t="s">
        <v>140</v>
      </c>
      <c r="T23" s="307"/>
      <c r="W23" s="8" t="e">
        <f t="shared" si="3"/>
        <v>#DIV/0!</v>
      </c>
      <c r="X23" s="38"/>
      <c r="Y23" s="56" t="s">
        <v>140</v>
      </c>
      <c r="Z23" s="307"/>
      <c r="AC23" s="8" t="e">
        <f t="shared" si="4"/>
        <v>#DIV/0!</v>
      </c>
      <c r="AD23" s="38"/>
    </row>
    <row r="24" spans="1:30" ht="14">
      <c r="A24" s="56" t="s">
        <v>225</v>
      </c>
      <c r="B24" s="378">
        <v>6.71</v>
      </c>
      <c r="C24" s="263"/>
      <c r="E24" s="8">
        <f t="shared" si="0"/>
        <v>0</v>
      </c>
      <c r="F24" s="38"/>
      <c r="G24" s="56" t="s">
        <v>141</v>
      </c>
      <c r="H24" s="378">
        <v>13.78</v>
      </c>
      <c r="I24" s="8"/>
      <c r="J24" s="8"/>
      <c r="K24" s="8">
        <f t="shared" si="1"/>
        <v>0</v>
      </c>
      <c r="L24" s="38"/>
      <c r="M24" s="56" t="s">
        <v>141</v>
      </c>
      <c r="N24" s="378"/>
      <c r="Q24" s="8" t="e">
        <f t="shared" si="2"/>
        <v>#DIV/0!</v>
      </c>
      <c r="R24" s="38"/>
      <c r="S24" s="56" t="s">
        <v>141</v>
      </c>
      <c r="T24" s="307"/>
      <c r="W24" s="8" t="e">
        <f t="shared" si="3"/>
        <v>#DIV/0!</v>
      </c>
      <c r="X24" s="38"/>
      <c r="Y24" s="56" t="s">
        <v>141</v>
      </c>
      <c r="Z24" s="307"/>
      <c r="AC24" s="8" t="e">
        <f t="shared" si="4"/>
        <v>#DIV/0!</v>
      </c>
      <c r="AD24" s="38"/>
    </row>
    <row r="25" spans="1:30" ht="14">
      <c r="A25" s="56" t="s">
        <v>226</v>
      </c>
      <c r="B25" s="378">
        <v>1229.22</v>
      </c>
      <c r="C25" s="263"/>
      <c r="E25" s="8">
        <f t="shared" si="0"/>
        <v>0</v>
      </c>
      <c r="F25" s="38"/>
      <c r="G25" s="56" t="s">
        <v>142</v>
      </c>
      <c r="H25" s="378">
        <v>2521.09</v>
      </c>
      <c r="I25" s="8"/>
      <c r="J25" s="8"/>
      <c r="K25" s="8">
        <f t="shared" si="1"/>
        <v>0</v>
      </c>
      <c r="L25" s="38"/>
      <c r="M25" s="56" t="s">
        <v>142</v>
      </c>
      <c r="N25" s="378"/>
      <c r="Q25" s="8" t="e">
        <f t="shared" si="2"/>
        <v>#DIV/0!</v>
      </c>
      <c r="R25" s="38"/>
      <c r="S25" s="56" t="s">
        <v>142</v>
      </c>
      <c r="T25" s="307"/>
      <c r="W25" s="8" t="e">
        <f t="shared" si="3"/>
        <v>#DIV/0!</v>
      </c>
      <c r="X25" s="38"/>
      <c r="Y25" s="56" t="s">
        <v>142</v>
      </c>
      <c r="Z25" s="307"/>
      <c r="AC25" s="8" t="e">
        <f t="shared" si="4"/>
        <v>#DIV/0!</v>
      </c>
      <c r="AD25" s="38"/>
    </row>
    <row r="26" spans="1:30" ht="14">
      <c r="A26" s="56" t="s">
        <v>227</v>
      </c>
      <c r="B26" s="378">
        <v>1975.26</v>
      </c>
      <c r="C26" s="263"/>
      <c r="E26" s="8"/>
      <c r="F26" s="38"/>
      <c r="G26" s="56" t="s">
        <v>143</v>
      </c>
      <c r="H26" s="378">
        <v>1841.18</v>
      </c>
      <c r="I26" s="8"/>
      <c r="J26" s="8"/>
      <c r="K26" s="8"/>
      <c r="L26" s="38"/>
      <c r="M26" s="56" t="s">
        <v>143</v>
      </c>
      <c r="N26" s="378"/>
      <c r="Q26" s="8"/>
      <c r="R26" s="38"/>
      <c r="S26" s="56" t="s">
        <v>143</v>
      </c>
      <c r="T26" s="307"/>
      <c r="W26" s="8"/>
      <c r="X26" s="38"/>
      <c r="Y26" s="56" t="s">
        <v>143</v>
      </c>
      <c r="Z26" s="307"/>
      <c r="AC26" s="8"/>
      <c r="AD26" s="38"/>
    </row>
    <row r="27" spans="1:30" ht="14">
      <c r="A27" s="56" t="s">
        <v>228</v>
      </c>
      <c r="B27" s="378">
        <v>277.08</v>
      </c>
      <c r="C27" s="263"/>
      <c r="E27" s="8"/>
      <c r="F27" s="38"/>
      <c r="G27" s="56" t="s">
        <v>144</v>
      </c>
      <c r="H27" s="378">
        <v>473.9</v>
      </c>
      <c r="I27" s="8"/>
      <c r="J27" s="8"/>
      <c r="K27" s="8"/>
      <c r="L27" s="38"/>
      <c r="M27" s="56" t="s">
        <v>144</v>
      </c>
      <c r="N27" s="378"/>
      <c r="Q27" s="8"/>
      <c r="R27" s="38"/>
      <c r="S27" s="56" t="s">
        <v>144</v>
      </c>
      <c r="T27" s="307"/>
      <c r="W27" s="8"/>
      <c r="X27" s="38"/>
      <c r="Y27" s="56" t="s">
        <v>144</v>
      </c>
      <c r="Z27" s="307"/>
      <c r="AC27" s="8"/>
      <c r="AD27" s="38"/>
    </row>
    <row r="28" spans="1:30" ht="14">
      <c r="A28" s="83" t="s">
        <v>229</v>
      </c>
      <c r="B28" s="378">
        <v>70.957223999999997</v>
      </c>
      <c r="C28" s="263"/>
      <c r="E28" s="8"/>
      <c r="F28" s="38"/>
      <c r="G28" s="83" t="s">
        <v>61</v>
      </c>
      <c r="H28" s="378">
        <v>139.381632</v>
      </c>
      <c r="I28" s="8"/>
      <c r="J28" s="8"/>
      <c r="K28" s="8"/>
      <c r="L28" s="38"/>
      <c r="M28" s="83" t="s">
        <v>61</v>
      </c>
      <c r="N28" s="378"/>
      <c r="Q28" s="8"/>
      <c r="R28" s="38"/>
      <c r="S28" s="83" t="s">
        <v>61</v>
      </c>
      <c r="T28" s="307"/>
      <c r="W28" s="8"/>
      <c r="X28" s="38"/>
      <c r="Y28" s="83" t="s">
        <v>61</v>
      </c>
      <c r="Z28" s="307"/>
      <c r="AC28" s="8"/>
      <c r="AD28" s="38"/>
    </row>
    <row r="29" spans="1:30" ht="14">
      <c r="A29" s="56" t="s">
        <v>230</v>
      </c>
      <c r="B29" s="378">
        <v>2318.3837039999999</v>
      </c>
      <c r="C29" s="263"/>
      <c r="E29" s="8">
        <f t="shared" si="0"/>
        <v>0</v>
      </c>
      <c r="F29" s="38"/>
      <c r="G29" s="56" t="s">
        <v>60</v>
      </c>
      <c r="H29" s="378">
        <v>672.75686399999995</v>
      </c>
      <c r="I29" s="8"/>
      <c r="J29" s="8"/>
      <c r="K29" s="8">
        <f t="shared" si="1"/>
        <v>0</v>
      </c>
      <c r="L29" s="38"/>
      <c r="M29" s="56" t="s">
        <v>60</v>
      </c>
      <c r="N29" s="378"/>
      <c r="Q29" s="8" t="e">
        <f t="shared" si="2"/>
        <v>#DIV/0!</v>
      </c>
      <c r="R29" s="38"/>
      <c r="S29" s="56" t="s">
        <v>60</v>
      </c>
      <c r="T29" s="307"/>
      <c r="W29" s="8" t="e">
        <f t="shared" si="3"/>
        <v>#DIV/0!</v>
      </c>
      <c r="X29" s="38"/>
      <c r="Y29" s="56" t="s">
        <v>60</v>
      </c>
      <c r="Z29" s="307"/>
      <c r="AC29" s="8" t="e">
        <f t="shared" si="4"/>
        <v>#DIV/0!</v>
      </c>
      <c r="AD29" s="38"/>
    </row>
    <row r="30" spans="1:30" ht="14">
      <c r="A30" s="56" t="s">
        <v>231</v>
      </c>
      <c r="B30" s="378">
        <v>2221.9192320000002</v>
      </c>
      <c r="C30" s="263"/>
      <c r="E30" s="8">
        <f t="shared" si="0"/>
        <v>0</v>
      </c>
      <c r="F30" s="38"/>
      <c r="G30" s="56" t="s">
        <v>37</v>
      </c>
      <c r="H30" s="378">
        <v>4621.6088879999998</v>
      </c>
      <c r="I30" s="8"/>
      <c r="J30" s="8"/>
      <c r="K30" s="8">
        <f t="shared" si="1"/>
        <v>0</v>
      </c>
      <c r="L30" s="38"/>
      <c r="M30" s="56" t="s">
        <v>37</v>
      </c>
      <c r="N30" s="378"/>
      <c r="Q30" s="8" t="e">
        <f t="shared" si="2"/>
        <v>#DIV/0!</v>
      </c>
      <c r="R30" s="38"/>
      <c r="S30" s="56" t="s">
        <v>37</v>
      </c>
      <c r="T30" s="307"/>
      <c r="W30" s="8" t="e">
        <f t="shared" si="3"/>
        <v>#DIV/0!</v>
      </c>
      <c r="X30" s="38"/>
      <c r="Y30" s="56" t="s">
        <v>37</v>
      </c>
      <c r="Z30" s="307"/>
      <c r="AC30" s="8" t="e">
        <f t="shared" si="4"/>
        <v>#DIV/0!</v>
      </c>
      <c r="AD30" s="38"/>
    </row>
    <row r="31" spans="1:30" ht="14">
      <c r="A31" s="56" t="s">
        <v>232</v>
      </c>
      <c r="B31" s="378">
        <v>6.71</v>
      </c>
      <c r="C31" s="263"/>
      <c r="E31" s="8">
        <f t="shared" si="0"/>
        <v>0</v>
      </c>
      <c r="F31" s="38"/>
      <c r="G31" s="56" t="s">
        <v>145</v>
      </c>
      <c r="H31" s="378">
        <v>0.61</v>
      </c>
      <c r="I31" s="8"/>
      <c r="J31" s="8"/>
      <c r="K31" s="8">
        <f t="shared" si="1"/>
        <v>0</v>
      </c>
      <c r="L31" s="38"/>
      <c r="M31" s="56" t="s">
        <v>145</v>
      </c>
      <c r="N31" s="378"/>
      <c r="Q31" s="8" t="e">
        <f t="shared" si="2"/>
        <v>#DIV/0!</v>
      </c>
      <c r="R31" s="38"/>
      <c r="S31" s="56" t="s">
        <v>145</v>
      </c>
      <c r="T31" s="307"/>
      <c r="W31" s="8" t="e">
        <f t="shared" si="3"/>
        <v>#DIV/0!</v>
      </c>
      <c r="X31" s="38"/>
      <c r="Y31" s="56" t="s">
        <v>145</v>
      </c>
      <c r="Z31" s="307"/>
      <c r="AC31" s="8" t="e">
        <f t="shared" si="4"/>
        <v>#DIV/0!</v>
      </c>
      <c r="AD31" s="38"/>
    </row>
    <row r="32" spans="1:30" ht="14">
      <c r="A32" s="56" t="s">
        <v>233</v>
      </c>
      <c r="B32" s="378">
        <v>184.3</v>
      </c>
      <c r="C32" s="263"/>
      <c r="E32" s="8">
        <f t="shared" si="0"/>
        <v>0</v>
      </c>
      <c r="F32" s="38"/>
      <c r="G32" s="56" t="s">
        <v>146</v>
      </c>
      <c r="H32" s="378">
        <v>166.28</v>
      </c>
      <c r="I32" s="8"/>
      <c r="J32" s="8"/>
      <c r="K32" s="8">
        <f t="shared" si="1"/>
        <v>0</v>
      </c>
      <c r="L32" s="38"/>
      <c r="M32" s="56" t="s">
        <v>146</v>
      </c>
      <c r="N32" s="378"/>
      <c r="Q32" s="8" t="e">
        <f t="shared" si="2"/>
        <v>#DIV/0!</v>
      </c>
      <c r="R32" s="38"/>
      <c r="S32" s="56" t="s">
        <v>146</v>
      </c>
      <c r="T32" s="307"/>
      <c r="W32" s="8" t="e">
        <f t="shared" si="3"/>
        <v>#DIV/0!</v>
      </c>
      <c r="X32" s="38"/>
      <c r="Y32" s="56" t="s">
        <v>146</v>
      </c>
      <c r="Z32" s="307"/>
      <c r="AC32" s="8" t="e">
        <f t="shared" si="4"/>
        <v>#DIV/0!</v>
      </c>
      <c r="AD32" s="38"/>
    </row>
    <row r="33" spans="1:30" ht="14">
      <c r="A33" s="83" t="s">
        <v>234</v>
      </c>
      <c r="B33" s="378">
        <v>399.27</v>
      </c>
      <c r="C33" s="263"/>
      <c r="E33" s="8"/>
      <c r="F33" s="38"/>
      <c r="G33" s="83" t="s">
        <v>147</v>
      </c>
      <c r="H33" s="378">
        <v>459.01</v>
      </c>
      <c r="I33" s="8"/>
      <c r="J33" s="8"/>
      <c r="K33" s="8"/>
      <c r="L33" s="38"/>
      <c r="M33" s="83" t="s">
        <v>147</v>
      </c>
      <c r="N33" s="378"/>
      <c r="Q33" s="8"/>
      <c r="R33" s="38"/>
      <c r="S33" s="83" t="s">
        <v>147</v>
      </c>
      <c r="T33" s="307"/>
      <c r="W33" s="8"/>
      <c r="X33" s="38"/>
      <c r="Y33" s="83" t="s">
        <v>147</v>
      </c>
      <c r="Z33" s="307"/>
      <c r="AC33" s="8"/>
      <c r="AD33" s="38"/>
    </row>
    <row r="34" spans="1:30" ht="14">
      <c r="A34" s="56" t="s">
        <v>235</v>
      </c>
      <c r="B34" s="378">
        <v>34.520000000000003</v>
      </c>
      <c r="C34" s="263"/>
      <c r="E34" s="8">
        <f t="shared" si="0"/>
        <v>0</v>
      </c>
      <c r="F34" s="38"/>
      <c r="G34" s="56" t="s">
        <v>148</v>
      </c>
      <c r="H34" s="378">
        <v>137.43</v>
      </c>
      <c r="I34" s="8"/>
      <c r="J34" s="8"/>
      <c r="K34" s="8">
        <f t="shared" si="1"/>
        <v>0</v>
      </c>
      <c r="L34" s="38"/>
      <c r="M34" s="56" t="s">
        <v>148</v>
      </c>
      <c r="N34" s="378"/>
      <c r="Q34" s="8" t="e">
        <f t="shared" si="2"/>
        <v>#DIV/0!</v>
      </c>
      <c r="R34" s="38"/>
      <c r="S34" s="56" t="s">
        <v>148</v>
      </c>
      <c r="T34" s="307"/>
      <c r="W34" s="8" t="e">
        <f t="shared" si="3"/>
        <v>#DIV/0!</v>
      </c>
      <c r="X34" s="38"/>
      <c r="Y34" s="56" t="s">
        <v>148</v>
      </c>
      <c r="Z34" s="307"/>
      <c r="AC34" s="8" t="e">
        <f t="shared" si="4"/>
        <v>#DIV/0!</v>
      </c>
      <c r="AD34" s="38"/>
    </row>
    <row r="35" spans="1:30" ht="14">
      <c r="A35" s="56" t="s">
        <v>236</v>
      </c>
      <c r="B35" s="378">
        <v>86.768135999999998</v>
      </c>
      <c r="C35" s="263"/>
      <c r="E35" s="8">
        <f t="shared" si="0"/>
        <v>0</v>
      </c>
      <c r="F35" s="38"/>
      <c r="G35" s="56" t="s">
        <v>59</v>
      </c>
      <c r="H35" s="378">
        <v>147.862728</v>
      </c>
      <c r="I35" s="8"/>
      <c r="J35" s="8"/>
      <c r="K35" s="8">
        <f t="shared" si="1"/>
        <v>0</v>
      </c>
      <c r="L35" s="38"/>
      <c r="M35" s="56" t="s">
        <v>59</v>
      </c>
      <c r="N35" s="378"/>
      <c r="Q35" s="8" t="e">
        <f t="shared" si="2"/>
        <v>#DIV/0!</v>
      </c>
      <c r="R35" s="38"/>
      <c r="S35" s="56" t="s">
        <v>59</v>
      </c>
      <c r="T35" s="307"/>
      <c r="W35" s="8" t="e">
        <f t="shared" si="3"/>
        <v>#DIV/0!</v>
      </c>
      <c r="X35" s="38"/>
      <c r="Y35" s="56" t="s">
        <v>59</v>
      </c>
      <c r="Z35" s="307"/>
      <c r="AC35" s="8" t="e">
        <f t="shared" si="4"/>
        <v>#DIV/0!</v>
      </c>
      <c r="AD35" s="38"/>
    </row>
    <row r="36" spans="1:30" ht="14">
      <c r="A36" s="56" t="s">
        <v>237</v>
      </c>
      <c r="B36" s="378"/>
      <c r="C36" s="263"/>
      <c r="E36" s="8" t="e">
        <f t="shared" si="0"/>
        <v>#DIV/0!</v>
      </c>
      <c r="F36" s="38"/>
      <c r="G36" s="56" t="s">
        <v>149</v>
      </c>
      <c r="H36" s="378">
        <v>0.61</v>
      </c>
      <c r="I36" s="8"/>
      <c r="J36" s="8"/>
      <c r="K36" s="8">
        <f t="shared" si="1"/>
        <v>0</v>
      </c>
      <c r="L36" s="38"/>
      <c r="M36" s="56" t="s">
        <v>149</v>
      </c>
      <c r="N36" s="378"/>
      <c r="Q36" s="8" t="e">
        <f t="shared" si="2"/>
        <v>#DIV/0!</v>
      </c>
      <c r="R36" s="38"/>
      <c r="S36" s="56" t="s">
        <v>149</v>
      </c>
      <c r="T36" s="307"/>
      <c r="W36" s="8" t="e">
        <f t="shared" si="3"/>
        <v>#DIV/0!</v>
      </c>
      <c r="X36" s="38"/>
      <c r="Y36" s="56" t="s">
        <v>149</v>
      </c>
      <c r="Z36" s="307"/>
      <c r="AC36" s="8" t="e">
        <f t="shared" si="4"/>
        <v>#DIV/0!</v>
      </c>
      <c r="AD36" s="38"/>
    </row>
    <row r="37" spans="1:30" ht="14">
      <c r="A37" s="56" t="s">
        <v>238</v>
      </c>
      <c r="B37" s="378">
        <v>795.419352</v>
      </c>
      <c r="C37" s="263"/>
      <c r="E37" s="8"/>
      <c r="F37" s="38"/>
      <c r="G37" s="56" t="s">
        <v>38</v>
      </c>
      <c r="H37" s="378">
        <v>949.52457600000002</v>
      </c>
      <c r="I37" s="8"/>
      <c r="J37" s="8"/>
      <c r="K37" s="8"/>
      <c r="L37" s="38"/>
      <c r="M37" s="56" t="s">
        <v>38</v>
      </c>
      <c r="N37" s="378"/>
      <c r="Q37" s="8"/>
      <c r="R37" s="38"/>
      <c r="S37" s="56" t="s">
        <v>38</v>
      </c>
      <c r="T37" s="307"/>
      <c r="W37" s="8"/>
      <c r="X37" s="38"/>
      <c r="Y37" s="56" t="s">
        <v>38</v>
      </c>
      <c r="Z37" s="307"/>
      <c r="AC37" s="8"/>
      <c r="AD37" s="38"/>
    </row>
    <row r="38" spans="1:30" ht="14">
      <c r="A38" s="83" t="s">
        <v>239</v>
      </c>
      <c r="B38" s="378">
        <v>13433.928144</v>
      </c>
      <c r="C38" s="263"/>
      <c r="E38" s="8"/>
      <c r="F38" s="38"/>
      <c r="G38" s="83" t="s">
        <v>39</v>
      </c>
      <c r="H38" s="378">
        <v>20776.484976</v>
      </c>
      <c r="I38" s="8"/>
      <c r="J38" s="8"/>
      <c r="K38" s="8"/>
      <c r="L38" s="38"/>
      <c r="M38" s="83" t="s">
        <v>39</v>
      </c>
      <c r="N38" s="378"/>
      <c r="Q38" s="8"/>
      <c r="R38" s="38"/>
      <c r="S38" s="83" t="s">
        <v>39</v>
      </c>
      <c r="T38" s="307"/>
      <c r="W38" s="8"/>
      <c r="X38" s="38"/>
      <c r="Y38" s="83" t="s">
        <v>39</v>
      </c>
      <c r="Z38" s="307"/>
      <c r="AC38" s="8"/>
      <c r="AD38" s="38"/>
    </row>
    <row r="39" spans="1:30" ht="14">
      <c r="A39" s="56" t="s">
        <v>240</v>
      </c>
      <c r="B39" s="378">
        <v>3.66</v>
      </c>
      <c r="C39" s="263"/>
      <c r="E39" s="8">
        <f t="shared" si="0"/>
        <v>0</v>
      </c>
      <c r="F39" s="38"/>
      <c r="G39" s="56" t="s">
        <v>150</v>
      </c>
      <c r="H39" s="378">
        <v>0</v>
      </c>
      <c r="I39" s="8"/>
      <c r="J39" s="8"/>
      <c r="K39" s="8" t="e">
        <f t="shared" si="1"/>
        <v>#DIV/0!</v>
      </c>
      <c r="L39" s="38"/>
      <c r="M39" s="56" t="s">
        <v>150</v>
      </c>
      <c r="N39" s="378"/>
      <c r="Q39" s="8" t="e">
        <f t="shared" si="2"/>
        <v>#DIV/0!</v>
      </c>
      <c r="R39" s="38"/>
      <c r="S39" s="56" t="s">
        <v>150</v>
      </c>
      <c r="T39" s="307"/>
      <c r="W39" s="8" t="e">
        <f t="shared" si="3"/>
        <v>#DIV/0!</v>
      </c>
      <c r="X39" s="38"/>
      <c r="Y39" s="56" t="s">
        <v>150</v>
      </c>
      <c r="Z39" s="307"/>
      <c r="AC39" s="8" t="e">
        <f t="shared" si="4"/>
        <v>#DIV/0!</v>
      </c>
      <c r="AD39" s="38"/>
    </row>
    <row r="40" spans="1:30" ht="14">
      <c r="A40" s="83" t="s">
        <v>241</v>
      </c>
      <c r="B40" s="378">
        <v>18297.101159999998</v>
      </c>
      <c r="C40" s="263"/>
      <c r="E40" s="8">
        <f t="shared" si="0"/>
        <v>0</v>
      </c>
      <c r="F40" s="38"/>
      <c r="G40" s="83" t="s">
        <v>40</v>
      </c>
      <c r="H40" s="378">
        <v>31844.711808</v>
      </c>
      <c r="I40" s="8"/>
      <c r="J40" s="8"/>
      <c r="K40" s="8">
        <f t="shared" si="1"/>
        <v>0</v>
      </c>
      <c r="L40" s="38"/>
      <c r="M40" s="83" t="s">
        <v>40</v>
      </c>
      <c r="N40" s="378"/>
      <c r="Q40" s="8" t="e">
        <f t="shared" si="2"/>
        <v>#DIV/0!</v>
      </c>
      <c r="R40" s="38"/>
      <c r="S40" s="83" t="s">
        <v>40</v>
      </c>
      <c r="T40" s="307"/>
      <c r="W40" s="8" t="e">
        <f t="shared" si="3"/>
        <v>#DIV/0!</v>
      </c>
      <c r="X40" s="38"/>
      <c r="Y40" s="83" t="s">
        <v>40</v>
      </c>
      <c r="Z40" s="307"/>
      <c r="AC40" s="8" t="e">
        <f t="shared" si="4"/>
        <v>#DIV/0!</v>
      </c>
      <c r="AD40" s="38"/>
    </row>
    <row r="41" spans="1:30" ht="14">
      <c r="A41" s="56" t="s">
        <v>242</v>
      </c>
      <c r="B41" s="378">
        <v>28.06</v>
      </c>
      <c r="C41" s="263"/>
      <c r="E41" s="8">
        <f t="shared" si="0"/>
        <v>0</v>
      </c>
      <c r="F41" s="38"/>
      <c r="G41" s="56" t="s">
        <v>151</v>
      </c>
      <c r="H41" s="378">
        <v>13.42</v>
      </c>
      <c r="I41" s="8"/>
      <c r="J41" s="8"/>
      <c r="K41" s="8">
        <f t="shared" si="1"/>
        <v>0</v>
      </c>
      <c r="L41" s="38"/>
      <c r="M41" s="56" t="s">
        <v>151</v>
      </c>
      <c r="N41" s="378"/>
      <c r="Q41" s="8" t="e">
        <f t="shared" si="2"/>
        <v>#DIV/0!</v>
      </c>
      <c r="R41" s="38"/>
      <c r="S41" s="56" t="s">
        <v>151</v>
      </c>
      <c r="T41" s="307"/>
      <c r="W41" s="8" t="e">
        <f t="shared" si="3"/>
        <v>#DIV/0!</v>
      </c>
      <c r="X41" s="38"/>
      <c r="Y41" s="56" t="s">
        <v>151</v>
      </c>
      <c r="Z41" s="307"/>
      <c r="AC41" s="8" t="e">
        <f t="shared" si="4"/>
        <v>#DIV/0!</v>
      </c>
      <c r="AD41" s="38"/>
    </row>
    <row r="42" spans="1:30" ht="14">
      <c r="A42" s="56" t="s">
        <v>243</v>
      </c>
      <c r="B42" s="378">
        <v>354.760536</v>
      </c>
      <c r="C42" s="263"/>
      <c r="E42" s="8">
        <f t="shared" si="0"/>
        <v>0</v>
      </c>
      <c r="F42" s="38"/>
      <c r="G42" s="56" t="s">
        <v>41</v>
      </c>
      <c r="H42" s="378">
        <v>1174.1009280000001</v>
      </c>
      <c r="I42" s="8"/>
      <c r="J42" s="8"/>
      <c r="K42" s="8">
        <f t="shared" si="1"/>
        <v>0</v>
      </c>
      <c r="L42" s="38"/>
      <c r="M42" s="56" t="s">
        <v>41</v>
      </c>
      <c r="N42" s="378"/>
      <c r="Q42" s="8" t="e">
        <f t="shared" si="2"/>
        <v>#DIV/0!</v>
      </c>
      <c r="R42" s="38"/>
      <c r="S42" s="56" t="s">
        <v>41</v>
      </c>
      <c r="T42" s="307"/>
      <c r="W42" s="8" t="e">
        <f t="shared" si="3"/>
        <v>#DIV/0!</v>
      </c>
      <c r="X42" s="38"/>
      <c r="Y42" s="56" t="s">
        <v>41</v>
      </c>
      <c r="Z42" s="307"/>
      <c r="AC42" s="8" t="e">
        <f t="shared" si="4"/>
        <v>#DIV/0!</v>
      </c>
      <c r="AD42" s="38"/>
    </row>
    <row r="43" spans="1:30" ht="14">
      <c r="A43" s="56" t="s">
        <v>244</v>
      </c>
      <c r="B43" s="378"/>
      <c r="C43" s="263"/>
      <c r="E43" s="8"/>
      <c r="F43" s="38"/>
      <c r="G43" s="56" t="s">
        <v>152</v>
      </c>
      <c r="H43" s="378">
        <v>7.32</v>
      </c>
      <c r="I43" s="8"/>
      <c r="J43" s="8"/>
      <c r="K43" s="8"/>
      <c r="L43" s="38"/>
      <c r="M43" s="56" t="s">
        <v>152</v>
      </c>
      <c r="N43" s="378"/>
      <c r="Q43" s="8"/>
      <c r="R43" s="38"/>
      <c r="S43" s="56" t="s">
        <v>152</v>
      </c>
      <c r="T43" s="307"/>
      <c r="W43" s="8"/>
      <c r="X43" s="38"/>
      <c r="Y43" s="56" t="s">
        <v>152</v>
      </c>
      <c r="Z43" s="307"/>
      <c r="AC43" s="8"/>
      <c r="AD43" s="38"/>
    </row>
    <row r="44" spans="1:30" ht="14">
      <c r="A44" s="56" t="s">
        <v>245</v>
      </c>
      <c r="B44" s="378">
        <v>93.19</v>
      </c>
      <c r="C44" s="263"/>
      <c r="E44" s="8">
        <f t="shared" si="0"/>
        <v>0</v>
      </c>
      <c r="F44" s="38"/>
      <c r="G44" s="56" t="s">
        <v>153</v>
      </c>
      <c r="H44" s="378">
        <v>208.19</v>
      </c>
      <c r="I44" s="8"/>
      <c r="J44" s="8"/>
      <c r="K44" s="8">
        <f t="shared" si="1"/>
        <v>0</v>
      </c>
      <c r="L44" s="38"/>
      <c r="M44" s="56" t="s">
        <v>153</v>
      </c>
      <c r="N44" s="378"/>
      <c r="Q44" s="8" t="e">
        <f t="shared" si="2"/>
        <v>#DIV/0!</v>
      </c>
      <c r="R44" s="38"/>
      <c r="S44" s="56" t="s">
        <v>153</v>
      </c>
      <c r="T44" s="307"/>
      <c r="W44" s="8" t="e">
        <f t="shared" si="3"/>
        <v>#DIV/0!</v>
      </c>
      <c r="X44" s="38"/>
      <c r="Y44" s="56" t="s">
        <v>153</v>
      </c>
      <c r="Z44" s="307"/>
      <c r="AC44" s="8" t="e">
        <f t="shared" si="4"/>
        <v>#DIV/0!</v>
      </c>
      <c r="AD44" s="38"/>
    </row>
    <row r="45" spans="1:30" ht="14">
      <c r="A45" s="56" t="s">
        <v>246</v>
      </c>
      <c r="B45" s="378"/>
      <c r="C45" s="263"/>
      <c r="E45" s="8"/>
      <c r="F45" s="38"/>
      <c r="G45" s="56" t="s">
        <v>154</v>
      </c>
      <c r="H45" s="378">
        <v>0</v>
      </c>
      <c r="I45" s="8"/>
      <c r="J45" s="8"/>
      <c r="K45" s="8"/>
      <c r="L45" s="38"/>
      <c r="M45" s="56" t="s">
        <v>154</v>
      </c>
      <c r="N45" s="378"/>
      <c r="Q45" s="8"/>
      <c r="R45" s="38"/>
      <c r="S45" s="56" t="s">
        <v>154</v>
      </c>
      <c r="T45" s="307"/>
      <c r="W45" s="8"/>
      <c r="X45" s="38"/>
      <c r="Y45" s="56" t="s">
        <v>154</v>
      </c>
      <c r="Z45" s="307"/>
      <c r="AC45" s="8"/>
      <c r="AD45" s="38"/>
    </row>
    <row r="46" spans="1:30" ht="14">
      <c r="A46" s="56" t="s">
        <v>247</v>
      </c>
      <c r="B46" s="378">
        <v>24.85</v>
      </c>
      <c r="C46" s="263"/>
      <c r="E46" s="8"/>
      <c r="F46" s="38"/>
      <c r="G46" s="56" t="s">
        <v>155</v>
      </c>
      <c r="H46" s="378">
        <v>81.92</v>
      </c>
      <c r="I46" s="8"/>
      <c r="J46" s="8"/>
      <c r="K46" s="8"/>
      <c r="L46" s="38"/>
      <c r="M46" s="56" t="s">
        <v>155</v>
      </c>
      <c r="N46" s="378"/>
      <c r="Q46" s="8"/>
      <c r="R46" s="38"/>
      <c r="S46" s="56" t="s">
        <v>155</v>
      </c>
      <c r="T46" s="307"/>
      <c r="W46" s="8"/>
      <c r="X46" s="38"/>
      <c r="Y46" s="56" t="s">
        <v>155</v>
      </c>
      <c r="Z46" s="307"/>
      <c r="AC46" s="8"/>
      <c r="AD46" s="38"/>
    </row>
    <row r="47" spans="1:30" ht="14">
      <c r="A47" s="56" t="s">
        <v>248</v>
      </c>
      <c r="B47" s="378">
        <v>712.50663299999997</v>
      </c>
      <c r="C47" s="263"/>
      <c r="E47" s="8"/>
      <c r="F47" s="38"/>
      <c r="G47" s="56" t="s">
        <v>156</v>
      </c>
      <c r="H47" s="378">
        <v>768.56828599999994</v>
      </c>
      <c r="I47" s="8"/>
      <c r="J47" s="8"/>
      <c r="K47" s="8"/>
      <c r="L47" s="38"/>
      <c r="M47" s="56" t="s">
        <v>156</v>
      </c>
      <c r="N47" s="378"/>
      <c r="Q47" s="8"/>
      <c r="R47" s="38"/>
      <c r="S47" s="56" t="s">
        <v>156</v>
      </c>
      <c r="T47" s="307"/>
      <c r="W47" s="8"/>
      <c r="X47" s="38"/>
      <c r="Y47" s="56" t="s">
        <v>156</v>
      </c>
      <c r="Z47" s="307"/>
      <c r="AC47" s="8"/>
      <c r="AD47" s="38"/>
    </row>
    <row r="48" spans="1:30" ht="14">
      <c r="A48" s="83" t="s">
        <v>249</v>
      </c>
      <c r="B48" s="378">
        <v>386.689368</v>
      </c>
      <c r="C48" s="263"/>
      <c r="E48" s="8"/>
      <c r="F48" s="38"/>
      <c r="G48" s="83" t="s">
        <v>58</v>
      </c>
      <c r="H48" s="378">
        <v>411.46747199999999</v>
      </c>
      <c r="I48" s="8"/>
      <c r="J48" s="8"/>
      <c r="K48" s="8"/>
      <c r="L48" s="38"/>
      <c r="M48" s="83" t="s">
        <v>58</v>
      </c>
      <c r="N48" s="378"/>
      <c r="Q48" s="8"/>
      <c r="R48" s="38"/>
      <c r="S48" s="83" t="s">
        <v>58</v>
      </c>
      <c r="T48" s="307"/>
      <c r="W48" s="8"/>
      <c r="X48" s="38"/>
      <c r="Y48" s="83" t="s">
        <v>58</v>
      </c>
      <c r="Z48" s="307"/>
      <c r="AC48" s="8"/>
      <c r="AD48" s="38"/>
    </row>
    <row r="49" spans="1:30" ht="14">
      <c r="A49" s="56" t="s">
        <v>250</v>
      </c>
      <c r="B49" s="378">
        <v>507.96718299999998</v>
      </c>
      <c r="C49" s="263"/>
      <c r="E49" s="8">
        <f t="shared" si="0"/>
        <v>0</v>
      </c>
      <c r="F49" s="38"/>
      <c r="G49" s="56" t="s">
        <v>157</v>
      </c>
      <c r="H49" s="378">
        <v>1387.7029239999999</v>
      </c>
      <c r="I49" s="8"/>
      <c r="J49" s="8"/>
      <c r="K49" s="8">
        <f t="shared" si="1"/>
        <v>0</v>
      </c>
      <c r="L49" s="38"/>
      <c r="M49" s="56" t="s">
        <v>157</v>
      </c>
      <c r="N49" s="378"/>
      <c r="Q49" s="8" t="e">
        <f t="shared" si="2"/>
        <v>#DIV/0!</v>
      </c>
      <c r="R49" s="38"/>
      <c r="S49" s="56" t="s">
        <v>157</v>
      </c>
      <c r="T49" s="307"/>
      <c r="W49" s="8" t="e">
        <f t="shared" si="3"/>
        <v>#DIV/0!</v>
      </c>
      <c r="X49" s="38"/>
      <c r="Y49" s="56" t="s">
        <v>157</v>
      </c>
      <c r="Z49" s="307"/>
      <c r="AC49" s="8" t="e">
        <f t="shared" si="4"/>
        <v>#DIV/0!</v>
      </c>
      <c r="AD49" s="38"/>
    </row>
    <row r="50" spans="1:30" ht="14">
      <c r="A50" s="56" t="s">
        <v>251</v>
      </c>
      <c r="B50" s="378">
        <v>579.46600000000001</v>
      </c>
      <c r="C50" s="263"/>
      <c r="E50" s="8">
        <f t="shared" si="0"/>
        <v>0</v>
      </c>
      <c r="F50" s="38"/>
      <c r="G50" s="56" t="s">
        <v>158</v>
      </c>
      <c r="H50" s="378">
        <v>879.85799999999995</v>
      </c>
      <c r="I50" s="8"/>
      <c r="J50" s="8"/>
      <c r="K50" s="8">
        <f t="shared" si="1"/>
        <v>0</v>
      </c>
      <c r="L50" s="38"/>
      <c r="M50" s="56" t="s">
        <v>158</v>
      </c>
      <c r="N50" s="378"/>
      <c r="Q50" s="8" t="e">
        <f t="shared" si="2"/>
        <v>#DIV/0!</v>
      </c>
      <c r="R50" s="38"/>
      <c r="S50" s="56" t="s">
        <v>158</v>
      </c>
      <c r="T50" s="307"/>
      <c r="W50" s="8" t="e">
        <f t="shared" si="3"/>
        <v>#DIV/0!</v>
      </c>
      <c r="X50" s="38"/>
      <c r="Y50" s="56" t="s">
        <v>158</v>
      </c>
      <c r="Z50" s="307"/>
      <c r="AC50" s="8" t="e">
        <f t="shared" si="4"/>
        <v>#DIV/0!</v>
      </c>
      <c r="AD50" s="38"/>
    </row>
    <row r="51" spans="1:30" ht="14">
      <c r="A51" s="56" t="s">
        <v>252</v>
      </c>
      <c r="B51" s="378">
        <v>2849.0854079999999</v>
      </c>
      <c r="C51" s="263"/>
      <c r="E51" s="8">
        <f t="shared" si="0"/>
        <v>0</v>
      </c>
      <c r="F51" s="38"/>
      <c r="G51" s="56" t="s">
        <v>42</v>
      </c>
      <c r="H51" s="378">
        <v>4464.3312480000004</v>
      </c>
      <c r="I51" s="8"/>
      <c r="J51" s="8"/>
      <c r="K51" s="8">
        <f t="shared" si="1"/>
        <v>0</v>
      </c>
      <c r="L51" s="38"/>
      <c r="M51" s="56" t="s">
        <v>42</v>
      </c>
      <c r="N51" s="378"/>
      <c r="Q51" s="8" t="e">
        <f t="shared" si="2"/>
        <v>#DIV/0!</v>
      </c>
      <c r="R51" s="38"/>
      <c r="S51" s="56" t="s">
        <v>42</v>
      </c>
      <c r="T51" s="307"/>
      <c r="W51" s="8" t="e">
        <f t="shared" si="3"/>
        <v>#DIV/0!</v>
      </c>
      <c r="X51" s="38"/>
      <c r="Y51" s="56" t="s">
        <v>42</v>
      </c>
      <c r="Z51" s="307"/>
      <c r="AC51" s="8" t="e">
        <f t="shared" si="4"/>
        <v>#DIV/0!</v>
      </c>
      <c r="AD51" s="38"/>
    </row>
    <row r="52" spans="1:30" ht="14">
      <c r="A52" s="83" t="s">
        <v>253</v>
      </c>
      <c r="B52" s="378">
        <v>434.69919700000003</v>
      </c>
      <c r="C52" s="263"/>
      <c r="E52" s="8"/>
      <c r="F52" s="38"/>
      <c r="G52" s="83" t="s">
        <v>159</v>
      </c>
      <c r="H52" s="378">
        <v>1037.779456</v>
      </c>
      <c r="I52" s="8"/>
      <c r="J52" s="8"/>
      <c r="K52" s="8"/>
      <c r="L52" s="38"/>
      <c r="M52" s="83" t="s">
        <v>159</v>
      </c>
      <c r="N52" s="378"/>
      <c r="Q52" s="8"/>
      <c r="R52" s="38"/>
      <c r="S52" s="83" t="s">
        <v>159</v>
      </c>
      <c r="T52" s="307"/>
      <c r="W52" s="8"/>
      <c r="X52" s="38"/>
      <c r="Y52" s="83" t="s">
        <v>159</v>
      </c>
      <c r="Z52" s="307"/>
      <c r="AC52" s="8"/>
      <c r="AD52" s="38"/>
    </row>
    <row r="53" spans="1:30" ht="14">
      <c r="A53" s="56" t="s">
        <v>254</v>
      </c>
      <c r="B53" s="378">
        <v>5564.3025360000001</v>
      </c>
      <c r="C53" s="263"/>
      <c r="E53" s="8">
        <f t="shared" si="0"/>
        <v>0</v>
      </c>
      <c r="F53" s="38"/>
      <c r="G53" s="56" t="s">
        <v>11</v>
      </c>
      <c r="H53" s="378">
        <v>14798.988047999999</v>
      </c>
      <c r="I53" s="8"/>
      <c r="J53" s="8"/>
      <c r="K53" s="8">
        <f t="shared" si="1"/>
        <v>0</v>
      </c>
      <c r="L53" s="38"/>
      <c r="M53" s="56" t="s">
        <v>11</v>
      </c>
      <c r="N53" s="378"/>
      <c r="Q53" s="8" t="e">
        <f t="shared" si="2"/>
        <v>#DIV/0!</v>
      </c>
      <c r="R53" s="38"/>
      <c r="S53" s="56" t="s">
        <v>11</v>
      </c>
      <c r="T53" s="307"/>
      <c r="W53" s="8" t="e">
        <f t="shared" si="3"/>
        <v>#DIV/0!</v>
      </c>
      <c r="X53" s="38"/>
      <c r="Y53" s="56" t="s">
        <v>11</v>
      </c>
      <c r="Z53" s="307"/>
      <c r="AC53" s="8" t="e">
        <f t="shared" si="4"/>
        <v>#DIV/0!</v>
      </c>
      <c r="AD53" s="38"/>
    </row>
    <row r="54" spans="1:30" ht="14">
      <c r="A54" s="56" t="s">
        <v>255</v>
      </c>
      <c r="B54" s="378">
        <v>14772.690855000001</v>
      </c>
      <c r="C54" s="263"/>
      <c r="E54" s="8">
        <f t="shared" si="0"/>
        <v>0</v>
      </c>
      <c r="F54" s="38"/>
      <c r="G54" s="56" t="s">
        <v>13</v>
      </c>
      <c r="H54" s="378">
        <v>18735.534674999999</v>
      </c>
      <c r="I54" s="8"/>
      <c r="J54" s="8"/>
      <c r="K54" s="8">
        <f t="shared" si="1"/>
        <v>0</v>
      </c>
      <c r="L54" s="38"/>
      <c r="M54" s="56" t="s">
        <v>13</v>
      </c>
      <c r="N54" s="378"/>
      <c r="Q54" s="8" t="e">
        <f t="shared" si="2"/>
        <v>#DIV/0!</v>
      </c>
      <c r="R54" s="38"/>
      <c r="S54" s="56" t="s">
        <v>13</v>
      </c>
      <c r="T54" s="307"/>
      <c r="W54" s="8" t="e">
        <f t="shared" si="3"/>
        <v>#DIV/0!</v>
      </c>
      <c r="X54" s="38"/>
      <c r="Y54" s="56" t="s">
        <v>13</v>
      </c>
      <c r="Z54" s="307"/>
      <c r="AC54" s="8" t="e">
        <f t="shared" si="4"/>
        <v>#DIV/0!</v>
      </c>
      <c r="AD54" s="38"/>
    </row>
    <row r="55" spans="1:30" ht="14">
      <c r="A55" s="56" t="s">
        <v>256</v>
      </c>
      <c r="B55" s="378">
        <v>64.98</v>
      </c>
      <c r="C55" s="263"/>
      <c r="E55" s="8">
        <f t="shared" si="0"/>
        <v>0</v>
      </c>
      <c r="F55" s="38"/>
      <c r="G55" s="56" t="s">
        <v>160</v>
      </c>
      <c r="H55" s="378">
        <v>460.56</v>
      </c>
      <c r="I55" s="8"/>
      <c r="J55" s="8"/>
      <c r="K55" s="8">
        <f t="shared" si="1"/>
        <v>0</v>
      </c>
      <c r="L55" s="38"/>
      <c r="M55" s="56" t="s">
        <v>160</v>
      </c>
      <c r="N55" s="378"/>
      <c r="Q55" s="8" t="e">
        <f t="shared" si="2"/>
        <v>#DIV/0!</v>
      </c>
      <c r="R55" s="38"/>
      <c r="S55" s="56" t="s">
        <v>160</v>
      </c>
      <c r="T55" s="307"/>
      <c r="W55" s="8" t="e">
        <f t="shared" si="3"/>
        <v>#DIV/0!</v>
      </c>
      <c r="X55" s="38"/>
      <c r="Y55" s="56" t="s">
        <v>160</v>
      </c>
      <c r="Z55" s="307"/>
      <c r="AC55" s="8" t="e">
        <f t="shared" si="4"/>
        <v>#DIV/0!</v>
      </c>
      <c r="AD55" s="38"/>
    </row>
    <row r="56" spans="1:30" ht="14">
      <c r="A56" s="56" t="s">
        <v>257</v>
      </c>
      <c r="B56" s="378">
        <v>76.25</v>
      </c>
      <c r="C56" s="263"/>
      <c r="E56" s="8"/>
      <c r="F56" s="38"/>
      <c r="G56" s="56" t="s">
        <v>161</v>
      </c>
      <c r="H56" s="378">
        <v>159.82</v>
      </c>
      <c r="I56" s="8"/>
      <c r="J56" s="8"/>
      <c r="K56" s="8"/>
      <c r="L56" s="38"/>
      <c r="M56" s="56" t="s">
        <v>161</v>
      </c>
      <c r="N56" s="378"/>
      <c r="Q56" s="8"/>
      <c r="R56" s="38"/>
      <c r="S56" s="56" t="s">
        <v>161</v>
      </c>
      <c r="T56" s="307"/>
      <c r="W56" s="8"/>
      <c r="X56" s="38"/>
      <c r="Y56" s="56" t="s">
        <v>161</v>
      </c>
      <c r="Z56" s="307"/>
      <c r="AC56" s="8"/>
      <c r="AD56" s="38"/>
    </row>
    <row r="57" spans="1:30" ht="14">
      <c r="A57" s="56" t="s">
        <v>258</v>
      </c>
      <c r="B57" s="378"/>
      <c r="C57" s="263"/>
      <c r="E57" s="8" t="e">
        <f t="shared" si="0"/>
        <v>#DIV/0!</v>
      </c>
      <c r="F57" s="38"/>
      <c r="G57" s="56" t="s">
        <v>162</v>
      </c>
      <c r="H57" s="378">
        <v>7.2</v>
      </c>
      <c r="I57" s="8"/>
      <c r="J57" s="8"/>
      <c r="K57" s="8">
        <f t="shared" si="1"/>
        <v>0</v>
      </c>
      <c r="L57" s="38"/>
      <c r="M57" s="56" t="s">
        <v>162</v>
      </c>
      <c r="N57" s="378"/>
      <c r="Q57" s="8" t="e">
        <f t="shared" si="2"/>
        <v>#DIV/0!</v>
      </c>
      <c r="R57" s="38"/>
      <c r="S57" s="56" t="s">
        <v>162</v>
      </c>
      <c r="T57" s="307"/>
      <c r="W57" s="8" t="e">
        <f t="shared" si="3"/>
        <v>#DIV/0!</v>
      </c>
      <c r="X57" s="38"/>
      <c r="Y57" s="56" t="s">
        <v>162</v>
      </c>
      <c r="Z57" s="307"/>
      <c r="AC57" s="8" t="e">
        <f t="shared" si="4"/>
        <v>#DIV/0!</v>
      </c>
      <c r="AD57" s="38"/>
    </row>
    <row r="58" spans="1:30" ht="14">
      <c r="A58" s="56" t="s">
        <v>312</v>
      </c>
      <c r="B58" s="378"/>
      <c r="C58" s="263"/>
      <c r="E58" s="8"/>
      <c r="F58" s="38"/>
      <c r="G58" s="83" t="s">
        <v>201</v>
      </c>
      <c r="H58" s="378">
        <v>0</v>
      </c>
      <c r="I58" s="8"/>
      <c r="J58" s="8"/>
      <c r="K58" s="8"/>
      <c r="L58" s="38"/>
      <c r="M58" s="83" t="s">
        <v>201</v>
      </c>
      <c r="N58" s="378"/>
      <c r="Q58" s="8"/>
      <c r="R58" s="38"/>
      <c r="S58" s="83" t="s">
        <v>201</v>
      </c>
      <c r="T58" s="307"/>
      <c r="W58" s="8"/>
      <c r="X58" s="38"/>
      <c r="Y58" s="83" t="s">
        <v>201</v>
      </c>
      <c r="Z58" s="307"/>
      <c r="AC58" s="8"/>
      <c r="AD58" s="38"/>
    </row>
    <row r="59" spans="1:30" ht="14">
      <c r="A59" s="83" t="s">
        <v>259</v>
      </c>
      <c r="B59" s="378">
        <v>60.211944000000003</v>
      </c>
      <c r="C59" s="263"/>
      <c r="E59" s="8">
        <f t="shared" si="0"/>
        <v>0</v>
      </c>
      <c r="F59" s="38"/>
      <c r="G59" s="56" t="s">
        <v>57</v>
      </c>
      <c r="H59" s="378">
        <v>301.469064</v>
      </c>
      <c r="I59" s="8"/>
      <c r="J59" s="8"/>
      <c r="K59" s="8">
        <f t="shared" si="1"/>
        <v>0</v>
      </c>
      <c r="L59" s="38"/>
      <c r="M59" s="56" t="s">
        <v>57</v>
      </c>
      <c r="N59" s="378"/>
      <c r="Q59" s="8" t="e">
        <f t="shared" si="2"/>
        <v>#DIV/0!</v>
      </c>
      <c r="R59" s="38"/>
      <c r="S59" s="56" t="s">
        <v>57</v>
      </c>
      <c r="T59" s="307"/>
      <c r="W59" s="8" t="e">
        <f t="shared" si="3"/>
        <v>#DIV/0!</v>
      </c>
      <c r="X59" s="38"/>
      <c r="Y59" s="56" t="s">
        <v>57</v>
      </c>
      <c r="Z59" s="307"/>
      <c r="AC59" s="8" t="e">
        <f t="shared" si="4"/>
        <v>#DIV/0!</v>
      </c>
      <c r="AD59" s="38"/>
    </row>
    <row r="60" spans="1:30" ht="14">
      <c r="A60" s="83" t="s">
        <v>260</v>
      </c>
      <c r="B60" s="378">
        <v>39.360984000000002</v>
      </c>
      <c r="C60" s="263"/>
      <c r="E60" s="8"/>
      <c r="F60" s="38"/>
      <c r="G60" s="83" t="s">
        <v>56</v>
      </c>
      <c r="H60" s="378">
        <v>59.956104000000003</v>
      </c>
      <c r="I60" s="8"/>
      <c r="J60" s="8"/>
      <c r="K60" s="8"/>
      <c r="L60" s="38"/>
      <c r="M60" s="83" t="s">
        <v>56</v>
      </c>
      <c r="N60" s="378"/>
      <c r="Q60" s="8"/>
      <c r="R60" s="38"/>
      <c r="S60" s="83" t="s">
        <v>56</v>
      </c>
      <c r="T60" s="307"/>
      <c r="W60" s="8"/>
      <c r="X60" s="38"/>
      <c r="Y60" s="83" t="s">
        <v>56</v>
      </c>
      <c r="Z60" s="307"/>
      <c r="AC60" s="8"/>
      <c r="AD60" s="38"/>
    </row>
    <row r="61" spans="1:30" ht="14">
      <c r="A61" s="56" t="s">
        <v>261</v>
      </c>
      <c r="B61" s="378">
        <v>719.47324800000001</v>
      </c>
      <c r="C61" s="263"/>
      <c r="E61" s="8"/>
      <c r="F61" s="38"/>
      <c r="G61" s="83" t="s">
        <v>43</v>
      </c>
      <c r="H61" s="378">
        <v>735.71908800000006</v>
      </c>
      <c r="I61" s="8"/>
      <c r="J61" s="8"/>
      <c r="K61" s="8"/>
      <c r="L61" s="38"/>
      <c r="M61" s="83" t="s">
        <v>43</v>
      </c>
      <c r="N61" s="378"/>
      <c r="Q61" s="8"/>
      <c r="R61" s="38"/>
      <c r="S61" s="83" t="s">
        <v>43</v>
      </c>
      <c r="T61" s="307"/>
      <c r="W61" s="8"/>
      <c r="X61" s="38"/>
      <c r="Y61" s="83" t="s">
        <v>43</v>
      </c>
      <c r="Z61" s="307"/>
      <c r="AC61" s="8"/>
      <c r="AD61" s="38"/>
    </row>
    <row r="62" spans="1:30" ht="14">
      <c r="A62" s="56" t="s">
        <v>262</v>
      </c>
      <c r="B62" s="378">
        <v>24.8</v>
      </c>
      <c r="C62" s="263"/>
      <c r="E62" s="8">
        <f t="shared" si="0"/>
        <v>0</v>
      </c>
      <c r="F62" s="38"/>
      <c r="G62" s="56" t="s">
        <v>163</v>
      </c>
      <c r="H62" s="378">
        <v>37.200000000000003</v>
      </c>
      <c r="I62" s="8"/>
      <c r="J62" s="8"/>
      <c r="K62" s="8">
        <f t="shared" si="1"/>
        <v>0</v>
      </c>
      <c r="L62" s="38"/>
      <c r="M62" s="56" t="s">
        <v>163</v>
      </c>
      <c r="N62" s="378"/>
      <c r="Q62" s="8" t="e">
        <f t="shared" si="2"/>
        <v>#DIV/0!</v>
      </c>
      <c r="R62" s="38"/>
      <c r="S62" s="56" t="s">
        <v>163</v>
      </c>
      <c r="T62" s="307"/>
      <c r="W62" s="8" t="e">
        <f t="shared" si="3"/>
        <v>#DIV/0!</v>
      </c>
      <c r="X62" s="38"/>
      <c r="Y62" s="56" t="s">
        <v>163</v>
      </c>
      <c r="Z62" s="307"/>
      <c r="AC62" s="8" t="e">
        <f t="shared" si="4"/>
        <v>#DIV/0!</v>
      </c>
      <c r="AD62" s="38"/>
    </row>
    <row r="63" spans="1:30" ht="14">
      <c r="A63" s="56" t="s">
        <v>263</v>
      </c>
      <c r="B63" s="378">
        <v>517.05999999999995</v>
      </c>
      <c r="C63" s="263"/>
      <c r="E63" s="8">
        <f t="shared" si="0"/>
        <v>0</v>
      </c>
      <c r="F63" s="38"/>
      <c r="G63" s="56" t="s">
        <v>164</v>
      </c>
      <c r="H63" s="378">
        <v>522.52</v>
      </c>
      <c r="I63" s="8"/>
      <c r="J63" s="8"/>
      <c r="K63" s="8">
        <f t="shared" si="1"/>
        <v>0</v>
      </c>
      <c r="L63" s="38"/>
      <c r="M63" s="56" t="s">
        <v>164</v>
      </c>
      <c r="N63" s="378"/>
      <c r="Q63" s="8" t="e">
        <f t="shared" si="2"/>
        <v>#DIV/0!</v>
      </c>
      <c r="R63" s="38"/>
      <c r="S63" s="56" t="s">
        <v>164</v>
      </c>
      <c r="T63" s="307"/>
      <c r="W63" s="8" t="e">
        <f t="shared" si="3"/>
        <v>#DIV/0!</v>
      </c>
      <c r="X63" s="38"/>
      <c r="Y63" s="56" t="s">
        <v>164</v>
      </c>
      <c r="Z63" s="307"/>
      <c r="AC63" s="8" t="e">
        <f t="shared" si="4"/>
        <v>#DIV/0!</v>
      </c>
      <c r="AD63" s="38"/>
    </row>
    <row r="64" spans="1:30" ht="14">
      <c r="A64" s="83" t="s">
        <v>264</v>
      </c>
      <c r="B64" s="378">
        <v>53.227511999999997</v>
      </c>
      <c r="C64" s="263"/>
      <c r="E64" s="8"/>
      <c r="F64" s="38"/>
      <c r="G64" s="56" t="s">
        <v>55</v>
      </c>
      <c r="H64" s="378">
        <v>43.595135999999997</v>
      </c>
      <c r="I64" s="8"/>
      <c r="J64" s="8"/>
      <c r="K64" s="8"/>
      <c r="L64" s="38"/>
      <c r="M64" s="56" t="s">
        <v>55</v>
      </c>
      <c r="N64" s="378"/>
      <c r="Q64" s="8"/>
      <c r="R64" s="38"/>
      <c r="S64" s="56" t="s">
        <v>55</v>
      </c>
      <c r="T64" s="307"/>
      <c r="W64" s="8"/>
      <c r="X64" s="38"/>
      <c r="Y64" s="56" t="s">
        <v>55</v>
      </c>
      <c r="Z64" s="307"/>
      <c r="AC64" s="8"/>
      <c r="AD64" s="38"/>
    </row>
    <row r="65" spans="1:30" ht="14">
      <c r="A65" s="83" t="s">
        <v>265</v>
      </c>
      <c r="B65" s="378">
        <v>21.62</v>
      </c>
      <c r="C65" s="263"/>
      <c r="E65" s="8"/>
      <c r="F65" s="38"/>
      <c r="G65" s="83" t="s">
        <v>165</v>
      </c>
      <c r="H65" s="378">
        <v>55.51</v>
      </c>
      <c r="I65" s="8"/>
      <c r="J65" s="8"/>
      <c r="K65" s="8"/>
      <c r="L65" s="38"/>
      <c r="M65" s="83" t="s">
        <v>165</v>
      </c>
      <c r="N65" s="378"/>
      <c r="Q65" s="8"/>
      <c r="R65" s="38"/>
      <c r="S65" s="83" t="s">
        <v>165</v>
      </c>
      <c r="T65" s="307"/>
      <c r="W65" s="8"/>
      <c r="X65" s="38"/>
      <c r="Y65" s="83" t="s">
        <v>165</v>
      </c>
      <c r="Z65" s="307"/>
      <c r="AC65" s="8"/>
      <c r="AD65" s="38"/>
    </row>
    <row r="66" spans="1:30" ht="14">
      <c r="A66" s="83" t="s">
        <v>266</v>
      </c>
      <c r="B66" s="378">
        <v>10323.733091</v>
      </c>
      <c r="C66" s="263"/>
      <c r="E66" s="8"/>
      <c r="F66" s="38"/>
      <c r="G66" s="83" t="s">
        <v>73</v>
      </c>
      <c r="H66" s="378">
        <v>18416.869674000001</v>
      </c>
      <c r="I66" s="8"/>
      <c r="J66" s="8"/>
      <c r="K66" s="8"/>
      <c r="L66" s="38"/>
      <c r="M66" s="83" t="s">
        <v>73</v>
      </c>
      <c r="N66" s="378"/>
      <c r="Q66" s="8"/>
      <c r="R66" s="38"/>
      <c r="S66" s="83" t="s">
        <v>73</v>
      </c>
      <c r="T66" s="307"/>
      <c r="W66" s="8"/>
      <c r="X66" s="38"/>
      <c r="Y66" s="83" t="s">
        <v>73</v>
      </c>
      <c r="Z66" s="307"/>
      <c r="AC66" s="8"/>
      <c r="AD66" s="38"/>
    </row>
    <row r="67" spans="1:30" ht="14">
      <c r="A67" s="83" t="s">
        <v>267</v>
      </c>
      <c r="B67" s="378"/>
      <c r="C67" s="263"/>
      <c r="E67" s="8"/>
      <c r="F67" s="38"/>
      <c r="G67" s="83" t="s">
        <v>166</v>
      </c>
      <c r="H67" s="378">
        <v>1.22</v>
      </c>
      <c r="I67" s="8"/>
      <c r="J67" s="8"/>
      <c r="K67" s="8"/>
      <c r="L67" s="38"/>
      <c r="M67" s="83" t="s">
        <v>166</v>
      </c>
      <c r="N67" s="378"/>
      <c r="Q67" s="8"/>
      <c r="R67" s="38"/>
      <c r="S67" s="83" t="s">
        <v>166</v>
      </c>
      <c r="T67" s="307"/>
      <c r="W67" s="8"/>
      <c r="X67" s="38"/>
      <c r="Y67" s="83" t="s">
        <v>166</v>
      </c>
      <c r="Z67" s="307"/>
      <c r="AC67" s="8"/>
      <c r="AD67" s="38"/>
    </row>
    <row r="68" spans="1:30" ht="14">
      <c r="A68" s="83" t="s">
        <v>311</v>
      </c>
      <c r="B68" s="378">
        <v>1.8</v>
      </c>
      <c r="C68" s="263"/>
      <c r="E68" s="8"/>
      <c r="F68" s="38"/>
      <c r="G68" s="83" t="s">
        <v>167</v>
      </c>
      <c r="H68" s="378">
        <v>13.8</v>
      </c>
      <c r="I68" s="8"/>
      <c r="J68" s="8"/>
      <c r="K68" s="8"/>
      <c r="L68" s="38"/>
      <c r="M68" s="83" t="s">
        <v>167</v>
      </c>
      <c r="N68" s="378"/>
      <c r="Q68" s="8"/>
      <c r="R68" s="38"/>
      <c r="S68" s="83" t="s">
        <v>167</v>
      </c>
      <c r="T68" s="307"/>
      <c r="W68" s="8"/>
      <c r="X68" s="38"/>
      <c r="Y68" s="83" t="s">
        <v>167</v>
      </c>
      <c r="Z68" s="307"/>
      <c r="AC68" s="8"/>
      <c r="AD68" s="38"/>
    </row>
    <row r="69" spans="1:30" ht="14">
      <c r="A69" s="83" t="s">
        <v>268</v>
      </c>
      <c r="B69" s="378">
        <v>2.48</v>
      </c>
      <c r="C69" s="263"/>
      <c r="E69" s="8"/>
      <c r="F69" s="38"/>
      <c r="G69" s="83" t="s">
        <v>168</v>
      </c>
      <c r="H69" s="378">
        <v>19.84</v>
      </c>
      <c r="I69" s="8"/>
      <c r="J69" s="8"/>
      <c r="K69" s="8"/>
      <c r="L69" s="38"/>
      <c r="M69" s="83" t="s">
        <v>168</v>
      </c>
      <c r="N69" s="378"/>
      <c r="Q69" s="8"/>
      <c r="R69" s="38"/>
      <c r="S69" s="83" t="s">
        <v>168</v>
      </c>
      <c r="T69" s="307"/>
      <c r="W69" s="8"/>
      <c r="X69" s="38"/>
      <c r="Y69" s="83" t="s">
        <v>168</v>
      </c>
      <c r="Z69" s="307"/>
      <c r="AC69" s="8"/>
      <c r="AD69" s="38"/>
    </row>
    <row r="70" spans="1:30" ht="14">
      <c r="A70" s="83" t="s">
        <v>310</v>
      </c>
      <c r="B70" s="378"/>
      <c r="C70" s="263"/>
      <c r="E70" s="8"/>
      <c r="F70" s="38"/>
      <c r="G70" s="83" t="s">
        <v>202</v>
      </c>
      <c r="H70" s="378">
        <v>0</v>
      </c>
      <c r="I70" s="8"/>
      <c r="J70" s="8"/>
      <c r="K70" s="8"/>
      <c r="L70" s="38"/>
      <c r="M70" s="83" t="s">
        <v>202</v>
      </c>
      <c r="N70" s="378"/>
      <c r="Q70" s="8"/>
      <c r="R70" s="38"/>
      <c r="S70" s="83" t="s">
        <v>202</v>
      </c>
      <c r="T70" s="307"/>
      <c r="W70" s="8"/>
      <c r="X70" s="38"/>
      <c r="Y70" s="83" t="s">
        <v>202</v>
      </c>
      <c r="Z70" s="307"/>
      <c r="AC70" s="8"/>
      <c r="AD70" s="38"/>
    </row>
    <row r="71" spans="1:30" ht="14">
      <c r="A71" s="83" t="s">
        <v>269</v>
      </c>
      <c r="B71" s="378">
        <v>38.25</v>
      </c>
      <c r="C71" s="263"/>
      <c r="E71" s="8"/>
      <c r="F71" s="38"/>
      <c r="G71" s="83" t="s">
        <v>169</v>
      </c>
      <c r="H71" s="378">
        <v>47.58</v>
      </c>
      <c r="I71" s="8"/>
      <c r="J71" s="8"/>
      <c r="K71" s="8"/>
      <c r="L71" s="38"/>
      <c r="M71" s="83" t="s">
        <v>169</v>
      </c>
      <c r="N71" s="378"/>
      <c r="Q71" s="8"/>
      <c r="R71" s="38"/>
      <c r="S71" s="83" t="s">
        <v>169</v>
      </c>
      <c r="T71" s="307"/>
      <c r="W71" s="8"/>
      <c r="X71" s="38"/>
      <c r="Y71" s="83" t="s">
        <v>169</v>
      </c>
      <c r="Z71" s="307"/>
      <c r="AC71" s="8"/>
      <c r="AD71" s="38"/>
    </row>
    <row r="72" spans="1:30" ht="14">
      <c r="A72" s="83" t="s">
        <v>94</v>
      </c>
      <c r="B72" s="378">
        <v>17.690000000000001</v>
      </c>
      <c r="C72" s="263"/>
      <c r="E72" s="8"/>
      <c r="F72" s="38"/>
      <c r="G72" s="83" t="s">
        <v>170</v>
      </c>
      <c r="H72" s="378">
        <v>103.09</v>
      </c>
      <c r="I72" s="8"/>
      <c r="J72" s="8"/>
      <c r="K72" s="8"/>
      <c r="L72" s="38"/>
      <c r="M72" s="83" t="s">
        <v>170</v>
      </c>
      <c r="N72" s="378"/>
      <c r="Q72" s="8"/>
      <c r="R72" s="38"/>
      <c r="S72" s="83" t="s">
        <v>170</v>
      </c>
      <c r="T72" s="307"/>
      <c r="W72" s="8"/>
      <c r="X72" s="38"/>
      <c r="Y72" s="83" t="s">
        <v>170</v>
      </c>
      <c r="Z72" s="307"/>
      <c r="AC72" s="8"/>
      <c r="AD72" s="38"/>
    </row>
    <row r="73" spans="1:30" ht="14">
      <c r="A73" s="83" t="s">
        <v>270</v>
      </c>
      <c r="B73" s="378"/>
      <c r="C73" s="263"/>
      <c r="E73" s="8"/>
      <c r="F73" s="38"/>
      <c r="G73" s="83" t="s">
        <v>171</v>
      </c>
      <c r="H73" s="378">
        <v>0</v>
      </c>
      <c r="I73" s="8"/>
      <c r="J73" s="8"/>
      <c r="K73" s="8"/>
      <c r="L73" s="38"/>
      <c r="M73" s="83" t="s">
        <v>171</v>
      </c>
      <c r="N73" s="378"/>
      <c r="Q73" s="8"/>
      <c r="R73" s="38"/>
      <c r="S73" s="83" t="s">
        <v>171</v>
      </c>
      <c r="T73" s="307"/>
      <c r="W73" s="8"/>
      <c r="X73" s="38"/>
      <c r="Y73" s="83" t="s">
        <v>171</v>
      </c>
      <c r="Z73" s="307"/>
      <c r="AC73" s="8"/>
      <c r="AD73" s="38"/>
    </row>
    <row r="74" spans="1:30" ht="14">
      <c r="A74" s="83" t="s">
        <v>271</v>
      </c>
      <c r="B74" s="378">
        <v>7246.207488</v>
      </c>
      <c r="C74" s="263"/>
      <c r="E74" s="8"/>
      <c r="F74" s="38"/>
      <c r="G74" s="83" t="s">
        <v>44</v>
      </c>
      <c r="H74" s="378">
        <v>5150.0847839999997</v>
      </c>
      <c r="I74" s="8"/>
      <c r="J74" s="8"/>
      <c r="K74" s="8"/>
      <c r="L74" s="38"/>
      <c r="M74" s="83" t="s">
        <v>44</v>
      </c>
      <c r="N74" s="378"/>
      <c r="Q74" s="8"/>
      <c r="R74" s="38"/>
      <c r="S74" s="83" t="s">
        <v>44</v>
      </c>
      <c r="T74" s="307"/>
      <c r="W74" s="8"/>
      <c r="X74" s="38"/>
      <c r="Y74" s="83" t="s">
        <v>44</v>
      </c>
      <c r="Z74" s="307"/>
      <c r="AC74" s="8"/>
      <c r="AD74" s="38"/>
    </row>
    <row r="75" spans="1:30" ht="14">
      <c r="A75" s="83" t="s">
        <v>272</v>
      </c>
      <c r="B75" s="378">
        <v>3182.63132</v>
      </c>
      <c r="C75" s="263"/>
      <c r="E75" s="8"/>
      <c r="F75" s="38"/>
      <c r="G75" s="83" t="s">
        <v>45</v>
      </c>
      <c r="H75" s="378">
        <v>4231.0648119999996</v>
      </c>
      <c r="I75" s="8"/>
      <c r="J75" s="8"/>
      <c r="K75" s="8"/>
      <c r="L75" s="38"/>
      <c r="M75" s="83" t="s">
        <v>45</v>
      </c>
      <c r="N75" s="378"/>
      <c r="Q75" s="8"/>
      <c r="R75" s="38"/>
      <c r="S75" s="83" t="s">
        <v>45</v>
      </c>
      <c r="T75" s="307"/>
      <c r="W75" s="8"/>
      <c r="X75" s="38"/>
      <c r="Y75" s="83" t="s">
        <v>45</v>
      </c>
      <c r="Z75" s="307"/>
      <c r="AC75" s="8"/>
      <c r="AD75" s="38"/>
    </row>
    <row r="76" spans="1:30" ht="14">
      <c r="A76" s="83" t="s">
        <v>273</v>
      </c>
      <c r="B76" s="378">
        <v>58.42</v>
      </c>
      <c r="C76" s="263"/>
      <c r="E76" s="8"/>
      <c r="F76" s="38"/>
      <c r="G76" s="83" t="s">
        <v>172</v>
      </c>
      <c r="H76" s="378">
        <v>84.79</v>
      </c>
      <c r="I76" s="8"/>
      <c r="J76" s="8"/>
      <c r="K76" s="8"/>
      <c r="L76" s="38"/>
      <c r="M76" s="83" t="s">
        <v>172</v>
      </c>
      <c r="N76" s="378"/>
      <c r="Q76" s="8"/>
      <c r="R76" s="38"/>
      <c r="S76" s="83" t="s">
        <v>172</v>
      </c>
      <c r="T76" s="307"/>
      <c r="W76" s="8"/>
      <c r="X76" s="38"/>
      <c r="Y76" s="83" t="s">
        <v>172</v>
      </c>
      <c r="Z76" s="307"/>
      <c r="AC76" s="8"/>
      <c r="AD76" s="38"/>
    </row>
    <row r="77" spans="1:30" ht="14">
      <c r="A77" s="83" t="s">
        <v>274</v>
      </c>
      <c r="B77" s="378"/>
      <c r="C77" s="263"/>
      <c r="E77" s="8"/>
      <c r="F77" s="38"/>
      <c r="G77" s="83" t="s">
        <v>173</v>
      </c>
      <c r="H77" s="378">
        <v>3.05</v>
      </c>
      <c r="I77" s="8"/>
      <c r="J77" s="8"/>
      <c r="K77" s="8"/>
      <c r="L77" s="38"/>
      <c r="M77" s="83" t="s">
        <v>173</v>
      </c>
      <c r="N77" s="378"/>
      <c r="Q77" s="8"/>
      <c r="R77" s="38"/>
      <c r="S77" s="83" t="s">
        <v>173</v>
      </c>
      <c r="T77" s="307"/>
      <c r="W77" s="8"/>
      <c r="X77" s="38"/>
      <c r="Y77" s="83" t="s">
        <v>173</v>
      </c>
      <c r="Z77" s="307"/>
      <c r="AC77" s="8"/>
      <c r="AD77" s="38"/>
    </row>
    <row r="78" spans="1:30" ht="14">
      <c r="A78" s="83" t="s">
        <v>275</v>
      </c>
      <c r="B78" s="378">
        <v>246.03</v>
      </c>
      <c r="C78" s="263"/>
      <c r="E78" s="8"/>
      <c r="F78" s="38"/>
      <c r="G78" s="83" t="s">
        <v>174</v>
      </c>
      <c r="H78" s="378">
        <v>562.02</v>
      </c>
      <c r="I78" s="8"/>
      <c r="J78" s="8"/>
      <c r="K78" s="8"/>
      <c r="L78" s="38"/>
      <c r="M78" s="83" t="s">
        <v>174</v>
      </c>
      <c r="N78" s="378"/>
      <c r="Q78" s="8"/>
      <c r="R78" s="38"/>
      <c r="S78" s="83" t="s">
        <v>174</v>
      </c>
      <c r="T78" s="307"/>
      <c r="W78" s="8"/>
      <c r="X78" s="38"/>
      <c r="Y78" s="83" t="s">
        <v>174</v>
      </c>
      <c r="Z78" s="307"/>
      <c r="AC78" s="8"/>
      <c r="AD78" s="38"/>
    </row>
    <row r="79" spans="1:30" ht="14">
      <c r="A79" s="83" t="s">
        <v>276</v>
      </c>
      <c r="B79" s="378">
        <v>2101.3162560000001</v>
      </c>
      <c r="C79" s="263"/>
      <c r="E79" s="8"/>
      <c r="F79" s="38"/>
      <c r="G79" s="83" t="s">
        <v>46</v>
      </c>
      <c r="H79" s="378">
        <v>2435.0339520000002</v>
      </c>
      <c r="I79" s="8"/>
      <c r="J79" s="8"/>
      <c r="K79" s="8"/>
      <c r="L79" s="38"/>
      <c r="M79" s="83" t="s">
        <v>46</v>
      </c>
      <c r="N79" s="378"/>
      <c r="Q79" s="8"/>
      <c r="R79" s="38"/>
      <c r="S79" s="83" t="s">
        <v>46</v>
      </c>
      <c r="T79" s="307"/>
      <c r="W79" s="8"/>
      <c r="X79" s="38"/>
      <c r="Y79" s="83" t="s">
        <v>46</v>
      </c>
      <c r="Z79" s="307"/>
      <c r="AC79" s="8"/>
      <c r="AD79" s="38"/>
    </row>
    <row r="80" spans="1:30" ht="14">
      <c r="A80" s="83" t="s">
        <v>277</v>
      </c>
      <c r="B80" s="378">
        <v>121.81</v>
      </c>
      <c r="C80" s="263"/>
      <c r="E80" s="8"/>
      <c r="F80" s="38"/>
      <c r="G80" s="83" t="s">
        <v>175</v>
      </c>
      <c r="H80" s="378">
        <v>167.14</v>
      </c>
      <c r="I80" s="8"/>
      <c r="J80" s="8"/>
      <c r="K80" s="8"/>
      <c r="L80" s="38"/>
      <c r="M80" s="83" t="s">
        <v>175</v>
      </c>
      <c r="N80" s="378"/>
      <c r="Q80" s="8"/>
      <c r="R80" s="38"/>
      <c r="S80" s="83" t="s">
        <v>175</v>
      </c>
      <c r="T80" s="307"/>
      <c r="W80" s="8"/>
      <c r="X80" s="38"/>
      <c r="Y80" s="83" t="s">
        <v>175</v>
      </c>
      <c r="Z80" s="307"/>
      <c r="AC80" s="8"/>
      <c r="AD80" s="38"/>
    </row>
    <row r="81" spans="1:30" ht="14">
      <c r="A81" s="83" t="s">
        <v>278</v>
      </c>
      <c r="B81" s="378">
        <v>6.71</v>
      </c>
      <c r="C81" s="263"/>
      <c r="E81" s="8"/>
      <c r="F81" s="38"/>
      <c r="G81" s="83" t="s">
        <v>176</v>
      </c>
      <c r="H81" s="378">
        <v>8.5399999999999991</v>
      </c>
      <c r="I81" s="8"/>
      <c r="J81" s="8"/>
      <c r="K81" s="8"/>
      <c r="L81" s="38"/>
      <c r="M81" s="83" t="s">
        <v>176</v>
      </c>
      <c r="N81" s="378"/>
      <c r="Q81" s="8"/>
      <c r="R81" s="38"/>
      <c r="S81" s="83" t="s">
        <v>176</v>
      </c>
      <c r="T81" s="307"/>
      <c r="W81" s="8"/>
      <c r="X81" s="38"/>
      <c r="Y81" s="83" t="s">
        <v>176</v>
      </c>
      <c r="Z81" s="307"/>
      <c r="AC81" s="8"/>
      <c r="AD81" s="38"/>
    </row>
    <row r="82" spans="1:30" ht="14">
      <c r="A82" s="83" t="s">
        <v>279</v>
      </c>
      <c r="B82" s="378">
        <v>21.64</v>
      </c>
      <c r="C82" s="263"/>
      <c r="E82" s="8"/>
      <c r="F82" s="38"/>
      <c r="G82" s="83" t="s">
        <v>177</v>
      </c>
      <c r="H82" s="378">
        <v>112.24</v>
      </c>
      <c r="I82" s="8"/>
      <c r="J82" s="8"/>
      <c r="K82" s="8"/>
      <c r="L82" s="38"/>
      <c r="M82" s="83" t="s">
        <v>177</v>
      </c>
      <c r="N82" s="378"/>
      <c r="Q82" s="8"/>
      <c r="R82" s="38"/>
      <c r="S82" s="83" t="s">
        <v>177</v>
      </c>
      <c r="T82" s="307"/>
      <c r="W82" s="8"/>
      <c r="X82" s="38"/>
      <c r="Y82" s="83" t="s">
        <v>177</v>
      </c>
      <c r="Z82" s="307"/>
      <c r="AC82" s="8"/>
      <c r="AD82" s="38"/>
    </row>
    <row r="83" spans="1:30" ht="14">
      <c r="A83" s="83" t="s">
        <v>280</v>
      </c>
      <c r="B83" s="378">
        <v>502.62</v>
      </c>
      <c r="C83" s="263"/>
      <c r="E83" s="8"/>
      <c r="F83" s="38"/>
      <c r="G83" s="83" t="s">
        <v>178</v>
      </c>
      <c r="H83" s="378">
        <v>981.1</v>
      </c>
      <c r="I83" s="8"/>
      <c r="J83" s="8"/>
      <c r="K83" s="8"/>
      <c r="L83" s="38"/>
      <c r="M83" s="83" t="s">
        <v>178</v>
      </c>
      <c r="N83" s="378"/>
      <c r="Q83" s="8"/>
      <c r="R83" s="38"/>
      <c r="S83" s="83" t="s">
        <v>178</v>
      </c>
      <c r="T83" s="307"/>
      <c r="W83" s="8"/>
      <c r="X83" s="38"/>
      <c r="Y83" s="83" t="s">
        <v>178</v>
      </c>
      <c r="Z83" s="307"/>
      <c r="AC83" s="8"/>
      <c r="AD83" s="38"/>
    </row>
    <row r="84" spans="1:30" ht="14">
      <c r="A84" s="83" t="s">
        <v>281</v>
      </c>
      <c r="B84" s="378">
        <v>300.75</v>
      </c>
      <c r="C84" s="263"/>
      <c r="E84" s="8"/>
      <c r="F84" s="38"/>
      <c r="G84" s="83" t="s">
        <v>179</v>
      </c>
      <c r="H84" s="378">
        <v>1335.8</v>
      </c>
      <c r="I84" s="8"/>
      <c r="J84" s="8"/>
      <c r="K84" s="8"/>
      <c r="L84" s="38"/>
      <c r="M84" s="83" t="s">
        <v>179</v>
      </c>
      <c r="N84" s="378"/>
      <c r="Q84" s="8"/>
      <c r="R84" s="38"/>
      <c r="S84" s="83" t="s">
        <v>179</v>
      </c>
      <c r="T84" s="307"/>
      <c r="W84" s="8"/>
      <c r="X84" s="38"/>
      <c r="Y84" s="83" t="s">
        <v>179</v>
      </c>
      <c r="Z84" s="307"/>
      <c r="AC84" s="8"/>
      <c r="AD84" s="38"/>
    </row>
    <row r="85" spans="1:30" ht="14">
      <c r="A85" s="83" t="s">
        <v>282</v>
      </c>
      <c r="B85" s="378">
        <v>732.57225600000004</v>
      </c>
      <c r="C85" s="263"/>
      <c r="E85" s="8"/>
      <c r="F85" s="38"/>
      <c r="G85" s="83" t="s">
        <v>54</v>
      </c>
      <c r="H85" s="378">
        <v>1881.7159919999999</v>
      </c>
      <c r="I85" s="8"/>
      <c r="J85" s="8"/>
      <c r="K85" s="8"/>
      <c r="L85" s="38"/>
      <c r="M85" s="83" t="s">
        <v>54</v>
      </c>
      <c r="N85" s="378"/>
      <c r="Q85" s="8"/>
      <c r="R85" s="38"/>
      <c r="S85" s="83" t="s">
        <v>54</v>
      </c>
      <c r="T85" s="307"/>
      <c r="W85" s="8"/>
      <c r="X85" s="38"/>
      <c r="Y85" s="83" t="s">
        <v>54</v>
      </c>
      <c r="Z85" s="307"/>
      <c r="AC85" s="8"/>
      <c r="AD85" s="38"/>
    </row>
    <row r="86" spans="1:30" ht="14">
      <c r="A86" s="83" t="s">
        <v>283</v>
      </c>
      <c r="B86" s="378">
        <v>953.75872800000002</v>
      </c>
      <c r="C86" s="263"/>
      <c r="E86" s="8"/>
      <c r="F86" s="38"/>
      <c r="G86" s="83" t="s">
        <v>47</v>
      </c>
      <c r="H86" s="378">
        <v>2926.0292880000002</v>
      </c>
      <c r="I86" s="8"/>
      <c r="J86" s="8"/>
      <c r="K86" s="8"/>
      <c r="L86" s="38"/>
      <c r="M86" s="83" t="s">
        <v>47</v>
      </c>
      <c r="N86" s="378"/>
      <c r="Q86" s="8"/>
      <c r="R86" s="38"/>
      <c r="S86" s="83" t="s">
        <v>47</v>
      </c>
      <c r="T86" s="307"/>
      <c r="W86" s="8"/>
      <c r="X86" s="38"/>
      <c r="Y86" s="83" t="s">
        <v>47</v>
      </c>
      <c r="Z86" s="307"/>
      <c r="AC86" s="8"/>
      <c r="AD86" s="38"/>
    </row>
    <row r="87" spans="1:30" ht="14">
      <c r="A87" s="83" t="s">
        <v>284</v>
      </c>
      <c r="B87" s="378">
        <v>153.38887199999999</v>
      </c>
      <c r="C87" s="263"/>
      <c r="E87" s="8"/>
      <c r="F87" s="38"/>
      <c r="G87" s="83" t="s">
        <v>53</v>
      </c>
      <c r="H87" s="378">
        <v>301.99353600000001</v>
      </c>
      <c r="I87" s="8"/>
      <c r="J87" s="8"/>
      <c r="K87" s="8"/>
      <c r="L87" s="38"/>
      <c r="M87" s="83" t="s">
        <v>53</v>
      </c>
      <c r="N87" s="378"/>
      <c r="Q87" s="8"/>
      <c r="R87" s="38"/>
      <c r="S87" s="83" t="s">
        <v>53</v>
      </c>
      <c r="T87" s="307"/>
      <c r="W87" s="8"/>
      <c r="X87" s="38"/>
      <c r="Y87" s="83" t="s">
        <v>53</v>
      </c>
      <c r="Z87" s="307"/>
      <c r="AC87" s="8"/>
      <c r="AD87" s="38"/>
    </row>
    <row r="88" spans="1:30" ht="14">
      <c r="A88" s="83" t="s">
        <v>309</v>
      </c>
      <c r="B88" s="378">
        <v>3869.5932550000002</v>
      </c>
      <c r="C88" s="263"/>
      <c r="E88" s="8"/>
      <c r="F88" s="38"/>
      <c r="G88" s="83" t="s">
        <v>180</v>
      </c>
      <c r="H88" s="378">
        <v>23079.725222000001</v>
      </c>
      <c r="I88" s="8"/>
      <c r="J88" s="8"/>
      <c r="K88" s="8"/>
      <c r="L88" s="38"/>
      <c r="M88" s="83" t="s">
        <v>180</v>
      </c>
      <c r="N88" s="378"/>
      <c r="Q88" s="8"/>
      <c r="R88" s="38"/>
      <c r="S88" s="83" t="s">
        <v>180</v>
      </c>
      <c r="T88" s="307"/>
      <c r="W88" s="8"/>
      <c r="X88" s="38"/>
      <c r="Y88" s="83" t="s">
        <v>180</v>
      </c>
      <c r="Z88" s="307"/>
      <c r="AC88" s="8"/>
      <c r="AD88" s="38"/>
    </row>
    <row r="89" spans="1:30" ht="14">
      <c r="A89" s="83" t="s">
        <v>285</v>
      </c>
      <c r="B89" s="378">
        <v>3.66</v>
      </c>
      <c r="C89" s="263"/>
      <c r="E89" s="8"/>
      <c r="F89" s="38"/>
      <c r="G89" s="83" t="s">
        <v>181</v>
      </c>
      <c r="H89" s="378">
        <v>1.83</v>
      </c>
      <c r="I89" s="8"/>
      <c r="J89" s="8"/>
      <c r="K89" s="8"/>
      <c r="L89" s="38"/>
      <c r="M89" s="83" t="s">
        <v>181</v>
      </c>
      <c r="N89" s="378"/>
      <c r="Q89" s="8"/>
      <c r="R89" s="38"/>
      <c r="S89" s="83" t="s">
        <v>181</v>
      </c>
      <c r="T89" s="307"/>
      <c r="W89" s="8"/>
      <c r="X89" s="38"/>
      <c r="Y89" s="83" t="s">
        <v>181</v>
      </c>
      <c r="Z89" s="307"/>
      <c r="AC89" s="8"/>
      <c r="AD89" s="38"/>
    </row>
    <row r="90" spans="1:30" ht="14">
      <c r="A90" s="83" t="s">
        <v>286</v>
      </c>
      <c r="B90" s="378">
        <v>743.29676600000005</v>
      </c>
      <c r="C90" s="263"/>
      <c r="E90" s="8"/>
      <c r="F90" s="38"/>
      <c r="G90" s="83" t="s">
        <v>182</v>
      </c>
      <c r="H90" s="378">
        <v>1360.3302200000001</v>
      </c>
      <c r="I90" s="8"/>
      <c r="J90" s="8"/>
      <c r="K90" s="8"/>
      <c r="L90" s="38"/>
      <c r="M90" s="83" t="s">
        <v>182</v>
      </c>
      <c r="N90" s="378"/>
      <c r="Q90" s="8"/>
      <c r="R90" s="38"/>
      <c r="S90" s="83" t="s">
        <v>182</v>
      </c>
      <c r="T90" s="307"/>
      <c r="W90" s="8"/>
      <c r="X90" s="38"/>
      <c r="Y90" s="83" t="s">
        <v>182</v>
      </c>
      <c r="Z90" s="307"/>
      <c r="AC90" s="8"/>
      <c r="AD90" s="38"/>
    </row>
    <row r="91" spans="1:30" ht="14">
      <c r="A91" s="83" t="s">
        <v>287</v>
      </c>
      <c r="B91" s="378">
        <v>515.86298399999998</v>
      </c>
      <c r="C91" s="263"/>
      <c r="E91" s="8"/>
      <c r="F91" s="38"/>
      <c r="G91" s="83" t="s">
        <v>52</v>
      </c>
      <c r="H91" s="378">
        <v>242.70261600000001</v>
      </c>
      <c r="I91" s="8"/>
      <c r="J91" s="8"/>
      <c r="K91" s="8"/>
      <c r="L91" s="38"/>
      <c r="M91" s="83" t="s">
        <v>52</v>
      </c>
      <c r="N91" s="378"/>
      <c r="Q91" s="8"/>
      <c r="R91" s="38"/>
      <c r="S91" s="83" t="s">
        <v>52</v>
      </c>
      <c r="T91" s="307"/>
      <c r="W91" s="8"/>
      <c r="X91" s="38"/>
      <c r="Y91" s="83" t="s">
        <v>52</v>
      </c>
      <c r="Z91" s="307"/>
      <c r="AC91" s="8"/>
      <c r="AD91" s="38"/>
    </row>
    <row r="92" spans="1:30" ht="14">
      <c r="A92" s="83" t="s">
        <v>288</v>
      </c>
      <c r="B92" s="378">
        <v>55.146312000000002</v>
      </c>
      <c r="C92" s="263"/>
      <c r="E92" s="8"/>
      <c r="F92" s="38"/>
      <c r="G92" s="83" t="s">
        <v>90</v>
      </c>
      <c r="H92" s="378">
        <v>109.972824</v>
      </c>
      <c r="I92" s="8"/>
      <c r="J92" s="8"/>
      <c r="K92" s="8"/>
      <c r="L92" s="38"/>
      <c r="M92" s="83" t="s">
        <v>90</v>
      </c>
      <c r="N92" s="378"/>
      <c r="Q92" s="8"/>
      <c r="R92" s="38"/>
      <c r="S92" s="83" t="s">
        <v>90</v>
      </c>
      <c r="T92" s="307"/>
      <c r="W92" s="8"/>
      <c r="X92" s="38"/>
      <c r="Y92" s="83" t="s">
        <v>90</v>
      </c>
      <c r="Z92" s="307"/>
      <c r="AC92" s="8"/>
      <c r="AD92" s="38"/>
    </row>
    <row r="93" spans="1:30" ht="14">
      <c r="A93" s="83" t="s">
        <v>289</v>
      </c>
      <c r="B93" s="378">
        <v>2233.366</v>
      </c>
      <c r="C93" s="263"/>
      <c r="E93" s="8"/>
      <c r="F93" s="38"/>
      <c r="G93" s="83" t="s">
        <v>183</v>
      </c>
      <c r="H93" s="378">
        <v>4904.7120000000004</v>
      </c>
      <c r="I93" s="8"/>
      <c r="J93" s="8"/>
      <c r="K93" s="8"/>
      <c r="L93" s="38"/>
      <c r="M93" s="83" t="s">
        <v>183</v>
      </c>
      <c r="N93" s="378"/>
      <c r="Q93" s="8"/>
      <c r="R93" s="38"/>
      <c r="S93" s="83" t="s">
        <v>183</v>
      </c>
      <c r="T93" s="307"/>
      <c r="W93" s="8"/>
      <c r="X93" s="38"/>
      <c r="Y93" s="83" t="s">
        <v>183</v>
      </c>
      <c r="Z93" s="307"/>
      <c r="AC93" s="8"/>
      <c r="AD93" s="38"/>
    </row>
    <row r="94" spans="1:30" ht="14">
      <c r="A94" s="83" t="s">
        <v>290</v>
      </c>
      <c r="B94" s="378">
        <v>5068.8555839999999</v>
      </c>
      <c r="C94" s="263"/>
      <c r="E94" s="8"/>
      <c r="F94" s="38"/>
      <c r="G94" s="83" t="s">
        <v>48</v>
      </c>
      <c r="H94" s="378">
        <v>11381.963424</v>
      </c>
      <c r="I94" s="8"/>
      <c r="J94" s="8"/>
      <c r="K94" s="8"/>
      <c r="L94" s="38"/>
      <c r="M94" s="83" t="s">
        <v>48</v>
      </c>
      <c r="N94" s="378"/>
      <c r="Q94" s="8"/>
      <c r="R94" s="38"/>
      <c r="S94" s="83" t="s">
        <v>48</v>
      </c>
      <c r="T94" s="307"/>
      <c r="W94" s="8"/>
      <c r="X94" s="38"/>
      <c r="Y94" s="83" t="s">
        <v>48</v>
      </c>
      <c r="Z94" s="307"/>
      <c r="AC94" s="8"/>
      <c r="AD94" s="38"/>
    </row>
    <row r="95" spans="1:30" ht="14">
      <c r="A95" s="83" t="s">
        <v>291</v>
      </c>
      <c r="B95" s="378">
        <v>17.36</v>
      </c>
      <c r="C95" s="263"/>
      <c r="E95" s="8"/>
      <c r="F95" s="38"/>
      <c r="G95" s="83" t="s">
        <v>184</v>
      </c>
      <c r="H95" s="378">
        <v>138.26</v>
      </c>
      <c r="I95" s="8"/>
      <c r="J95" s="8"/>
      <c r="K95" s="8"/>
      <c r="L95" s="38"/>
      <c r="M95" s="83" t="s">
        <v>184</v>
      </c>
      <c r="N95" s="378"/>
      <c r="Q95" s="8"/>
      <c r="R95" s="38"/>
      <c r="S95" s="83" t="s">
        <v>184</v>
      </c>
      <c r="T95" s="307"/>
      <c r="W95" s="8"/>
      <c r="X95" s="38"/>
      <c r="Y95" s="83" t="s">
        <v>184</v>
      </c>
      <c r="Z95" s="307"/>
      <c r="AC95" s="8"/>
      <c r="AD95" s="38"/>
    </row>
    <row r="96" spans="1:30" ht="14">
      <c r="A96" s="83" t="s">
        <v>292</v>
      </c>
      <c r="B96" s="378"/>
      <c r="C96" s="263"/>
      <c r="E96" s="8"/>
      <c r="F96" s="38"/>
      <c r="G96" s="83" t="s">
        <v>185</v>
      </c>
      <c r="H96" s="378">
        <v>0</v>
      </c>
      <c r="I96" s="8"/>
      <c r="J96" s="8"/>
      <c r="K96" s="8"/>
      <c r="L96" s="38"/>
      <c r="M96" s="83" t="s">
        <v>185</v>
      </c>
      <c r="N96" s="378"/>
      <c r="Q96" s="8"/>
      <c r="R96" s="38"/>
      <c r="S96" s="83" t="s">
        <v>185</v>
      </c>
      <c r="T96" s="307"/>
      <c r="W96" s="8"/>
      <c r="X96" s="38"/>
      <c r="Y96" s="83" t="s">
        <v>185</v>
      </c>
      <c r="Z96" s="307"/>
      <c r="AC96" s="8"/>
      <c r="AD96" s="38"/>
    </row>
    <row r="97" spans="1:30" ht="14">
      <c r="A97" s="83" t="s">
        <v>293</v>
      </c>
      <c r="B97" s="378">
        <v>1944.2560800000001</v>
      </c>
      <c r="C97" s="263"/>
      <c r="E97" s="8"/>
      <c r="F97" s="38"/>
      <c r="G97" s="83" t="s">
        <v>49</v>
      </c>
      <c r="H97" s="378">
        <v>2138.7200640000001</v>
      </c>
      <c r="I97" s="8"/>
      <c r="J97" s="8"/>
      <c r="K97" s="8"/>
      <c r="L97" s="38"/>
      <c r="M97" s="83" t="s">
        <v>49</v>
      </c>
      <c r="N97" s="378"/>
      <c r="Q97" s="8"/>
      <c r="R97" s="38"/>
      <c r="S97" s="83" t="s">
        <v>49</v>
      </c>
      <c r="T97" s="307"/>
      <c r="W97" s="8"/>
      <c r="X97" s="38"/>
      <c r="Y97" s="83" t="s">
        <v>49</v>
      </c>
      <c r="Z97" s="307"/>
      <c r="AC97" s="8"/>
      <c r="AD97" s="38"/>
    </row>
    <row r="98" spans="1:30" ht="14">
      <c r="A98" s="83" t="s">
        <v>294</v>
      </c>
      <c r="B98" s="378">
        <v>7220.9304959999999</v>
      </c>
      <c r="C98" s="263"/>
      <c r="E98" s="8"/>
      <c r="F98" s="38"/>
      <c r="G98" s="83" t="s">
        <v>50</v>
      </c>
      <c r="H98" s="378">
        <v>10203.001536</v>
      </c>
      <c r="I98" s="8"/>
      <c r="J98" s="8"/>
      <c r="K98" s="8"/>
      <c r="L98" s="38"/>
      <c r="M98" s="83" t="s">
        <v>50</v>
      </c>
      <c r="N98" s="378"/>
      <c r="Q98" s="8"/>
      <c r="R98" s="38"/>
      <c r="S98" s="83" t="s">
        <v>50</v>
      </c>
      <c r="T98" s="307"/>
      <c r="W98" s="8"/>
      <c r="X98" s="38"/>
      <c r="Y98" s="83" t="s">
        <v>50</v>
      </c>
      <c r="Z98" s="307"/>
      <c r="AC98" s="8"/>
      <c r="AD98" s="38"/>
    </row>
    <row r="99" spans="1:30" ht="14">
      <c r="A99" s="83" t="s">
        <v>295</v>
      </c>
      <c r="B99" s="378">
        <v>2072.6016639999998</v>
      </c>
      <c r="C99" s="263"/>
      <c r="E99" s="8"/>
      <c r="F99" s="38"/>
      <c r="G99" s="83" t="s">
        <v>186</v>
      </c>
      <c r="H99" s="378">
        <v>438.36318399999999</v>
      </c>
      <c r="I99" s="8"/>
      <c r="J99" s="8"/>
      <c r="K99" s="8"/>
      <c r="L99" s="38"/>
      <c r="M99" s="83" t="s">
        <v>186</v>
      </c>
      <c r="N99" s="378"/>
      <c r="Q99" s="8"/>
      <c r="R99" s="38"/>
      <c r="S99" s="83" t="s">
        <v>186</v>
      </c>
      <c r="T99" s="307"/>
      <c r="W99" s="8"/>
      <c r="X99" s="38"/>
      <c r="Y99" s="83" t="s">
        <v>186</v>
      </c>
      <c r="Z99" s="307"/>
      <c r="AC99" s="8"/>
      <c r="AD99" s="38"/>
    </row>
    <row r="100" spans="1:30" ht="14">
      <c r="A100" s="83" t="s">
        <v>296</v>
      </c>
      <c r="B100" s="378">
        <v>2.4</v>
      </c>
      <c r="C100" s="263"/>
      <c r="E100" s="8"/>
      <c r="F100" s="38"/>
      <c r="G100" s="83" t="s">
        <v>187</v>
      </c>
      <c r="H100" s="378">
        <v>2.4</v>
      </c>
      <c r="I100" s="8"/>
      <c r="J100" s="8"/>
      <c r="K100" s="8"/>
      <c r="L100" s="38"/>
      <c r="M100" s="83" t="s">
        <v>187</v>
      </c>
      <c r="N100" s="378"/>
      <c r="Q100" s="8"/>
      <c r="R100" s="38"/>
      <c r="S100" s="83" t="s">
        <v>187</v>
      </c>
      <c r="T100" s="307"/>
      <c r="W100" s="8"/>
      <c r="X100" s="38"/>
      <c r="Y100" s="83" t="s">
        <v>187</v>
      </c>
      <c r="Z100" s="307"/>
      <c r="AC100" s="8"/>
      <c r="AD100" s="38"/>
    </row>
    <row r="101" spans="1:30" ht="14">
      <c r="A101" s="83" t="s">
        <v>297</v>
      </c>
      <c r="B101" s="378">
        <v>453.9</v>
      </c>
      <c r="C101" s="263"/>
      <c r="E101" s="8"/>
      <c r="F101" s="38"/>
      <c r="G101" s="83" t="s">
        <v>188</v>
      </c>
      <c r="H101" s="378">
        <v>673.08</v>
      </c>
      <c r="I101" s="8"/>
      <c r="J101" s="8"/>
      <c r="K101" s="8"/>
      <c r="L101" s="38"/>
      <c r="M101" s="83" t="s">
        <v>188</v>
      </c>
      <c r="N101" s="378"/>
      <c r="Q101" s="8"/>
      <c r="R101" s="38"/>
      <c r="S101" s="83" t="s">
        <v>188</v>
      </c>
      <c r="T101" s="307"/>
      <c r="W101" s="8"/>
      <c r="X101" s="38"/>
      <c r="Y101" s="83" t="s">
        <v>188</v>
      </c>
      <c r="Z101" s="307"/>
      <c r="AC101" s="8"/>
      <c r="AD101" s="38"/>
    </row>
    <row r="102" spans="1:30" ht="14">
      <c r="A102" s="83" t="s">
        <v>298</v>
      </c>
      <c r="B102" s="378">
        <v>40.17</v>
      </c>
      <c r="C102" s="263"/>
      <c r="E102" s="8"/>
      <c r="F102" s="38"/>
      <c r="G102" s="83" t="s">
        <v>189</v>
      </c>
      <c r="H102" s="378">
        <v>42.09</v>
      </c>
      <c r="I102" s="8"/>
      <c r="J102" s="8"/>
      <c r="K102" s="8"/>
      <c r="L102" s="38"/>
      <c r="M102" s="83" t="s">
        <v>189</v>
      </c>
      <c r="N102" s="378"/>
      <c r="Q102" s="8"/>
      <c r="R102" s="38"/>
      <c r="S102" s="83" t="s">
        <v>189</v>
      </c>
      <c r="T102" s="307"/>
      <c r="W102" s="8"/>
      <c r="X102" s="38"/>
      <c r="Y102" s="83" t="s">
        <v>189</v>
      </c>
      <c r="Z102" s="307"/>
      <c r="AC102" s="8"/>
      <c r="AD102" s="38"/>
    </row>
    <row r="103" spans="1:30" ht="14">
      <c r="A103" s="83" t="s">
        <v>299</v>
      </c>
      <c r="B103" s="378">
        <v>875.165707</v>
      </c>
      <c r="C103" s="263"/>
      <c r="E103" s="8"/>
      <c r="F103" s="38"/>
      <c r="G103" s="83" t="s">
        <v>190</v>
      </c>
      <c r="H103" s="378">
        <v>8589.9061349999993</v>
      </c>
      <c r="I103" s="8"/>
      <c r="J103" s="8"/>
      <c r="K103" s="8"/>
      <c r="L103" s="38"/>
      <c r="M103" s="83" t="s">
        <v>190</v>
      </c>
      <c r="N103" s="378"/>
      <c r="Q103" s="8"/>
      <c r="R103" s="38"/>
      <c r="S103" s="83" t="s">
        <v>190</v>
      </c>
      <c r="T103" s="307"/>
      <c r="W103" s="8"/>
      <c r="X103" s="38"/>
      <c r="Y103" s="83" t="s">
        <v>190</v>
      </c>
      <c r="Z103" s="307"/>
      <c r="AC103" s="8"/>
      <c r="AD103" s="38"/>
    </row>
    <row r="104" spans="1:30" ht="14">
      <c r="A104" s="83" t="s">
        <v>300</v>
      </c>
      <c r="B104" s="378">
        <v>1.47</v>
      </c>
      <c r="C104" s="263"/>
      <c r="E104" s="8"/>
      <c r="F104" s="38"/>
      <c r="G104" s="83" t="s">
        <v>191</v>
      </c>
      <c r="H104" s="378">
        <v>25.2</v>
      </c>
      <c r="I104" s="8"/>
      <c r="J104" s="8"/>
      <c r="K104" s="8"/>
      <c r="L104" s="38"/>
      <c r="M104" s="83" t="s">
        <v>191</v>
      </c>
      <c r="N104" s="378"/>
      <c r="Q104" s="8"/>
      <c r="R104" s="38"/>
      <c r="S104" s="83" t="s">
        <v>191</v>
      </c>
      <c r="T104" s="307"/>
      <c r="W104" s="8"/>
      <c r="X104" s="38"/>
      <c r="Y104" s="83" t="s">
        <v>191</v>
      </c>
      <c r="Z104" s="307"/>
      <c r="AC104" s="8"/>
      <c r="AD104" s="38"/>
    </row>
    <row r="105" spans="1:30" ht="14">
      <c r="A105" s="83" t="s">
        <v>301</v>
      </c>
      <c r="B105" s="378">
        <v>2.44</v>
      </c>
      <c r="C105" s="263"/>
      <c r="E105" s="8"/>
      <c r="F105" s="38"/>
      <c r="G105" s="83" t="s">
        <v>192</v>
      </c>
      <c r="H105" s="378">
        <v>9.76</v>
      </c>
      <c r="I105" s="8"/>
      <c r="J105" s="8"/>
      <c r="K105" s="8"/>
      <c r="L105" s="38"/>
      <c r="M105" s="83" t="s">
        <v>192</v>
      </c>
      <c r="N105" s="378"/>
      <c r="Q105" s="8"/>
      <c r="R105" s="38"/>
      <c r="S105" s="83" t="s">
        <v>192</v>
      </c>
      <c r="T105" s="307"/>
      <c r="W105" s="8"/>
      <c r="X105" s="38"/>
      <c r="Y105" s="83" t="s">
        <v>192</v>
      </c>
      <c r="Z105" s="307"/>
      <c r="AC105" s="8"/>
      <c r="AD105" s="38"/>
    </row>
    <row r="106" spans="1:30" ht="14">
      <c r="A106" s="83" t="s">
        <v>302</v>
      </c>
      <c r="B106" s="378">
        <v>67.680000000000007</v>
      </c>
      <c r="C106" s="263"/>
      <c r="E106" s="8"/>
      <c r="F106" s="38"/>
      <c r="G106" s="83" t="s">
        <v>193</v>
      </c>
      <c r="H106" s="378">
        <v>531.29999999999995</v>
      </c>
      <c r="I106" s="8"/>
      <c r="J106" s="8"/>
      <c r="K106" s="8"/>
      <c r="L106" s="38"/>
      <c r="M106" s="83" t="s">
        <v>193</v>
      </c>
      <c r="N106" s="378"/>
      <c r="Q106" s="8"/>
      <c r="R106" s="38"/>
      <c r="S106" s="83" t="s">
        <v>193</v>
      </c>
      <c r="T106" s="307"/>
      <c r="W106" s="8"/>
      <c r="X106" s="38"/>
      <c r="Y106" s="83" t="s">
        <v>193</v>
      </c>
      <c r="Z106" s="307"/>
      <c r="AC106" s="8"/>
      <c r="AD106" s="38"/>
    </row>
    <row r="107" spans="1:30" ht="14">
      <c r="A107" s="83" t="s">
        <v>303</v>
      </c>
      <c r="B107" s="378">
        <v>75879.419743999999</v>
      </c>
      <c r="C107" s="263"/>
      <c r="E107" s="8"/>
      <c r="F107" s="38"/>
      <c r="G107" s="83" t="s">
        <v>72</v>
      </c>
      <c r="H107" s="378">
        <v>86246.171231999993</v>
      </c>
      <c r="I107" s="8"/>
      <c r="J107" s="8"/>
      <c r="K107" s="8"/>
      <c r="L107" s="38"/>
      <c r="M107" s="83" t="s">
        <v>72</v>
      </c>
      <c r="N107" s="378"/>
      <c r="Q107" s="8"/>
      <c r="R107" s="38"/>
      <c r="S107" s="83" t="s">
        <v>72</v>
      </c>
      <c r="T107" s="307"/>
      <c r="W107" s="8"/>
      <c r="X107" s="38"/>
      <c r="Y107" s="83" t="s">
        <v>72</v>
      </c>
      <c r="Z107" s="307"/>
      <c r="AC107" s="8"/>
      <c r="AD107" s="38"/>
    </row>
    <row r="108" spans="1:30" ht="14">
      <c r="A108" s="83" t="s">
        <v>51</v>
      </c>
      <c r="B108" s="378">
        <v>313550.95</v>
      </c>
      <c r="C108" s="263"/>
      <c r="E108" s="8"/>
      <c r="F108" s="38"/>
      <c r="G108" s="83" t="s">
        <v>199</v>
      </c>
      <c r="H108" s="378">
        <v>398129.06</v>
      </c>
      <c r="I108" s="8"/>
      <c r="J108" s="8"/>
      <c r="K108" s="8"/>
      <c r="L108" s="38"/>
      <c r="M108" s="83" t="s">
        <v>199</v>
      </c>
      <c r="N108" s="378"/>
      <c r="Q108" s="8"/>
      <c r="R108" s="38"/>
      <c r="S108" s="83" t="s">
        <v>199</v>
      </c>
      <c r="T108" s="307"/>
      <c r="W108" s="8"/>
      <c r="X108" s="38"/>
      <c r="Y108" s="83" t="s">
        <v>199</v>
      </c>
      <c r="Z108" s="307"/>
      <c r="AC108" s="8"/>
      <c r="AD108" s="38"/>
    </row>
    <row r="109" spans="1:30" ht="14">
      <c r="A109" s="83" t="s">
        <v>304</v>
      </c>
      <c r="B109" s="378"/>
      <c r="C109" s="263"/>
      <c r="E109" s="8"/>
      <c r="F109" s="38"/>
      <c r="G109" s="83" t="s">
        <v>194</v>
      </c>
      <c r="H109" s="378">
        <v>13.8</v>
      </c>
      <c r="I109" s="8"/>
      <c r="J109" s="8"/>
      <c r="K109" s="8"/>
      <c r="L109" s="38"/>
      <c r="M109" s="83" t="s">
        <v>194</v>
      </c>
      <c r="N109" s="378"/>
      <c r="Q109" s="8"/>
      <c r="R109" s="38"/>
      <c r="S109" s="83" t="s">
        <v>194</v>
      </c>
      <c r="T109" s="307"/>
      <c r="W109" s="8"/>
      <c r="X109" s="38"/>
      <c r="Y109" s="83" t="s">
        <v>194</v>
      </c>
      <c r="Z109" s="307"/>
      <c r="AC109" s="8"/>
      <c r="AD109" s="38"/>
    </row>
    <row r="110" spans="1:30" ht="14">
      <c r="A110" s="83" t="s">
        <v>305</v>
      </c>
      <c r="B110" s="378">
        <v>77.400000000000006</v>
      </c>
      <c r="C110" s="263"/>
      <c r="E110" s="8"/>
      <c r="F110" s="38"/>
      <c r="G110" s="83" t="s">
        <v>195</v>
      </c>
      <c r="H110" s="378">
        <v>76.86</v>
      </c>
      <c r="I110" s="8"/>
      <c r="J110" s="8"/>
      <c r="K110" s="8"/>
      <c r="L110" s="38"/>
      <c r="M110" s="83" t="s">
        <v>195</v>
      </c>
      <c r="N110" s="378"/>
      <c r="Q110" s="8"/>
      <c r="R110" s="38"/>
      <c r="S110" s="83" t="s">
        <v>195</v>
      </c>
      <c r="T110" s="307"/>
      <c r="W110" s="8"/>
      <c r="X110" s="38"/>
      <c r="Y110" s="83" t="s">
        <v>195</v>
      </c>
      <c r="Z110" s="307"/>
      <c r="AC110" s="8"/>
      <c r="AD110" s="38"/>
    </row>
    <row r="111" spans="1:30" ht="14">
      <c r="A111" s="83" t="s">
        <v>306</v>
      </c>
      <c r="B111" s="378">
        <v>3.1</v>
      </c>
      <c r="C111" s="263"/>
      <c r="E111" s="8"/>
      <c r="F111" s="38"/>
      <c r="G111" s="83" t="s">
        <v>196</v>
      </c>
      <c r="H111" s="378">
        <v>103.11</v>
      </c>
      <c r="I111" s="8"/>
      <c r="J111" s="8"/>
      <c r="K111" s="8"/>
      <c r="L111" s="38"/>
      <c r="M111" s="83" t="s">
        <v>196</v>
      </c>
      <c r="N111" s="378"/>
      <c r="Q111" s="8"/>
      <c r="R111" s="38"/>
      <c r="S111" s="83" t="s">
        <v>196</v>
      </c>
      <c r="T111" s="307"/>
      <c r="W111" s="8"/>
      <c r="X111" s="38"/>
      <c r="Y111" s="83" t="s">
        <v>196</v>
      </c>
      <c r="Z111" s="307"/>
      <c r="AC111" s="8"/>
      <c r="AD111" s="38"/>
    </row>
    <row r="112" spans="1:30" ht="14">
      <c r="A112" s="83" t="s">
        <v>308</v>
      </c>
      <c r="B112" s="378">
        <v>5.67</v>
      </c>
      <c r="C112" s="263"/>
      <c r="E112" s="8"/>
      <c r="F112" s="38"/>
      <c r="G112" s="83" t="s">
        <v>197</v>
      </c>
      <c r="H112" s="378">
        <v>15.86</v>
      </c>
      <c r="I112" s="8"/>
      <c r="J112" s="8"/>
      <c r="K112" s="8"/>
      <c r="L112" s="38"/>
      <c r="M112" s="83" t="s">
        <v>197</v>
      </c>
      <c r="N112" s="378"/>
      <c r="Q112" s="8"/>
      <c r="R112" s="38"/>
      <c r="S112" s="83" t="s">
        <v>197</v>
      </c>
      <c r="T112" s="307"/>
      <c r="W112" s="8"/>
      <c r="X112" s="38"/>
      <c r="Y112" s="83" t="s">
        <v>197</v>
      </c>
      <c r="Z112" s="307"/>
      <c r="AC112" s="8"/>
      <c r="AD112" s="38"/>
    </row>
    <row r="113" spans="1:30" ht="14">
      <c r="A113" s="83" t="s">
        <v>307</v>
      </c>
      <c r="B113" s="378">
        <v>6.1</v>
      </c>
      <c r="C113" s="263"/>
      <c r="E113" s="8"/>
      <c r="F113" s="38"/>
      <c r="G113" s="83" t="s">
        <v>198</v>
      </c>
      <c r="H113" s="378">
        <v>7.32</v>
      </c>
      <c r="I113" s="8"/>
      <c r="J113" s="8"/>
      <c r="K113" s="8"/>
      <c r="L113" s="38"/>
      <c r="M113" s="83" t="s">
        <v>198</v>
      </c>
      <c r="N113" s="378"/>
      <c r="Q113" s="8"/>
      <c r="R113" s="38"/>
      <c r="S113" s="83" t="s">
        <v>198</v>
      </c>
      <c r="T113" s="307"/>
      <c r="W113" s="8"/>
      <c r="X113" s="38"/>
      <c r="Y113" s="83" t="s">
        <v>198</v>
      </c>
      <c r="Z113" s="307"/>
      <c r="AC113" s="8"/>
      <c r="AD113" s="38"/>
    </row>
    <row r="114" spans="1:30" ht="14">
      <c r="A114" s="84" t="s">
        <v>21</v>
      </c>
      <c r="B114" s="85">
        <f>SUM(B2:B113)</f>
        <v>654667.34217400011</v>
      </c>
      <c r="C114" s="85">
        <f>SUM(C2:C113)</f>
        <v>0</v>
      </c>
      <c r="D114" s="85">
        <f>SUM(D2:D113)</f>
        <v>0</v>
      </c>
      <c r="E114" s="8">
        <f>IF(C114 &gt; 0, C114/B114, 0)</f>
        <v>0</v>
      </c>
      <c r="F114" s="38"/>
      <c r="G114" s="86" t="s">
        <v>21</v>
      </c>
      <c r="H114" s="85">
        <f>SUM(H2:H113)</f>
        <v>813315.47953100014</v>
      </c>
      <c r="I114" s="85">
        <f>SUM(I2:I113)</f>
        <v>0</v>
      </c>
      <c r="J114" s="85">
        <f>SUM(J2:J113)</f>
        <v>0</v>
      </c>
      <c r="K114" s="8">
        <f>IF(I114 &gt; 0, I114/H114, 0)</f>
        <v>0</v>
      </c>
      <c r="L114" s="38"/>
      <c r="M114" s="84" t="s">
        <v>21</v>
      </c>
      <c r="N114" s="85">
        <f>SUM(N2:N113)</f>
        <v>0</v>
      </c>
      <c r="O114" s="85">
        <f>SUM(O2:O113)</f>
        <v>0</v>
      </c>
      <c r="P114" s="85">
        <f>SUM(P2:P113)</f>
        <v>0</v>
      </c>
      <c r="Q114" s="8">
        <f>IF(O114 &gt; 0, O114/N114, 0)</f>
        <v>0</v>
      </c>
      <c r="R114" s="38"/>
      <c r="S114" s="84" t="s">
        <v>21</v>
      </c>
      <c r="T114" s="85">
        <f>SUM(T2:T113)</f>
        <v>0</v>
      </c>
      <c r="U114" s="85">
        <f>SUM(U2:U113)</f>
        <v>0</v>
      </c>
      <c r="V114" s="85">
        <f>SUM(V2:V113)</f>
        <v>0</v>
      </c>
      <c r="W114" s="8" t="e">
        <f>U114/T114</f>
        <v>#DIV/0!</v>
      </c>
      <c r="X114" s="38"/>
      <c r="Y114" s="14" t="s">
        <v>22</v>
      </c>
      <c r="Z114" s="85">
        <f>SUM(Z2:Z113)</f>
        <v>0</v>
      </c>
      <c r="AA114" s="85">
        <f>SUM(AA2:AA113)</f>
        <v>0</v>
      </c>
      <c r="AB114" s="85">
        <f>SUM(AB2:AB113)</f>
        <v>0</v>
      </c>
      <c r="AC114" s="8">
        <f>IF(AA114 &gt; 0, AA114/Z114, 0)</f>
        <v>0</v>
      </c>
      <c r="AD114" s="38"/>
    </row>
    <row r="115" spans="1:30" ht="14">
      <c r="A115" s="8"/>
      <c r="B115" s="8"/>
      <c r="C115" s="8"/>
      <c r="D115" s="8"/>
      <c r="E115" s="8"/>
      <c r="F115" s="38"/>
      <c r="G115" s="8"/>
      <c r="H115" s="8"/>
      <c r="I115" s="8"/>
      <c r="J115" s="8"/>
      <c r="K115" s="8"/>
      <c r="L115" s="38"/>
      <c r="M115" s="8"/>
      <c r="N115" s="8"/>
      <c r="O115" s="8"/>
      <c r="P115" s="8"/>
      <c r="Q115" s="8"/>
      <c r="R115" s="38"/>
      <c r="S115" s="8"/>
      <c r="T115" s="8"/>
      <c r="U115" s="8"/>
      <c r="V115" s="8"/>
      <c r="W115" s="8"/>
      <c r="X115" s="38"/>
      <c r="Y115" s="8"/>
      <c r="Z115" s="8"/>
      <c r="AA115" s="8"/>
      <c r="AB115" s="8"/>
      <c r="AC115" s="8"/>
      <c r="AD115" s="38"/>
    </row>
    <row r="116" spans="1:30" ht="14">
      <c r="A116" s="16" t="s">
        <v>9</v>
      </c>
      <c r="B116" s="17">
        <f>SUM(B22,B66,B108)</f>
        <v>365707.10651800002</v>
      </c>
      <c r="C116" s="87">
        <f>C11+C63+C40</f>
        <v>0</v>
      </c>
      <c r="D116" s="87">
        <f>D11+D63+D40</f>
        <v>0</v>
      </c>
      <c r="E116" s="18">
        <f>IF(C116 &gt; 0, C116/B116, 0)</f>
        <v>0</v>
      </c>
      <c r="F116" s="38"/>
      <c r="G116" s="16" t="s">
        <v>9</v>
      </c>
      <c r="H116" s="17">
        <f>SUM(H22,H66,H108)</f>
        <v>465307.237349</v>
      </c>
      <c r="I116" s="87">
        <f>I11+I63+I40</f>
        <v>0</v>
      </c>
      <c r="J116" s="87">
        <f>J11+J63+J40</f>
        <v>0</v>
      </c>
      <c r="K116" s="18">
        <f>IF(I116 &gt; 0, I116/H116, 0)</f>
        <v>0</v>
      </c>
      <c r="L116" s="38"/>
      <c r="M116" s="16" t="s">
        <v>9</v>
      </c>
      <c r="N116" s="17">
        <f>SUM(N22,N66,N108)</f>
        <v>0</v>
      </c>
      <c r="O116" s="87">
        <f>O11+O63+O40</f>
        <v>0</v>
      </c>
      <c r="P116" s="87">
        <f>P11+P63+P40</f>
        <v>0</v>
      </c>
      <c r="Q116" s="18">
        <f>IF(O116 &gt; 0, O116/N116, 0)</f>
        <v>0</v>
      </c>
      <c r="R116" s="38"/>
      <c r="S116" s="16" t="s">
        <v>9</v>
      </c>
      <c r="T116" s="17">
        <f>SUM(T22,T66,T108)</f>
        <v>0</v>
      </c>
      <c r="U116" s="87">
        <f>U11+U63+U40</f>
        <v>0</v>
      </c>
      <c r="V116" s="87">
        <f>V11+V63+V40</f>
        <v>0</v>
      </c>
      <c r="W116" s="18">
        <f>IF(U116 &gt; 0, U116/T116, 0)</f>
        <v>0</v>
      </c>
      <c r="X116" s="38"/>
      <c r="Y116" s="16" t="s">
        <v>9</v>
      </c>
      <c r="Z116" s="17">
        <f>SUM(Z22,Z66,Z108)</f>
        <v>0</v>
      </c>
      <c r="AA116" s="87">
        <f>AA11+AA63+AA40</f>
        <v>0</v>
      </c>
      <c r="AB116" s="87">
        <f>AB11+AB63+AB40</f>
        <v>0</v>
      </c>
      <c r="AC116" s="18">
        <f>IF(AA116 &gt; 0, AA116/Z116, 0)</f>
        <v>0</v>
      </c>
      <c r="AD116" s="38"/>
    </row>
    <row r="117" spans="1:30" ht="14">
      <c r="A117" s="8"/>
      <c r="B117" s="8"/>
      <c r="C117" s="8"/>
      <c r="D117" s="8"/>
      <c r="E117" s="8" t="str">
        <f>IF(C117 &gt; 0, C117/B117, "")</f>
        <v/>
      </c>
      <c r="F117" s="38"/>
      <c r="G117" s="8"/>
      <c r="H117" s="8"/>
      <c r="I117" s="8"/>
      <c r="J117" s="8"/>
      <c r="K117" s="8" t="str">
        <f>IF(I117 &gt; 0, I117/H117, "")</f>
        <v/>
      </c>
      <c r="L117" s="38"/>
      <c r="M117" s="8"/>
      <c r="N117" s="8"/>
      <c r="O117" s="8"/>
      <c r="P117" s="8"/>
      <c r="Q117" s="8" t="str">
        <f>IF(O117 &gt; 0, O117/N117, "")</f>
        <v/>
      </c>
      <c r="R117" s="38"/>
      <c r="S117" s="8"/>
      <c r="T117" s="8"/>
      <c r="U117" s="8"/>
      <c r="V117" s="8"/>
      <c r="W117" s="8" t="str">
        <f>IF(U117 &gt; 0, U117/T117, "")</f>
        <v/>
      </c>
      <c r="X117" s="38"/>
      <c r="Y117" s="8"/>
      <c r="Z117" s="8"/>
      <c r="AA117" s="8"/>
      <c r="AB117" s="8"/>
      <c r="AC117" s="8" t="str">
        <f>IF(AA117 &gt; 0, AA117/Z117, "")</f>
        <v/>
      </c>
      <c r="AD117" s="38"/>
    </row>
    <row r="118" spans="1:30" ht="14">
      <c r="A118" s="88" t="s">
        <v>23</v>
      </c>
      <c r="B118" s="20">
        <f>B107</f>
        <v>75879.419743999999</v>
      </c>
      <c r="C118" s="39">
        <f>C62</f>
        <v>0</v>
      </c>
      <c r="D118" s="39">
        <f>D62</f>
        <v>0</v>
      </c>
      <c r="E118" s="8">
        <f t="shared" ref="E118:E125" si="5">IF(C118 &gt; 0, C118/B118, 0)</f>
        <v>0</v>
      </c>
      <c r="F118" s="38"/>
      <c r="G118" s="88" t="s">
        <v>23</v>
      </c>
      <c r="H118" s="20">
        <f>H107</f>
        <v>86246.171231999993</v>
      </c>
      <c r="I118" s="39">
        <f>I62</f>
        <v>0</v>
      </c>
      <c r="J118" s="39">
        <f>J62</f>
        <v>0</v>
      </c>
      <c r="K118" s="8">
        <f t="shared" ref="K118:K125" si="6">IF(I118 &gt; 0, I118/H118, 0)</f>
        <v>0</v>
      </c>
      <c r="L118" s="38"/>
      <c r="M118" s="88" t="s">
        <v>23</v>
      </c>
      <c r="N118" s="20">
        <f>N107</f>
        <v>0</v>
      </c>
      <c r="O118" s="39">
        <f>O62</f>
        <v>0</v>
      </c>
      <c r="P118" s="39">
        <f>P62</f>
        <v>0</v>
      </c>
      <c r="Q118" s="8">
        <f t="shared" ref="Q118:Q125" si="7">IF(O118 &gt; 0, O118/N118, 0)</f>
        <v>0</v>
      </c>
      <c r="R118" s="38"/>
      <c r="S118" s="88" t="s">
        <v>23</v>
      </c>
      <c r="T118" s="20">
        <f>T107</f>
        <v>0</v>
      </c>
      <c r="U118" s="39">
        <f>U62</f>
        <v>0</v>
      </c>
      <c r="V118" s="39">
        <f>V62</f>
        <v>0</v>
      </c>
      <c r="W118" s="8">
        <f t="shared" ref="W118:W125" si="8">IF(U118 &gt; 0, U118/T118, 0)</f>
        <v>0</v>
      </c>
      <c r="X118" s="38"/>
      <c r="Y118" s="88" t="s">
        <v>23</v>
      </c>
      <c r="Z118" s="20">
        <f>Z107</f>
        <v>0</v>
      </c>
      <c r="AA118" s="39">
        <f>AA62</f>
        <v>0</v>
      </c>
      <c r="AB118" s="39">
        <f>AB62</f>
        <v>0</v>
      </c>
      <c r="AC118" s="8">
        <f t="shared" ref="AC118:AC125" si="9">IF(AA118 &gt; 0, AA118/Z118, 0)</f>
        <v>0</v>
      </c>
      <c r="AD118" s="38"/>
    </row>
    <row r="119" spans="1:30" ht="14">
      <c r="A119" s="89" t="s">
        <v>93</v>
      </c>
      <c r="B119" s="20">
        <f>SUM(B12,B38,B61,B74)</f>
        <v>26567.794343999998</v>
      </c>
      <c r="C119" s="39">
        <f>C23+C59+C5+C36</f>
        <v>0</v>
      </c>
      <c r="D119" s="39">
        <f>D23+D5+D36+D41</f>
        <v>0</v>
      </c>
      <c r="E119" s="8">
        <f t="shared" si="5"/>
        <v>0</v>
      </c>
      <c r="F119" s="38"/>
      <c r="G119" s="89" t="s">
        <v>93</v>
      </c>
      <c r="H119" s="20">
        <f>SUM(H12,H38,H61,H74)</f>
        <v>31506.939048</v>
      </c>
      <c r="I119" s="39">
        <f>I23+I59+I5+I36</f>
        <v>0</v>
      </c>
      <c r="J119" s="39">
        <f>J23+J5+J36+J41</f>
        <v>0</v>
      </c>
      <c r="K119" s="8">
        <f t="shared" si="6"/>
        <v>0</v>
      </c>
      <c r="L119" s="38"/>
      <c r="M119" s="89" t="s">
        <v>93</v>
      </c>
      <c r="N119" s="20">
        <f>SUM(N12,N38,N61,N74)</f>
        <v>0</v>
      </c>
      <c r="O119" s="39">
        <f>O23+O59+O5+O36</f>
        <v>0</v>
      </c>
      <c r="P119" s="39">
        <f>P23+P5+P36+P41</f>
        <v>0</v>
      </c>
      <c r="Q119" s="8">
        <f t="shared" si="7"/>
        <v>0</v>
      </c>
      <c r="R119" s="38"/>
      <c r="S119" s="89" t="s">
        <v>93</v>
      </c>
      <c r="T119" s="20">
        <f>SUM(T12,T38,T61,T74)</f>
        <v>0</v>
      </c>
      <c r="U119" s="39">
        <f>U23+U59+U5+U36</f>
        <v>0</v>
      </c>
      <c r="V119" s="39">
        <f>V23+V5+V36+V41</f>
        <v>0</v>
      </c>
      <c r="W119" s="8">
        <f t="shared" si="8"/>
        <v>0</v>
      </c>
      <c r="X119" s="38"/>
      <c r="Y119" s="89" t="s">
        <v>93</v>
      </c>
      <c r="Z119" s="20">
        <f>SUM(Z12,Z38,Z61,Z74)</f>
        <v>0</v>
      </c>
      <c r="AA119" s="39">
        <f>AA23+AA59+AA5+AA36</f>
        <v>0</v>
      </c>
      <c r="AB119" s="39">
        <f>AB23+AB5+AB36+AB41</f>
        <v>0</v>
      </c>
      <c r="AC119" s="8">
        <f t="shared" si="9"/>
        <v>0</v>
      </c>
      <c r="AD119" s="38"/>
    </row>
    <row r="120" spans="1:30" ht="14">
      <c r="A120" s="89" t="s">
        <v>87</v>
      </c>
      <c r="B120" s="20">
        <f>SUM(B7,B40,B98)</f>
        <v>27871.184015999999</v>
      </c>
      <c r="C120" s="39">
        <f>C24+C4</f>
        <v>0</v>
      </c>
      <c r="D120" s="39">
        <f>D24+D4+D59</f>
        <v>0</v>
      </c>
      <c r="E120" s="8">
        <f t="shared" si="5"/>
        <v>0</v>
      </c>
      <c r="F120" s="38"/>
      <c r="G120" s="89" t="s">
        <v>87</v>
      </c>
      <c r="H120" s="20">
        <f>SUM(H7,H40,H98)</f>
        <v>45263.212799999994</v>
      </c>
      <c r="I120" s="39">
        <f>I24+I4</f>
        <v>0</v>
      </c>
      <c r="J120" s="39">
        <f>J24+J4+J59</f>
        <v>0</v>
      </c>
      <c r="K120" s="8">
        <f t="shared" si="6"/>
        <v>0</v>
      </c>
      <c r="L120" s="38"/>
      <c r="M120" s="89" t="s">
        <v>87</v>
      </c>
      <c r="N120" s="20">
        <f>SUM(N7,N40,N98)</f>
        <v>0</v>
      </c>
      <c r="O120" s="39">
        <f>O24+O4</f>
        <v>0</v>
      </c>
      <c r="P120" s="39">
        <f>P24+P4+P59</f>
        <v>0</v>
      </c>
      <c r="Q120" s="8">
        <f t="shared" si="7"/>
        <v>0</v>
      </c>
      <c r="R120" s="38"/>
      <c r="S120" s="89" t="s">
        <v>87</v>
      </c>
      <c r="T120" s="20">
        <f>SUM(T7,T40,T98)</f>
        <v>0</v>
      </c>
      <c r="U120" s="39">
        <f>U24+U4</f>
        <v>0</v>
      </c>
      <c r="V120" s="39">
        <f>V24+V4+V59</f>
        <v>0</v>
      </c>
      <c r="W120" s="8">
        <f t="shared" si="8"/>
        <v>0</v>
      </c>
      <c r="X120" s="38"/>
      <c r="Y120" s="89" t="s">
        <v>87</v>
      </c>
      <c r="Z120" s="20">
        <f>SUM(Z7,Z40,Z98)</f>
        <v>0</v>
      </c>
      <c r="AA120" s="39">
        <f>AA24+AA4</f>
        <v>0</v>
      </c>
      <c r="AB120" s="39">
        <f>AB24+AB4+AB59</f>
        <v>0</v>
      </c>
      <c r="AC120" s="8">
        <f t="shared" si="9"/>
        <v>0</v>
      </c>
      <c r="AD120" s="38"/>
    </row>
    <row r="121" spans="1:30" ht="14">
      <c r="A121" s="89" t="s">
        <v>75</v>
      </c>
      <c r="B121" s="20">
        <f>SUM(B94,B86,B53)</f>
        <v>11586.916848000001</v>
      </c>
      <c r="C121" s="39">
        <f>C55+C50+C31</f>
        <v>0</v>
      </c>
      <c r="D121" s="39">
        <f>D55+D50+D31</f>
        <v>0</v>
      </c>
      <c r="E121" s="8">
        <f>IF(C121 &gt; 0, C121/B121, 0)</f>
        <v>0</v>
      </c>
      <c r="F121" s="38"/>
      <c r="G121" s="89" t="s">
        <v>75</v>
      </c>
      <c r="H121" s="20">
        <f>SUM(H94,H86,H53)</f>
        <v>29106.980759999999</v>
      </c>
      <c r="I121" s="39">
        <f>I55+I50+I31</f>
        <v>0</v>
      </c>
      <c r="J121" s="39">
        <f>J55+J50+J31</f>
        <v>0</v>
      </c>
      <c r="K121" s="8">
        <f t="shared" si="6"/>
        <v>0</v>
      </c>
      <c r="L121" s="38"/>
      <c r="M121" s="89" t="s">
        <v>75</v>
      </c>
      <c r="N121" s="20">
        <f>SUM(N94,N86,N53)</f>
        <v>0</v>
      </c>
      <c r="O121" s="39">
        <f>O55+O50+O31</f>
        <v>0</v>
      </c>
      <c r="P121" s="39">
        <f>P55+P50+P31</f>
        <v>0</v>
      </c>
      <c r="Q121" s="8">
        <f t="shared" si="7"/>
        <v>0</v>
      </c>
      <c r="R121" s="38"/>
      <c r="S121" s="89" t="s">
        <v>75</v>
      </c>
      <c r="T121" s="20">
        <f>SUM(T94,T86,T53)</f>
        <v>0</v>
      </c>
      <c r="U121" s="39">
        <f>U55+U50+U31</f>
        <v>0</v>
      </c>
      <c r="V121" s="39">
        <f>V55+V50+V31</f>
        <v>0</v>
      </c>
      <c r="W121" s="8">
        <f t="shared" si="8"/>
        <v>0</v>
      </c>
      <c r="X121" s="38"/>
      <c r="Y121" s="89" t="s">
        <v>75</v>
      </c>
      <c r="Z121" s="20">
        <f>SUM(Z94,Z86,Z53)</f>
        <v>0</v>
      </c>
      <c r="AA121" s="39">
        <f>AA55+AA50+AA31</f>
        <v>0</v>
      </c>
      <c r="AB121" s="39">
        <f>AB55+AB50+AB31</f>
        <v>0</v>
      </c>
      <c r="AC121" s="8">
        <f t="shared" si="9"/>
        <v>0</v>
      </c>
      <c r="AD121" s="38"/>
    </row>
    <row r="122" spans="1:30" ht="14">
      <c r="A122" s="89" t="s">
        <v>97</v>
      </c>
      <c r="B122" s="20">
        <f>SUM(B97,B30,B37,B79)</f>
        <v>7062.9109200000003</v>
      </c>
      <c r="C122" s="39">
        <f>C17+C22+C44+C57</f>
        <v>0</v>
      </c>
      <c r="D122" s="39">
        <f>D17+D22+D44+D57</f>
        <v>0</v>
      </c>
      <c r="E122" s="8"/>
      <c r="F122" s="38"/>
      <c r="G122" s="89" t="s">
        <v>97</v>
      </c>
      <c r="H122" s="20">
        <f>SUM(H97,H30,H37,H79)</f>
        <v>10144.887479999999</v>
      </c>
      <c r="I122" s="39">
        <f>I17+I22+I44+I57</f>
        <v>0</v>
      </c>
      <c r="J122" s="39">
        <f>J17+J22+J44+J57</f>
        <v>0</v>
      </c>
      <c r="K122" s="8"/>
      <c r="L122" s="38"/>
      <c r="M122" s="89" t="s">
        <v>97</v>
      </c>
      <c r="N122" s="20">
        <f>SUM(N97,N30,N37,N79)</f>
        <v>0</v>
      </c>
      <c r="O122" s="39">
        <f>O17+O22+O44+O57</f>
        <v>0</v>
      </c>
      <c r="P122" s="39">
        <f>P17+P22+P44+P57</f>
        <v>0</v>
      </c>
      <c r="Q122" s="8"/>
      <c r="R122" s="38"/>
      <c r="S122" s="89" t="s">
        <v>97</v>
      </c>
      <c r="T122" s="20">
        <f>SUM(T97,T30,T37,T79)</f>
        <v>0</v>
      </c>
      <c r="U122" s="39">
        <f>U17+U22+U44+U57</f>
        <v>0</v>
      </c>
      <c r="V122" s="39">
        <f>V17+V22+V44+V57</f>
        <v>0</v>
      </c>
      <c r="W122" s="8"/>
      <c r="X122" s="38"/>
      <c r="Y122" s="89" t="s">
        <v>97</v>
      </c>
      <c r="Z122" s="20">
        <f>SUM(Z97,Z30,Z37,Z79)</f>
        <v>0</v>
      </c>
      <c r="AA122" s="39">
        <f>AA17+AA22+AA44+AA57</f>
        <v>0</v>
      </c>
      <c r="AB122" s="39">
        <f>AB17+AB22+AB44+AB57</f>
        <v>0</v>
      </c>
      <c r="AC122" s="8"/>
      <c r="AD122" s="38"/>
    </row>
    <row r="123" spans="1:30" ht="14">
      <c r="A123" s="89" t="s">
        <v>64</v>
      </c>
      <c r="B123" s="20">
        <f>SUM(B51,B42)</f>
        <v>3203.8459439999997</v>
      </c>
      <c r="C123" s="39">
        <f>C17+C22+C25+C30+C41+C44+C57</f>
        <v>0</v>
      </c>
      <c r="D123" s="39">
        <f>D17+D22+D25+D30+D44+D57</f>
        <v>0</v>
      </c>
      <c r="E123" s="8">
        <f t="shared" si="5"/>
        <v>0</v>
      </c>
      <c r="F123" s="38"/>
      <c r="G123" s="89" t="s">
        <v>64</v>
      </c>
      <c r="H123" s="20">
        <f>SUM(H51,H42)</f>
        <v>5638.4321760000003</v>
      </c>
      <c r="I123" s="39">
        <f>I17+I22+I25+I30+I41+I44+I57</f>
        <v>0</v>
      </c>
      <c r="J123" s="39">
        <f>J17+J22+J25+J30+J44+J57</f>
        <v>0</v>
      </c>
      <c r="K123" s="8">
        <f t="shared" si="6"/>
        <v>0</v>
      </c>
      <c r="L123" s="38"/>
      <c r="M123" s="89" t="s">
        <v>64</v>
      </c>
      <c r="N123" s="20">
        <f>SUM(N51,N42)</f>
        <v>0</v>
      </c>
      <c r="O123" s="39">
        <f>O17+O22+O25+O30+O41+O44+O57</f>
        <v>0</v>
      </c>
      <c r="P123" s="39">
        <f>P17+P22+P25+P30+P44+P57</f>
        <v>0</v>
      </c>
      <c r="Q123" s="8">
        <f t="shared" si="7"/>
        <v>0</v>
      </c>
      <c r="R123" s="38"/>
      <c r="S123" s="89" t="s">
        <v>64</v>
      </c>
      <c r="T123" s="20">
        <f>SUM(T51,T42)</f>
        <v>0</v>
      </c>
      <c r="U123" s="39">
        <f>U17+U22+U25+U30+U41+U44+U57</f>
        <v>0</v>
      </c>
      <c r="V123" s="39">
        <f>V17+V22+V25+V30+V44+V57</f>
        <v>0</v>
      </c>
      <c r="W123" s="8">
        <f t="shared" si="8"/>
        <v>0</v>
      </c>
      <c r="X123" s="38"/>
      <c r="Y123" s="89" t="s">
        <v>64</v>
      </c>
      <c r="Z123" s="20">
        <f>SUM(Z51,Z42)</f>
        <v>0</v>
      </c>
      <c r="AA123" s="39">
        <f>AA17+AA22+AA25+AA30+AA41+AA44+AA57</f>
        <v>0</v>
      </c>
      <c r="AB123" s="39">
        <f>AB17+AB22+AB25+AB30+AB44+AB57</f>
        <v>0</v>
      </c>
      <c r="AC123" s="8">
        <f t="shared" si="9"/>
        <v>0</v>
      </c>
      <c r="AD123" s="38"/>
    </row>
    <row r="124" spans="1:30" ht="14">
      <c r="A124" s="89" t="s">
        <v>89</v>
      </c>
      <c r="B124" s="20">
        <f>SUM(B19,B28:B29,B35,B48,B59,B60,B64,B85,B87,B91:B92)</f>
        <v>4496.1065759999992</v>
      </c>
      <c r="C124" s="39">
        <f>C9+C15+C16+C21+C29+C34+C35+C39+C49+C51+C53+C54</f>
        <v>0</v>
      </c>
      <c r="D124" s="39">
        <f>D9+D15+D16+D21+D29+D34+D35+D39+D49+D51+D53+D54</f>
        <v>0</v>
      </c>
      <c r="E124" s="8"/>
      <c r="F124" s="38"/>
      <c r="G124" s="89" t="s">
        <v>89</v>
      </c>
      <c r="H124" s="20">
        <f>SUM(H19,H28:H29,H35,H48,H59,H60,H64,H85,H87,H91:H92)</f>
        <v>4487.7022319999996</v>
      </c>
      <c r="I124" s="39">
        <f>I9+I15+I16+I21+I29+I34+I35+I39+I49+I51+I53+I54</f>
        <v>0</v>
      </c>
      <c r="J124" s="39">
        <f>J9+J15+J16+J21+J29+J34+J35+J39+J49+J51+J53+J54</f>
        <v>0</v>
      </c>
      <c r="K124" s="8"/>
      <c r="L124" s="38"/>
      <c r="M124" s="89" t="s">
        <v>89</v>
      </c>
      <c r="N124" s="20">
        <f>SUM(N19,N28:N29,N35,N48,N59,N60,N64,N85,N87,N91:N92)</f>
        <v>0</v>
      </c>
      <c r="O124" s="39">
        <f>O9+O15+O16+O21+O29+O34+O35+O39+O49+O51+O53+O54</f>
        <v>0</v>
      </c>
      <c r="P124" s="39">
        <f>P9+P15+P16+P21+P29+P34+P35+P39+P49+P51+P53+P54</f>
        <v>0</v>
      </c>
      <c r="Q124" s="8"/>
      <c r="R124" s="38"/>
      <c r="S124" s="89" t="s">
        <v>89</v>
      </c>
      <c r="T124" s="20">
        <f>SUM(T19,T28:T29,T35,T48,T59,T60,T64,T85,T87,T91:T92)</f>
        <v>0</v>
      </c>
      <c r="U124" s="39">
        <f>U9+U15+U16+U21+U29+U34+U35+U39+U49+U51+U53+U54</f>
        <v>0</v>
      </c>
      <c r="V124" s="39">
        <f>V9+V15+V16+V21+V29+V34+V35+V39+V49+V51+V53+V54</f>
        <v>0</v>
      </c>
      <c r="W124" s="8"/>
      <c r="X124" s="38"/>
      <c r="Y124" s="89" t="s">
        <v>89</v>
      </c>
      <c r="Z124" s="20">
        <f>SUM(Z19,Z28:Z29,Z35,Z48,Z59,Z60,Z64,Z85,Z87,Z91:Z92)</f>
        <v>0</v>
      </c>
      <c r="AA124" s="39">
        <f>AA9+AA15+AA16+AA21+AA29+AA34+AA35+AA39+AA49+AA51+AA53+AA54</f>
        <v>0</v>
      </c>
      <c r="AB124" s="39">
        <f>AB9+AB15+AB16+AB21+AB29+AB34+AB35+AB39+AB49+AB51+AB53+AB54</f>
        <v>0</v>
      </c>
      <c r="AC124" s="8"/>
      <c r="AD124" s="38"/>
    </row>
    <row r="125" spans="1:30" ht="14">
      <c r="A125" s="16" t="s">
        <v>24</v>
      </c>
      <c r="B125" s="87">
        <f>SUM(B118:B124)</f>
        <v>156668.17839199997</v>
      </c>
      <c r="C125" s="87">
        <f>SUM(C118:C124)</f>
        <v>0</v>
      </c>
      <c r="D125" s="87">
        <f>SUM(D118:D124)</f>
        <v>0</v>
      </c>
      <c r="E125" s="18">
        <f t="shared" si="5"/>
        <v>0</v>
      </c>
      <c r="F125" s="38"/>
      <c r="G125" s="16" t="s">
        <v>24</v>
      </c>
      <c r="H125" s="87">
        <f>SUM(H118:H124)</f>
        <v>212394.32572800003</v>
      </c>
      <c r="I125" s="87">
        <f>SUM(I118:I124)</f>
        <v>0</v>
      </c>
      <c r="J125" s="87">
        <f>SUM(J118:J124)</f>
        <v>0</v>
      </c>
      <c r="K125" s="18">
        <f t="shared" si="6"/>
        <v>0</v>
      </c>
      <c r="L125" s="38"/>
      <c r="M125" s="16" t="s">
        <v>24</v>
      </c>
      <c r="N125" s="87">
        <f>SUM(N118:N124)</f>
        <v>0</v>
      </c>
      <c r="O125" s="87">
        <f>SUM(O118:O124)</f>
        <v>0</v>
      </c>
      <c r="P125" s="87">
        <f>SUM(P118:P124)</f>
        <v>0</v>
      </c>
      <c r="Q125" s="18">
        <f t="shared" si="7"/>
        <v>0</v>
      </c>
      <c r="R125" s="38"/>
      <c r="S125" s="16" t="s">
        <v>24</v>
      </c>
      <c r="T125" s="87">
        <f>SUM(T118:T124)</f>
        <v>0</v>
      </c>
      <c r="U125" s="87">
        <f>SUM(U118:U124)</f>
        <v>0</v>
      </c>
      <c r="V125" s="87">
        <f>SUM(V118:V124)</f>
        <v>0</v>
      </c>
      <c r="W125" s="18">
        <f t="shared" si="8"/>
        <v>0</v>
      </c>
      <c r="X125" s="38"/>
      <c r="Y125" s="16" t="s">
        <v>24</v>
      </c>
      <c r="Z125" s="87">
        <f>SUM(Z118:Z124)</f>
        <v>0</v>
      </c>
      <c r="AA125" s="87">
        <f>SUM(AA118:AA124)</f>
        <v>0</v>
      </c>
      <c r="AB125" s="87">
        <f>SUM(AB118:AB124)</f>
        <v>0</v>
      </c>
      <c r="AC125" s="18">
        <f t="shared" si="9"/>
        <v>0</v>
      </c>
      <c r="AD125" s="38"/>
    </row>
    <row r="126" spans="1:30" ht="14">
      <c r="A126" s="8"/>
      <c r="B126" s="8"/>
      <c r="C126" s="8"/>
      <c r="D126" s="8"/>
      <c r="E126" s="8" t="str">
        <f>IF(C126 &gt; 0, C126/B126, "")</f>
        <v/>
      </c>
      <c r="F126" s="38"/>
      <c r="G126" s="8"/>
      <c r="H126" s="8"/>
      <c r="I126" s="8"/>
      <c r="J126" s="8"/>
      <c r="K126" s="8" t="str">
        <f>IF(I126 &gt; 0, I126/H126, "")</f>
        <v/>
      </c>
      <c r="L126" s="38"/>
      <c r="M126" s="8"/>
      <c r="N126" s="8"/>
      <c r="O126" s="8"/>
      <c r="P126" s="8"/>
      <c r="Q126" s="8" t="str">
        <f>IF(O126 &gt; 0, O126/N126, "")</f>
        <v/>
      </c>
      <c r="R126" s="38"/>
      <c r="S126" s="8"/>
      <c r="T126" s="8"/>
      <c r="U126" s="8"/>
      <c r="V126" s="8"/>
      <c r="W126" s="8" t="str">
        <f>IF(U126 &gt; 0, U126/T126, "")</f>
        <v/>
      </c>
      <c r="X126" s="38"/>
      <c r="Y126" s="8"/>
      <c r="Z126" s="8"/>
      <c r="AA126" s="8"/>
      <c r="AB126" s="8"/>
      <c r="AC126" s="8" t="str">
        <f>IF(AA126 &gt; 0, AA126/Z126, "")</f>
        <v/>
      </c>
      <c r="AD126" s="38"/>
    </row>
    <row r="127" spans="1:30" ht="14">
      <c r="A127" s="88" t="s">
        <v>65</v>
      </c>
      <c r="B127" s="20">
        <f>SUM(B75,B6)</f>
        <v>68052.144004000002</v>
      </c>
      <c r="C127" s="20">
        <f>SUM(C75,C6)</f>
        <v>0</v>
      </c>
      <c r="D127" s="20">
        <f>SUM(D75,D6)</f>
        <v>0</v>
      </c>
      <c r="E127" s="8">
        <f>IF(C127 &gt; 0, C127/B127, 0)</f>
        <v>0</v>
      </c>
      <c r="F127" s="38"/>
      <c r="G127" s="88" t="s">
        <v>65</v>
      </c>
      <c r="H127" s="20">
        <f>SUM(H75,H6)</f>
        <v>50940.146351999996</v>
      </c>
      <c r="I127" s="20">
        <f>SUM(I75,I6)</f>
        <v>0</v>
      </c>
      <c r="J127" s="20">
        <f>SUM(J75,J6)</f>
        <v>0</v>
      </c>
      <c r="K127" s="8">
        <f>IF(I127 &gt; 0, I127/H127, 0)</f>
        <v>0</v>
      </c>
      <c r="L127" s="38"/>
      <c r="M127" s="88" t="s">
        <v>65</v>
      </c>
      <c r="N127" s="20">
        <f>SUM(N75,N6)</f>
        <v>0</v>
      </c>
      <c r="O127" s="20">
        <f>SUM(O75,O6)</f>
        <v>0</v>
      </c>
      <c r="P127" s="20">
        <f>SUM(P75,P6)</f>
        <v>0</v>
      </c>
      <c r="Q127" s="8">
        <f>IF(O127 &gt; 0, O127/N127, 0)</f>
        <v>0</v>
      </c>
      <c r="R127" s="38"/>
      <c r="S127" s="88" t="s">
        <v>65</v>
      </c>
      <c r="T127" s="20">
        <f>SUM(T75,T6)</f>
        <v>0</v>
      </c>
      <c r="U127" s="20">
        <f>SUM(U75,U6)</f>
        <v>0</v>
      </c>
      <c r="V127" s="20">
        <f>SUM(V75,V6)</f>
        <v>0</v>
      </c>
      <c r="W127" s="8">
        <f>IF(U127 &gt; 0, U127/T127, 0)</f>
        <v>0</v>
      </c>
      <c r="X127" s="38"/>
      <c r="Y127" s="88" t="s">
        <v>65</v>
      </c>
      <c r="Z127" s="20">
        <f>SUM(Z75,Z6)</f>
        <v>0</v>
      </c>
      <c r="AA127" s="20">
        <f>SUM(AA75,AA6)</f>
        <v>0</v>
      </c>
      <c r="AB127" s="20">
        <f>SUM(AB75,AB6)</f>
        <v>0</v>
      </c>
      <c r="AC127" s="8">
        <f>IF(AA127 &gt; 0, AA127/Z127, 0)</f>
        <v>0</v>
      </c>
      <c r="AD127" s="38"/>
    </row>
    <row r="128" spans="1:30" ht="14">
      <c r="A128" s="88" t="s">
        <v>25</v>
      </c>
      <c r="B128" s="20">
        <f>B54</f>
        <v>14772.690855000001</v>
      </c>
      <c r="C128" s="20">
        <f>C54</f>
        <v>0</v>
      </c>
      <c r="D128" s="20">
        <f>D54</f>
        <v>0</v>
      </c>
      <c r="E128" s="8">
        <f>IF(C128 &gt; 0, C128/B128, 0)</f>
        <v>0</v>
      </c>
      <c r="F128" s="38"/>
      <c r="G128" s="88" t="s">
        <v>25</v>
      </c>
      <c r="H128" s="20">
        <f>H54</f>
        <v>18735.534674999999</v>
      </c>
      <c r="I128" s="20">
        <f>I54</f>
        <v>0</v>
      </c>
      <c r="J128" s="20">
        <f>J54</f>
        <v>0</v>
      </c>
      <c r="K128" s="8">
        <f>IF(I128 &gt; 0, I128/H128, 0)</f>
        <v>0</v>
      </c>
      <c r="L128" s="38"/>
      <c r="M128" s="88" t="s">
        <v>25</v>
      </c>
      <c r="N128" s="20">
        <f>N54</f>
        <v>0</v>
      </c>
      <c r="O128" s="20">
        <f>O54</f>
        <v>0</v>
      </c>
      <c r="P128" s="20">
        <f>P54</f>
        <v>0</v>
      </c>
      <c r="Q128" s="8">
        <f>IF(O128 &gt; 0, O128/N128, 0)</f>
        <v>0</v>
      </c>
      <c r="R128" s="38"/>
      <c r="S128" s="88" t="s">
        <v>25</v>
      </c>
      <c r="T128" s="20">
        <f>T54</f>
        <v>0</v>
      </c>
      <c r="U128" s="20">
        <f>U54</f>
        <v>0</v>
      </c>
      <c r="V128" s="20">
        <f>V54</f>
        <v>0</v>
      </c>
      <c r="W128" s="8">
        <f>IF(U128 &gt; 0, U128/T128, 0)</f>
        <v>0</v>
      </c>
      <c r="X128" s="38"/>
      <c r="Y128" s="88" t="s">
        <v>25</v>
      </c>
      <c r="Z128" s="20">
        <f>Z54</f>
        <v>0</v>
      </c>
      <c r="AA128" s="20">
        <f>AA54</f>
        <v>0</v>
      </c>
      <c r="AB128" s="20">
        <f>AB54</f>
        <v>0</v>
      </c>
      <c r="AC128" s="8">
        <f>IF(AA128 &gt; 0, AA128/Z128, 0)</f>
        <v>0</v>
      </c>
      <c r="AD128" s="38"/>
    </row>
    <row r="129" spans="1:30" ht="14">
      <c r="A129" s="88" t="s">
        <v>96</v>
      </c>
      <c r="B129" s="20">
        <f>SUM(B83,B82,B80,B76,B46,B44,B32,B34,B25,B26,B27,B17,B4,B15,B33,B110,B13)</f>
        <v>35339.03</v>
      </c>
      <c r="C129" s="20">
        <f>SUM(C83,C82,C80,C76,C46,C44,C32,C34,C25,C26,C27,C17,C4,C15,C33,C110)</f>
        <v>0</v>
      </c>
      <c r="D129" s="20">
        <f>SUM(D83,D82,D80,D76,D46,D44,D32,D34,D25,D26,D27,D17,D4,D15,D33,D110)</f>
        <v>0</v>
      </c>
      <c r="E129" s="8"/>
      <c r="F129" s="38"/>
      <c r="G129" s="88" t="s">
        <v>96</v>
      </c>
      <c r="H129" s="20">
        <f>SUM(H83,H82,H80,H76,H46,H44,H32,H34,H25,H26,H27,H17,H4,H15,H33,H110,H13)</f>
        <v>18190.460000000003</v>
      </c>
      <c r="I129" s="20">
        <f>SUM(I83,I82,I80,I76,I46,I44,I32,I34,I25,I26,I27,I17,I4,I15,I33,I110)</f>
        <v>0</v>
      </c>
      <c r="J129" s="20">
        <f>SUM(J83,J82,J80,J76,J46,J44,J32,J34,J25,J26,J27,J17,J4,J15,J33,J110)</f>
        <v>0</v>
      </c>
      <c r="K129" s="8"/>
      <c r="L129" s="38"/>
      <c r="M129" s="88" t="s">
        <v>96</v>
      </c>
      <c r="N129" s="20">
        <f>SUM(N83,N82,N80,N76,N46,N44,N32,N34,N25,N26,N27,N17,N4,N15,N33,N110,N13)</f>
        <v>0</v>
      </c>
      <c r="O129" s="20">
        <f>SUM(O83,O82,O80,O76,O46,O44,O32,O34,O25,O26,O27,O17,O4,O15,O33,O110)</f>
        <v>0</v>
      </c>
      <c r="P129" s="20">
        <f>SUM(P83,P82,P80,P76,P46,P44,P32,P34,P25,P26,P27,P17,P4,P15,P33,P110)</f>
        <v>0</v>
      </c>
      <c r="Q129" s="8"/>
      <c r="R129" s="38"/>
      <c r="S129" s="88" t="s">
        <v>96</v>
      </c>
      <c r="T129" s="20">
        <f>SUM(T83,T82,T80,T76,T46,T44,T32,T34,T25,T26,T27,T17,T4,T15,T33,T110,T13)</f>
        <v>0</v>
      </c>
      <c r="U129" s="20">
        <f>SUM(U83,U82,U80,U76,U46,U44,U32,U34,U25,U26,U27,U17,U4,U15,U33,U110)</f>
        <v>0</v>
      </c>
      <c r="V129" s="20">
        <f>SUM(V83,V82,V80,V76,V46,V44,V32,V34,V25,V26,V27,V17,V4,V15,V33,V110)</f>
        <v>0</v>
      </c>
      <c r="W129" s="8"/>
      <c r="X129" s="38"/>
      <c r="Y129" s="88" t="s">
        <v>96</v>
      </c>
      <c r="Z129" s="20">
        <f>SUM(Z83,Z82,Z80,Z76,Z46,Z44,Z32,Z34,Z25,Z26,Z27,Z17,Z4,Z15,Z33,Z110,Z13)</f>
        <v>0</v>
      </c>
      <c r="AA129" s="20">
        <f>SUM(AA83,AA82,AA80,AA76,AA46,AA44,AA32,AA34,AA25,AA26,AA27,AA17,AA4,AA15,AA33,AA110)</f>
        <v>0</v>
      </c>
      <c r="AB129" s="20">
        <f>SUM(AB83,AB82,AB80,AB76,AB46,AB44,AB32,AB34,AB25,AB26,AB27,AB17,AB4,AB15,AB33,AB110)</f>
        <v>0</v>
      </c>
      <c r="AC129" s="8"/>
      <c r="AD129" s="38"/>
    </row>
    <row r="130" spans="1:30" ht="14">
      <c r="A130" s="88" t="s">
        <v>99</v>
      </c>
      <c r="B130" s="20">
        <f>SUM(B18,B21,B47,B62,B63,B69,B84,B90,B99,B101,B111,B95,B58)</f>
        <v>4884.7150629999987</v>
      </c>
      <c r="C130" s="20">
        <f>SUM(C18,C21,C47,C62,C63,C69,C84,C90,C99,C101,C111,C95,C58)</f>
        <v>0</v>
      </c>
      <c r="D130" s="20">
        <f>SUM(D18,D21,D47,D62,D63,D69,D84,D90,D99,D101,D111,D95,D58)</f>
        <v>0</v>
      </c>
      <c r="E130" s="8"/>
      <c r="F130" s="38"/>
      <c r="G130" s="88" t="s">
        <v>99</v>
      </c>
      <c r="H130" s="20">
        <f>SUM(H18,H21,H47,H62,H63,H69,H84,H90,H99,H101,H111,H95,H58)</f>
        <v>5418.7716899999996</v>
      </c>
      <c r="I130" s="20">
        <f>SUM(I18,I21,I47,I62,I63,I69,I84,I90,I99,I101,I111,I95,I58)</f>
        <v>0</v>
      </c>
      <c r="J130" s="20">
        <f>SUM(J18,J21,J47,J62,J63,J69,J84,J90,J99,J101,J111,J95,J58)</f>
        <v>0</v>
      </c>
      <c r="K130" s="8"/>
      <c r="L130" s="38"/>
      <c r="M130" s="88" t="s">
        <v>99</v>
      </c>
      <c r="N130" s="20">
        <f>SUM(N18,N21,N47,N62,N63,N69,N84,N90,N99,N101,N111,N95,N58)</f>
        <v>0</v>
      </c>
      <c r="O130" s="20">
        <f>SUM(O18,O21,O47,O62,O63,O69,O84,O90,O99,O101,O111,O95,O58)</f>
        <v>0</v>
      </c>
      <c r="P130" s="20">
        <f>SUM(P18,P21,P47,P62,P63,P69,P84,P90,P99,P101,P111,P95,P58)</f>
        <v>0</v>
      </c>
      <c r="Q130" s="8"/>
      <c r="R130" s="38"/>
      <c r="S130" s="88" t="s">
        <v>99</v>
      </c>
      <c r="T130" s="20">
        <f>SUM(T18,T21,T47,T62,T63,T69,T84,T90,T99,T101,T111,T95,T58)</f>
        <v>0</v>
      </c>
      <c r="U130" s="20">
        <f>SUM(U18,U21,U47,U62,U63,U69,U84,U90,U99,U101,U111,U95,U58)</f>
        <v>0</v>
      </c>
      <c r="V130" s="20">
        <f>SUM(V18,V21,V47,V62,V63,V69,V84,V90,V99,V101,V111,V95,V58)</f>
        <v>0</v>
      </c>
      <c r="W130" s="8"/>
      <c r="X130" s="38"/>
      <c r="Y130" s="88" t="s">
        <v>99</v>
      </c>
      <c r="Z130" s="20">
        <f>SUM(Z18,Z21,Z47,Z62,Z63,Z69,Z84,Z90,Z99,Z101,Z111,Z95,Z58)</f>
        <v>0</v>
      </c>
      <c r="AA130" s="20">
        <f>SUM(AA18,AA21,AA47,AA62,AA63,AA69,AA84,AA90,AA99,AA101,AA111,AA95,AA58)</f>
        <v>0</v>
      </c>
      <c r="AB130" s="20">
        <f>SUM(AB18,AB21,AB47,AB62,AB63,AB69,AB84,AB90,AB99,AB101,AB111,AB95,AB58)</f>
        <v>0</v>
      </c>
      <c r="AC130" s="8"/>
      <c r="AD130" s="38"/>
    </row>
    <row r="131" spans="1:30" ht="14">
      <c r="A131" s="88" t="s">
        <v>200</v>
      </c>
      <c r="B131" s="20">
        <f>B112+B113+B109+B106+B105+B104+B102+B100+B96+B89+B81+B77+B78+B71+B72+B73+B67+B68+B65+B55+B56+B57+B52+B50+B49+B45+B43+B41+B39+B36+B31+B24+B23+B20+B16+B14+B11+B10+B9+B8+B5+B3+B2+B93+B70</f>
        <v>4498.7183800000003</v>
      </c>
      <c r="C131" s="20" t="e">
        <f>C112+C113+C109+C106+C105+C104+C102+C100+C96+C89+C81+C77+C78+C71+C72+C73+C67+C68+C65+C55+C56+C57+C52+C50+C49+C45+C43+C41+C39+C36+C31+C24+C23+C20+C16+C14+C11+C10+C9+C8+C5+C3+#REF!+C93+C13+C70</f>
        <v>#REF!</v>
      </c>
      <c r="D131" s="20">
        <f t="shared" ref="D131" si="10">D112+D113+D109+D106+D105+D104+D102+D100+D96+D89+D81+D77+D78+D71+D72+D73+D67+D68+D65+D55+D56+D57+D52+D50+D49+D45+D43+D41+D39+D36+D31+D24+D23+D20+D16+D14+D11+D10+D9+D8+D5+D3+D2+D93+D13+D70</f>
        <v>0</v>
      </c>
      <c r="E131" s="8"/>
      <c r="F131" s="38"/>
      <c r="G131" s="88" t="s">
        <v>200</v>
      </c>
      <c r="H131" s="20">
        <f>H112+H113+H109+H106+H105+H104+H102+H100+H96+H89+H81+H77+H78+H71+H72+H73+H67+H68+H65+H55+H56+H57+H52+H50+H49+H45+H43+H41+H39+H36+H31+H24+H23+H20+H16+H14+H11+H10+H9+H8+H5+H3+H2+H93+H70</f>
        <v>10659.372379999999</v>
      </c>
      <c r="I131" s="20">
        <f t="shared" ref="I131:J131" si="11">I112+I113+I109+I106+I105+I104+I102+I100+I96+I89+I81+I77+I78+I71+I72+I73+I67+I68+I65+I55+I56+I57+I52+I50+I49+I45+I43+I41+I39+I36+I31+I24+I23+I20+I16+I14+I11+I10+I9+I8+I5+I3+I2+I93+I13+I70</f>
        <v>0</v>
      </c>
      <c r="J131" s="20">
        <f t="shared" si="11"/>
        <v>0</v>
      </c>
      <c r="K131" s="8"/>
      <c r="L131" s="38"/>
      <c r="M131" s="88" t="s">
        <v>200</v>
      </c>
      <c r="N131" s="20">
        <f>N112+N113+N109+N106+N105+N104+N102+N100+N96+N89+N81+N77+N78+N71+N72+N73+N67+N68+N65+N55+N56+N57+N52+N50+N49+N45+N43+N41+N39+N36+N31+N24+N23+N20+N16+N14+N11+N10+N9+N8+N5+N3+N2+N93+N70</f>
        <v>0</v>
      </c>
      <c r="O131" s="20">
        <f t="shared" ref="O131:P131" si="12">O112+O113+O109+O106+O105+O104+O102+O100+O96+O89+O81+O77+O78+O71+O72+O73+O67+O68+O65+O55+O56+O57+O52+O50+O49+O45+O43+O41+O39+O36+O31+O24+O23+O20+O16+O14+O11+O10+O9+O8+O5+O3+O2+O93+O13+O70</f>
        <v>0</v>
      </c>
      <c r="P131" s="20">
        <f t="shared" si="12"/>
        <v>0</v>
      </c>
      <c r="Q131" s="8"/>
      <c r="R131" s="38"/>
      <c r="S131" s="88" t="s">
        <v>200</v>
      </c>
      <c r="T131" s="20">
        <f>T112+T113+T109+T106+T105+T104+T102+T100+T96+T89+T81+T77+T78+T71+T72+T73+T67+T68+T65+T55+T56+T57+T52+T50+T49+T45+T43+T41+T39+T36+T31+T24+T23+T20+T16+T14+T11+T10+T9+T8+T5+T3+T2+T93+T70</f>
        <v>0</v>
      </c>
      <c r="U131" s="20">
        <f t="shared" ref="U131:V131" si="13">U112+U113+U109+U106+U105+U104+U102+U100+U96+U89+U81+U77+U78+U71+U72+U73+U67+U68+U65+U55+U56+U57+U52+U50+U49+U45+U43+U41+U39+U36+U31+U24+U23+U20+U16+U14+U11+U10+U9+U8+U5+U3+U2+U93+U13+U70</f>
        <v>0</v>
      </c>
      <c r="V131" s="20">
        <f t="shared" si="13"/>
        <v>0</v>
      </c>
      <c r="W131" s="8"/>
      <c r="X131" s="38"/>
      <c r="Y131" s="88" t="s">
        <v>200</v>
      </c>
      <c r="Z131" s="20">
        <f>Z112+Z113+Z109+Z106+Z105+Z104+Z102+Z100+Z96+Z89+Z81+Z77+Z78+Z71+Z72+Z73+Z67+Z68+Z65+Z55+Z56+Z57+Z52+Z50+Z49+Z45+Z43+Z41+Z39+Z36+Z31+Z24+Z23+Z20+Z16+Z14+Z11+Z10+Z9+Z8+Z5+Z3+Z2+Z93+Z70</f>
        <v>0</v>
      </c>
      <c r="AA131" s="20">
        <f t="shared" ref="AA131:AB131" si="14">AA112+AA113+AA109+AA106+AA105+AA104+AA102+AA100+AA96+AA89+AA81+AA77+AA78+AA71+AA72+AA73+AA67+AA68+AA65+AA55+AA56+AA57+AA52+AA50+AA49+AA45+AA43+AA41+AA39+AA36+AA31+AA24+AA23+AA20+AA16+AA14+AA11+AA10+AA9+AA8+AA5+AA3+AA2+AA93+AA13+AA70</f>
        <v>0</v>
      </c>
      <c r="AB131" s="20">
        <f t="shared" si="14"/>
        <v>0</v>
      </c>
      <c r="AC131" s="8"/>
      <c r="AD131" s="38"/>
    </row>
    <row r="132" spans="1:30" ht="14">
      <c r="A132" s="26" t="s">
        <v>180</v>
      </c>
      <c r="B132" s="20">
        <f>B88</f>
        <v>3869.5932550000002</v>
      </c>
      <c r="C132" s="20">
        <f t="shared" ref="C132:D132" si="15">C88</f>
        <v>0</v>
      </c>
      <c r="D132" s="20">
        <f t="shared" si="15"/>
        <v>0</v>
      </c>
      <c r="E132" s="8"/>
      <c r="F132" s="38"/>
      <c r="G132" s="26" t="s">
        <v>180</v>
      </c>
      <c r="H132" s="20">
        <f t="shared" ref="H132:J132" si="16">H88</f>
        <v>23079.725222000001</v>
      </c>
      <c r="I132" s="20">
        <f t="shared" si="16"/>
        <v>0</v>
      </c>
      <c r="J132" s="20">
        <f t="shared" si="16"/>
        <v>0</v>
      </c>
      <c r="K132" s="8"/>
      <c r="L132" s="38"/>
      <c r="M132" s="26" t="s">
        <v>180</v>
      </c>
      <c r="N132" s="20">
        <f t="shared" ref="N132:P132" si="17">N88</f>
        <v>0</v>
      </c>
      <c r="O132" s="20">
        <f t="shared" si="17"/>
        <v>0</v>
      </c>
      <c r="P132" s="20">
        <f t="shared" si="17"/>
        <v>0</v>
      </c>
      <c r="Q132" s="8"/>
      <c r="R132" s="38"/>
      <c r="S132" s="26" t="s">
        <v>180</v>
      </c>
      <c r="T132" s="20">
        <f t="shared" ref="T132:V132" si="18">T88</f>
        <v>0</v>
      </c>
      <c r="U132" s="20">
        <f t="shared" si="18"/>
        <v>0</v>
      </c>
      <c r="V132" s="20">
        <f t="shared" si="18"/>
        <v>0</v>
      </c>
      <c r="W132" s="8"/>
      <c r="X132" s="38"/>
      <c r="Y132" s="26" t="s">
        <v>180</v>
      </c>
      <c r="Z132" s="20">
        <f t="shared" ref="Z132:AB132" si="19">Z88</f>
        <v>0</v>
      </c>
      <c r="AA132" s="20">
        <f t="shared" si="19"/>
        <v>0</v>
      </c>
      <c r="AB132" s="20">
        <f t="shared" si="19"/>
        <v>0</v>
      </c>
      <c r="AC132" s="8"/>
      <c r="AD132" s="38"/>
    </row>
    <row r="133" spans="1:30" ht="14">
      <c r="A133" s="26" t="s">
        <v>190</v>
      </c>
      <c r="B133" s="20">
        <f>B103</f>
        <v>875.165707</v>
      </c>
      <c r="C133" s="20">
        <f t="shared" ref="C133:D133" si="20">C103</f>
        <v>0</v>
      </c>
      <c r="D133" s="20">
        <f t="shared" si="20"/>
        <v>0</v>
      </c>
      <c r="E133" s="8"/>
      <c r="F133" s="38"/>
      <c r="G133" s="26" t="s">
        <v>190</v>
      </c>
      <c r="H133" s="20">
        <f t="shared" ref="H133:J133" si="21">H103</f>
        <v>8589.9061349999993</v>
      </c>
      <c r="I133" s="20">
        <f t="shared" si="21"/>
        <v>0</v>
      </c>
      <c r="J133" s="20">
        <f t="shared" si="21"/>
        <v>0</v>
      </c>
      <c r="K133" s="8"/>
      <c r="L133" s="38"/>
      <c r="M133" s="26" t="s">
        <v>190</v>
      </c>
      <c r="N133" s="20">
        <f t="shared" ref="N133:P133" si="22">N103</f>
        <v>0</v>
      </c>
      <c r="O133" s="20">
        <f t="shared" si="22"/>
        <v>0</v>
      </c>
      <c r="P133" s="20">
        <f t="shared" si="22"/>
        <v>0</v>
      </c>
      <c r="Q133" s="8"/>
      <c r="R133" s="38"/>
      <c r="S133" s="26" t="s">
        <v>190</v>
      </c>
      <c r="T133" s="20">
        <f t="shared" ref="T133:V133" si="23">T103</f>
        <v>0</v>
      </c>
      <c r="U133" s="20">
        <f t="shared" si="23"/>
        <v>0</v>
      </c>
      <c r="V133" s="20">
        <f t="shared" si="23"/>
        <v>0</v>
      </c>
      <c r="W133" s="8"/>
      <c r="X133" s="38"/>
      <c r="Y133" s="26" t="s">
        <v>190</v>
      </c>
      <c r="Z133" s="20">
        <f t="shared" ref="Z133:AB133" si="24">Z103</f>
        <v>0</v>
      </c>
      <c r="AA133" s="20">
        <f t="shared" si="24"/>
        <v>0</v>
      </c>
      <c r="AB133" s="20">
        <f t="shared" si="24"/>
        <v>0</v>
      </c>
      <c r="AC133" s="8"/>
      <c r="AD133" s="38"/>
    </row>
    <row r="134" spans="1:30" ht="14">
      <c r="A134" s="16" t="s">
        <v>26</v>
      </c>
      <c r="B134" s="87">
        <f>SUM(B127:B131)</f>
        <v>127547.298302</v>
      </c>
      <c r="C134" s="87">
        <f>SUM(C127:C129)</f>
        <v>0</v>
      </c>
      <c r="D134" s="87">
        <f>SUM(D127:D129)</f>
        <v>0</v>
      </c>
      <c r="E134" s="18">
        <f>IF(C134 &gt; 0, C134/B134, 0)</f>
        <v>0</v>
      </c>
      <c r="F134" s="38"/>
      <c r="G134" s="16" t="s">
        <v>26</v>
      </c>
      <c r="H134" s="87">
        <f>SUM(H127:H131)</f>
        <v>103944.285097</v>
      </c>
      <c r="I134" s="87">
        <f>SUM(I127:I129)</f>
        <v>0</v>
      </c>
      <c r="J134" s="87">
        <f>SUM(J127:J129)</f>
        <v>0</v>
      </c>
      <c r="K134" s="18">
        <f>IF(I134 &gt; 0, I134/H134, 0)</f>
        <v>0</v>
      </c>
      <c r="L134" s="38"/>
      <c r="M134" s="16" t="s">
        <v>26</v>
      </c>
      <c r="N134" s="87">
        <f>SUM(N127:N131)</f>
        <v>0</v>
      </c>
      <c r="O134" s="87">
        <f>SUM(O127:O129)</f>
        <v>0</v>
      </c>
      <c r="P134" s="87">
        <f>SUM(P127:P129)</f>
        <v>0</v>
      </c>
      <c r="Q134" s="18">
        <f>IF(O134 &gt; 0, O134/N134, 0)</f>
        <v>0</v>
      </c>
      <c r="R134" s="38"/>
      <c r="S134" s="16" t="s">
        <v>26</v>
      </c>
      <c r="T134" s="87">
        <f>SUM(T127:T131)</f>
        <v>0</v>
      </c>
      <c r="U134" s="87">
        <f>SUM(U127:U129)</f>
        <v>0</v>
      </c>
      <c r="V134" s="87">
        <f>SUM(V127:V129)</f>
        <v>0</v>
      </c>
      <c r="W134" s="18">
        <f>IF(U134 &gt; 0, U134/T134, 0)</f>
        <v>0</v>
      </c>
      <c r="X134" s="38"/>
      <c r="Y134" s="16" t="s">
        <v>26</v>
      </c>
      <c r="Z134" s="87">
        <f>SUM(Z127:Z131)</f>
        <v>0</v>
      </c>
      <c r="AA134" s="87">
        <f>SUM(AA127:AA129)</f>
        <v>0</v>
      </c>
      <c r="AB134" s="87">
        <f>SUM(AB127:AB129)</f>
        <v>0</v>
      </c>
      <c r="AC134" s="18">
        <f>IF(AA134 &gt; 0, AA134/Z134, 0)</f>
        <v>0</v>
      </c>
      <c r="AD134" s="38"/>
    </row>
    <row r="135" spans="1:30" ht="14">
      <c r="A135" s="8"/>
      <c r="B135" s="8"/>
      <c r="C135" s="8"/>
      <c r="D135" s="8"/>
      <c r="E135" s="8" t="str">
        <f>IF(C135 &gt; 0, C135/B135, "")</f>
        <v/>
      </c>
      <c r="F135" s="38"/>
      <c r="G135" s="8"/>
      <c r="H135" s="8"/>
      <c r="I135" s="8"/>
      <c r="J135" s="8"/>
      <c r="K135" s="8" t="str">
        <f>IF(I135 &gt; 0, I135/H135, "")</f>
        <v/>
      </c>
      <c r="L135" s="38"/>
      <c r="M135" s="8"/>
      <c r="N135" s="8"/>
      <c r="O135" s="8"/>
      <c r="P135" s="8"/>
      <c r="Q135" s="8" t="str">
        <f>IF(O135 &gt; 0, O135/N135, "")</f>
        <v/>
      </c>
      <c r="R135" s="38"/>
      <c r="S135" s="8"/>
      <c r="T135" s="8"/>
      <c r="U135" s="8"/>
      <c r="V135" s="8"/>
      <c r="W135" s="8" t="str">
        <f>IF(U135 &gt; 0, U135/T135, "")</f>
        <v/>
      </c>
      <c r="X135" s="38"/>
      <c r="Y135" s="8"/>
      <c r="Z135" s="8"/>
      <c r="AA135" s="8"/>
      <c r="AB135" s="8"/>
      <c r="AC135" s="8" t="str">
        <f>IF(AA135 &gt; 0, AA135/Z135, "")</f>
        <v/>
      </c>
      <c r="AD135" s="38"/>
    </row>
    <row r="136" spans="1:30" ht="14">
      <c r="A136" s="21" t="s">
        <v>27</v>
      </c>
      <c r="B136" s="90">
        <f>B116+B125+B134</f>
        <v>649922.58321199997</v>
      </c>
      <c r="C136" s="90">
        <f>C116+C125+C134</f>
        <v>0</v>
      </c>
      <c r="D136" s="90">
        <f>D116+D125+D134</f>
        <v>0</v>
      </c>
      <c r="E136" s="23">
        <f>IF(C136 &gt; 0, C136/B136, 0)</f>
        <v>0</v>
      </c>
      <c r="F136" s="38"/>
      <c r="G136" s="21" t="s">
        <v>28</v>
      </c>
      <c r="H136" s="90">
        <f>H116+H125+H134</f>
        <v>781645.84817399993</v>
      </c>
      <c r="I136" s="90">
        <f>I116+I125+I134</f>
        <v>0</v>
      </c>
      <c r="J136" s="90">
        <f>J116+J125+J134</f>
        <v>0</v>
      </c>
      <c r="K136" s="23">
        <f>IF(I136 &gt; 0, I136/H136, 0)</f>
        <v>0</v>
      </c>
      <c r="L136" s="38"/>
      <c r="M136" s="21" t="s">
        <v>29</v>
      </c>
      <c r="N136" s="90">
        <f>N116+N125+N134</f>
        <v>0</v>
      </c>
      <c r="O136" s="90">
        <f>O116+O125+O134</f>
        <v>0</v>
      </c>
      <c r="P136" s="90">
        <f>P116+P125+P134</f>
        <v>0</v>
      </c>
      <c r="Q136" s="24">
        <f>IF(O136 &gt; 0, O136/N136, 0)</f>
        <v>0</v>
      </c>
      <c r="R136" s="38"/>
      <c r="S136" s="21" t="s">
        <v>30</v>
      </c>
      <c r="T136" s="90">
        <f>T116+T125+T134</f>
        <v>0</v>
      </c>
      <c r="U136" s="90">
        <f>U116+U125+U134</f>
        <v>0</v>
      </c>
      <c r="V136" s="90">
        <f>V116+V125+V134</f>
        <v>0</v>
      </c>
      <c r="W136" s="23">
        <f>IF(U136 &gt; 0, U136/T136, 0)</f>
        <v>0</v>
      </c>
      <c r="X136" s="38"/>
      <c r="Y136" s="21" t="s">
        <v>31</v>
      </c>
      <c r="Z136" s="90">
        <f>Z116+Z125+Z134</f>
        <v>0</v>
      </c>
      <c r="AA136" s="90">
        <f>AA116+AA125+AA134</f>
        <v>0</v>
      </c>
      <c r="AB136" s="90">
        <f>AB116+AB125+AB134</f>
        <v>0</v>
      </c>
      <c r="AC136" s="23">
        <f>IF(AA136 &gt; 0, AA136/Z136, 0)</f>
        <v>0</v>
      </c>
      <c r="AD136" s="38"/>
    </row>
    <row r="138" spans="1:30" ht="14">
      <c r="A138" s="82" t="s">
        <v>124</v>
      </c>
      <c r="B138" s="42">
        <f>B2</f>
        <v>0</v>
      </c>
      <c r="G138" s="82" t="s">
        <v>124</v>
      </c>
      <c r="H138" s="42">
        <f>H2</f>
        <v>0</v>
      </c>
      <c r="M138" s="82" t="s">
        <v>124</v>
      </c>
      <c r="N138" s="42">
        <f>N2</f>
        <v>0</v>
      </c>
      <c r="S138" s="82" t="s">
        <v>124</v>
      </c>
      <c r="T138" s="42">
        <f>T2</f>
        <v>0</v>
      </c>
      <c r="Y138" s="82" t="s">
        <v>124</v>
      </c>
      <c r="Z138" s="42">
        <f>Z2</f>
        <v>0</v>
      </c>
    </row>
    <row r="139" spans="1:30" ht="14">
      <c r="A139" s="56" t="s">
        <v>125</v>
      </c>
      <c r="B139" s="42">
        <f t="shared" ref="B139:B202" si="25">B3</f>
        <v>6.1</v>
      </c>
      <c r="G139" s="56" t="s">
        <v>125</v>
      </c>
      <c r="H139" s="42">
        <f t="shared" ref="H139:H202" si="26">H3</f>
        <v>1.83</v>
      </c>
      <c r="M139" s="56" t="s">
        <v>125</v>
      </c>
      <c r="N139" s="42">
        <f t="shared" ref="N139:N202" si="27">N3</f>
        <v>0</v>
      </c>
      <c r="S139" s="56" t="s">
        <v>125</v>
      </c>
      <c r="T139" s="42">
        <f t="shared" ref="T139:T202" si="28">T3</f>
        <v>0</v>
      </c>
      <c r="Y139" s="56" t="s">
        <v>125</v>
      </c>
      <c r="Z139" s="42">
        <f t="shared" ref="Z139:Z202" si="29">Z3</f>
        <v>0</v>
      </c>
    </row>
    <row r="140" spans="1:30" ht="14">
      <c r="A140" s="56" t="s">
        <v>126</v>
      </c>
      <c r="B140" s="42">
        <f t="shared" si="25"/>
        <v>370.01</v>
      </c>
      <c r="G140" s="56" t="s">
        <v>126</v>
      </c>
      <c r="H140" s="42">
        <f t="shared" si="26"/>
        <v>1356.15</v>
      </c>
      <c r="M140" s="56" t="s">
        <v>126</v>
      </c>
      <c r="N140" s="42">
        <f t="shared" si="27"/>
        <v>0</v>
      </c>
      <c r="S140" s="56" t="s">
        <v>126</v>
      </c>
      <c r="T140" s="42">
        <f t="shared" si="28"/>
        <v>0</v>
      </c>
      <c r="Y140" s="56" t="s">
        <v>126</v>
      </c>
      <c r="Z140" s="42">
        <f t="shared" si="29"/>
        <v>0</v>
      </c>
    </row>
    <row r="141" spans="1:30" ht="14">
      <c r="A141" s="56" t="s">
        <v>127</v>
      </c>
      <c r="B141" s="42">
        <f t="shared" si="25"/>
        <v>2.0699999999999998</v>
      </c>
      <c r="G141" s="56" t="s">
        <v>127</v>
      </c>
      <c r="H141" s="42">
        <f t="shared" si="26"/>
        <v>11.16</v>
      </c>
      <c r="M141" s="56" t="s">
        <v>127</v>
      </c>
      <c r="N141" s="42">
        <f t="shared" si="27"/>
        <v>0</v>
      </c>
      <c r="S141" s="56" t="s">
        <v>127</v>
      </c>
      <c r="T141" s="42">
        <f t="shared" si="28"/>
        <v>0</v>
      </c>
      <c r="Y141" s="56" t="s">
        <v>127</v>
      </c>
      <c r="Z141" s="42">
        <f t="shared" si="29"/>
        <v>0</v>
      </c>
    </row>
    <row r="142" spans="1:30" ht="14">
      <c r="A142" s="56" t="s">
        <v>33</v>
      </c>
      <c r="B142" s="42">
        <f t="shared" si="25"/>
        <v>64869.512684000001</v>
      </c>
      <c r="G142" s="56" t="s">
        <v>33</v>
      </c>
      <c r="H142" s="42">
        <f t="shared" si="26"/>
        <v>46709.081539999999</v>
      </c>
      <c r="M142" s="56" t="s">
        <v>33</v>
      </c>
      <c r="N142" s="42">
        <f t="shared" si="27"/>
        <v>0</v>
      </c>
      <c r="S142" s="56" t="s">
        <v>33</v>
      </c>
      <c r="T142" s="42">
        <f t="shared" si="28"/>
        <v>0</v>
      </c>
      <c r="Y142" s="56" t="s">
        <v>33</v>
      </c>
      <c r="Z142" s="42">
        <f t="shared" si="29"/>
        <v>0</v>
      </c>
    </row>
    <row r="143" spans="1:30" ht="14">
      <c r="A143" s="56" t="s">
        <v>34</v>
      </c>
      <c r="B143" s="42">
        <f t="shared" si="25"/>
        <v>2353.15236</v>
      </c>
      <c r="G143" s="56" t="s">
        <v>34</v>
      </c>
      <c r="H143" s="42">
        <f t="shared" si="26"/>
        <v>3215.499456</v>
      </c>
      <c r="M143" s="56" t="s">
        <v>34</v>
      </c>
      <c r="N143" s="42">
        <f t="shared" si="27"/>
        <v>0</v>
      </c>
      <c r="S143" s="56" t="s">
        <v>34</v>
      </c>
      <c r="T143" s="42">
        <f t="shared" si="28"/>
        <v>0</v>
      </c>
      <c r="Y143" s="56" t="s">
        <v>34</v>
      </c>
      <c r="Z143" s="42">
        <f t="shared" si="29"/>
        <v>0</v>
      </c>
    </row>
    <row r="144" spans="1:30" ht="14">
      <c r="A144" s="56" t="s">
        <v>128</v>
      </c>
      <c r="B144" s="42">
        <f t="shared" si="25"/>
        <v>32.94</v>
      </c>
      <c r="G144" s="56" t="s">
        <v>128</v>
      </c>
      <c r="H144" s="42">
        <f t="shared" si="26"/>
        <v>113.16</v>
      </c>
      <c r="M144" s="56" t="s">
        <v>128</v>
      </c>
      <c r="N144" s="42">
        <f t="shared" si="27"/>
        <v>0</v>
      </c>
      <c r="S144" s="56" t="s">
        <v>128</v>
      </c>
      <c r="T144" s="42">
        <f t="shared" si="28"/>
        <v>0</v>
      </c>
      <c r="Y144" s="56" t="s">
        <v>128</v>
      </c>
      <c r="Z144" s="42">
        <f t="shared" si="29"/>
        <v>0</v>
      </c>
    </row>
    <row r="145" spans="1:26" ht="14">
      <c r="A145" s="56" t="s">
        <v>129</v>
      </c>
      <c r="B145" s="42">
        <f t="shared" si="25"/>
        <v>5.76</v>
      </c>
      <c r="G145" s="56" t="s">
        <v>129</v>
      </c>
      <c r="H145" s="42">
        <f t="shared" si="26"/>
        <v>21.71</v>
      </c>
      <c r="M145" s="56" t="s">
        <v>129</v>
      </c>
      <c r="N145" s="42">
        <f t="shared" si="27"/>
        <v>0</v>
      </c>
      <c r="S145" s="56" t="s">
        <v>129</v>
      </c>
      <c r="T145" s="42">
        <f t="shared" si="28"/>
        <v>0</v>
      </c>
      <c r="Y145" s="56" t="s">
        <v>129</v>
      </c>
      <c r="Z145" s="42">
        <f t="shared" si="29"/>
        <v>0</v>
      </c>
    </row>
    <row r="146" spans="1:26" ht="14">
      <c r="A146" s="56" t="s">
        <v>130</v>
      </c>
      <c r="B146" s="42">
        <f t="shared" si="25"/>
        <v>5.92</v>
      </c>
      <c r="G146" s="56" t="s">
        <v>130</v>
      </c>
      <c r="H146" s="42">
        <f t="shared" si="26"/>
        <v>14.64</v>
      </c>
      <c r="M146" s="56" t="s">
        <v>130</v>
      </c>
      <c r="N146" s="42">
        <f t="shared" si="27"/>
        <v>0</v>
      </c>
      <c r="S146" s="56" t="s">
        <v>130</v>
      </c>
      <c r="T146" s="42">
        <f t="shared" si="28"/>
        <v>0</v>
      </c>
      <c r="Y146" s="56" t="s">
        <v>130</v>
      </c>
      <c r="Z146" s="42">
        <f t="shared" si="29"/>
        <v>0</v>
      </c>
    </row>
    <row r="147" spans="1:26" ht="14">
      <c r="A147" s="56" t="s">
        <v>131</v>
      </c>
      <c r="B147" s="42">
        <f t="shared" si="25"/>
        <v>5.16</v>
      </c>
      <c r="G147" s="56" t="s">
        <v>131</v>
      </c>
      <c r="H147" s="42">
        <f t="shared" si="26"/>
        <v>60</v>
      </c>
      <c r="M147" s="56" t="s">
        <v>131</v>
      </c>
      <c r="N147" s="42">
        <f t="shared" si="27"/>
        <v>0</v>
      </c>
      <c r="S147" s="56" t="s">
        <v>131</v>
      </c>
      <c r="T147" s="42">
        <f t="shared" si="28"/>
        <v>0</v>
      </c>
      <c r="Y147" s="56" t="s">
        <v>131</v>
      </c>
      <c r="Z147" s="42">
        <f t="shared" si="29"/>
        <v>0</v>
      </c>
    </row>
    <row r="148" spans="1:26" ht="14">
      <c r="A148" s="56" t="s">
        <v>35</v>
      </c>
      <c r="B148" s="42">
        <f t="shared" si="25"/>
        <v>5168.1854640000001</v>
      </c>
      <c r="G148" s="56" t="s">
        <v>35</v>
      </c>
      <c r="H148" s="42">
        <f t="shared" si="26"/>
        <v>4844.6502</v>
      </c>
      <c r="M148" s="56" t="s">
        <v>35</v>
      </c>
      <c r="N148" s="42">
        <f t="shared" si="27"/>
        <v>0</v>
      </c>
      <c r="S148" s="56" t="s">
        <v>35</v>
      </c>
      <c r="T148" s="42">
        <f t="shared" si="28"/>
        <v>0</v>
      </c>
      <c r="Y148" s="56" t="s">
        <v>35</v>
      </c>
      <c r="Z148" s="42">
        <f t="shared" si="29"/>
        <v>0</v>
      </c>
    </row>
    <row r="149" spans="1:26" ht="14">
      <c r="A149" s="56" t="s">
        <v>132</v>
      </c>
      <c r="B149" s="42">
        <f t="shared" si="25"/>
        <v>6.1</v>
      </c>
      <c r="G149" s="56" t="s">
        <v>132</v>
      </c>
      <c r="H149" s="42">
        <f t="shared" si="26"/>
        <v>0.61</v>
      </c>
      <c r="M149" s="56" t="s">
        <v>132</v>
      </c>
      <c r="N149" s="42">
        <f t="shared" si="27"/>
        <v>0</v>
      </c>
      <c r="S149" s="56" t="s">
        <v>132</v>
      </c>
      <c r="T149" s="42">
        <f t="shared" si="28"/>
        <v>0</v>
      </c>
      <c r="Y149" s="56" t="s">
        <v>132</v>
      </c>
      <c r="Z149" s="42">
        <f t="shared" si="29"/>
        <v>0</v>
      </c>
    </row>
    <row r="150" spans="1:26" ht="14">
      <c r="A150" s="56" t="s">
        <v>133</v>
      </c>
      <c r="B150" s="42">
        <f t="shared" si="25"/>
        <v>32.33</v>
      </c>
      <c r="G150" s="56" t="s">
        <v>133</v>
      </c>
      <c r="H150" s="42">
        <f t="shared" si="26"/>
        <v>42.09</v>
      </c>
      <c r="M150" s="56" t="s">
        <v>133</v>
      </c>
      <c r="N150" s="42">
        <f t="shared" si="27"/>
        <v>0</v>
      </c>
      <c r="S150" s="56" t="s">
        <v>133</v>
      </c>
      <c r="T150" s="42">
        <f t="shared" si="28"/>
        <v>0</v>
      </c>
      <c r="Y150" s="56" t="s">
        <v>133</v>
      </c>
      <c r="Z150" s="42">
        <f t="shared" si="29"/>
        <v>0</v>
      </c>
    </row>
    <row r="151" spans="1:26" ht="14">
      <c r="A151" s="56" t="s">
        <v>134</v>
      </c>
      <c r="B151" s="42">
        <f t="shared" si="25"/>
        <v>6.71</v>
      </c>
      <c r="G151" s="56" t="s">
        <v>134</v>
      </c>
      <c r="H151" s="42">
        <f t="shared" si="26"/>
        <v>8.9700000000000006</v>
      </c>
      <c r="M151" s="56" t="s">
        <v>134</v>
      </c>
      <c r="N151" s="42">
        <f t="shared" si="27"/>
        <v>0</v>
      </c>
      <c r="S151" s="56" t="s">
        <v>134</v>
      </c>
      <c r="T151" s="42">
        <f t="shared" si="28"/>
        <v>0</v>
      </c>
      <c r="Y151" s="56" t="s">
        <v>134</v>
      </c>
      <c r="Z151" s="42">
        <f t="shared" si="29"/>
        <v>0</v>
      </c>
    </row>
    <row r="152" spans="1:26" ht="14">
      <c r="A152" s="56" t="s">
        <v>135</v>
      </c>
      <c r="B152" s="42">
        <f t="shared" si="25"/>
        <v>1.22</v>
      </c>
      <c r="G152" s="56" t="s">
        <v>135</v>
      </c>
      <c r="H152" s="42">
        <f t="shared" si="26"/>
        <v>64.23</v>
      </c>
      <c r="M152" s="56" t="s">
        <v>135</v>
      </c>
      <c r="N152" s="42">
        <f t="shared" si="27"/>
        <v>0</v>
      </c>
      <c r="S152" s="56" t="s">
        <v>135</v>
      </c>
      <c r="T152" s="42">
        <f t="shared" si="28"/>
        <v>0</v>
      </c>
      <c r="Y152" s="56" t="s">
        <v>135</v>
      </c>
      <c r="Z152" s="42">
        <f t="shared" si="29"/>
        <v>0</v>
      </c>
    </row>
    <row r="153" spans="1:26" ht="14">
      <c r="A153" s="56" t="s">
        <v>136</v>
      </c>
      <c r="B153" s="42">
        <f t="shared" si="25"/>
        <v>29956.63</v>
      </c>
      <c r="G153" s="56" t="s">
        <v>136</v>
      </c>
      <c r="H153" s="42">
        <f t="shared" si="26"/>
        <v>9513.6</v>
      </c>
      <c r="M153" s="56" t="s">
        <v>136</v>
      </c>
      <c r="N153" s="42">
        <f t="shared" si="27"/>
        <v>0</v>
      </c>
      <c r="S153" s="56" t="s">
        <v>136</v>
      </c>
      <c r="T153" s="42">
        <f t="shared" si="28"/>
        <v>0</v>
      </c>
      <c r="Y153" s="56" t="s">
        <v>136</v>
      </c>
      <c r="Z153" s="42">
        <f t="shared" si="29"/>
        <v>0</v>
      </c>
    </row>
    <row r="154" spans="1:26" ht="14">
      <c r="A154" s="56" t="s">
        <v>137</v>
      </c>
      <c r="B154" s="42">
        <f t="shared" si="25"/>
        <v>35.96</v>
      </c>
      <c r="G154" s="56" t="s">
        <v>137</v>
      </c>
      <c r="H154" s="42">
        <f t="shared" si="26"/>
        <v>16.12</v>
      </c>
      <c r="M154" s="56" t="s">
        <v>137</v>
      </c>
      <c r="N154" s="42">
        <f t="shared" si="27"/>
        <v>0</v>
      </c>
      <c r="S154" s="56" t="s">
        <v>137</v>
      </c>
      <c r="T154" s="42">
        <f t="shared" si="28"/>
        <v>0</v>
      </c>
      <c r="Y154" s="56" t="s">
        <v>137</v>
      </c>
      <c r="Z154" s="42">
        <f t="shared" si="29"/>
        <v>0</v>
      </c>
    </row>
    <row r="155" spans="1:26" ht="14">
      <c r="A155" s="56" t="s">
        <v>62</v>
      </c>
      <c r="B155" s="42">
        <f t="shared" si="25"/>
        <v>23.537279999999999</v>
      </c>
      <c r="G155" s="56" t="s">
        <v>62</v>
      </c>
      <c r="H155" s="42">
        <f t="shared" si="26"/>
        <v>174.82826399999999</v>
      </c>
      <c r="M155" s="56" t="s">
        <v>62</v>
      </c>
      <c r="N155" s="42">
        <f t="shared" si="27"/>
        <v>0</v>
      </c>
      <c r="S155" s="56" t="s">
        <v>62</v>
      </c>
      <c r="T155" s="42">
        <f t="shared" si="28"/>
        <v>0</v>
      </c>
      <c r="Y155" s="56" t="s">
        <v>62</v>
      </c>
      <c r="Z155" s="42">
        <f t="shared" si="29"/>
        <v>0</v>
      </c>
    </row>
    <row r="156" spans="1:26" ht="14">
      <c r="A156" s="56" t="s">
        <v>138</v>
      </c>
      <c r="B156" s="42">
        <f t="shared" si="25"/>
        <v>0</v>
      </c>
      <c r="G156" s="56" t="s">
        <v>138</v>
      </c>
      <c r="H156" s="42">
        <f t="shared" si="26"/>
        <v>10.98</v>
      </c>
      <c r="M156" s="56" t="s">
        <v>138</v>
      </c>
      <c r="N156" s="42">
        <f t="shared" si="27"/>
        <v>0</v>
      </c>
      <c r="S156" s="56" t="s">
        <v>138</v>
      </c>
      <c r="T156" s="42">
        <f t="shared" si="28"/>
        <v>0</v>
      </c>
      <c r="Y156" s="56" t="s">
        <v>138</v>
      </c>
      <c r="Z156" s="42">
        <f t="shared" si="29"/>
        <v>0</v>
      </c>
    </row>
    <row r="157" spans="1:26" ht="14">
      <c r="A157" s="56" t="s">
        <v>139</v>
      </c>
      <c r="B157" s="42">
        <f t="shared" si="25"/>
        <v>0.9</v>
      </c>
      <c r="G157" s="56" t="s">
        <v>139</v>
      </c>
      <c r="H157" s="42">
        <f t="shared" si="26"/>
        <v>5.58</v>
      </c>
      <c r="M157" s="56" t="s">
        <v>139</v>
      </c>
      <c r="N157" s="42">
        <f t="shared" si="27"/>
        <v>0</v>
      </c>
      <c r="S157" s="56" t="s">
        <v>139</v>
      </c>
      <c r="T157" s="42">
        <f t="shared" si="28"/>
        <v>0</v>
      </c>
      <c r="Y157" s="56" t="s">
        <v>139</v>
      </c>
      <c r="Z157" s="42">
        <f t="shared" si="29"/>
        <v>0</v>
      </c>
    </row>
    <row r="158" spans="1:26" ht="14">
      <c r="A158" s="56" t="s">
        <v>36</v>
      </c>
      <c r="B158" s="42">
        <f t="shared" si="25"/>
        <v>41832.423427000002</v>
      </c>
      <c r="G158" s="56" t="s">
        <v>36</v>
      </c>
      <c r="H158" s="42">
        <f t="shared" si="26"/>
        <v>48761.307674999996</v>
      </c>
      <c r="M158" s="56" t="s">
        <v>36</v>
      </c>
      <c r="N158" s="42">
        <f t="shared" si="27"/>
        <v>0</v>
      </c>
      <c r="S158" s="56" t="s">
        <v>36</v>
      </c>
      <c r="T158" s="42">
        <f t="shared" si="28"/>
        <v>0</v>
      </c>
      <c r="Y158" s="56" t="s">
        <v>36</v>
      </c>
      <c r="Z158" s="42">
        <f t="shared" si="29"/>
        <v>0</v>
      </c>
    </row>
    <row r="159" spans="1:26" ht="14">
      <c r="A159" s="56" t="s">
        <v>140</v>
      </c>
      <c r="B159" s="42">
        <f t="shared" si="25"/>
        <v>3.66</v>
      </c>
      <c r="G159" s="56" t="s">
        <v>140</v>
      </c>
      <c r="H159" s="42">
        <f t="shared" si="26"/>
        <v>1.83</v>
      </c>
      <c r="M159" s="56" t="s">
        <v>140</v>
      </c>
      <c r="N159" s="42">
        <f t="shared" si="27"/>
        <v>0</v>
      </c>
      <c r="S159" s="56" t="s">
        <v>140</v>
      </c>
      <c r="T159" s="42">
        <f t="shared" si="28"/>
        <v>0</v>
      </c>
      <c r="Y159" s="56" t="s">
        <v>140</v>
      </c>
      <c r="Z159" s="42">
        <f t="shared" si="29"/>
        <v>0</v>
      </c>
    </row>
    <row r="160" spans="1:26" ht="14">
      <c r="A160" s="56" t="s">
        <v>141</v>
      </c>
      <c r="B160" s="42">
        <f t="shared" si="25"/>
        <v>6.71</v>
      </c>
      <c r="G160" s="56" t="s">
        <v>141</v>
      </c>
      <c r="H160" s="42">
        <f t="shared" si="26"/>
        <v>13.78</v>
      </c>
      <c r="M160" s="56" t="s">
        <v>141</v>
      </c>
      <c r="N160" s="42">
        <f t="shared" si="27"/>
        <v>0</v>
      </c>
      <c r="S160" s="56" t="s">
        <v>141</v>
      </c>
      <c r="T160" s="42">
        <f t="shared" si="28"/>
        <v>0</v>
      </c>
      <c r="Y160" s="56" t="s">
        <v>141</v>
      </c>
      <c r="Z160" s="42">
        <f t="shared" si="29"/>
        <v>0</v>
      </c>
    </row>
    <row r="161" spans="1:26" ht="14">
      <c r="A161" s="56" t="s">
        <v>142</v>
      </c>
      <c r="B161" s="42">
        <f t="shared" si="25"/>
        <v>1229.22</v>
      </c>
      <c r="G161" s="56" t="s">
        <v>142</v>
      </c>
      <c r="H161" s="42">
        <f t="shared" si="26"/>
        <v>2521.09</v>
      </c>
      <c r="M161" s="56" t="s">
        <v>142</v>
      </c>
      <c r="N161" s="42">
        <f t="shared" si="27"/>
        <v>0</v>
      </c>
      <c r="S161" s="56" t="s">
        <v>142</v>
      </c>
      <c r="T161" s="42">
        <f t="shared" si="28"/>
        <v>0</v>
      </c>
      <c r="Y161" s="56" t="s">
        <v>142</v>
      </c>
      <c r="Z161" s="42">
        <f t="shared" si="29"/>
        <v>0</v>
      </c>
    </row>
    <row r="162" spans="1:26" ht="14">
      <c r="A162" s="56" t="s">
        <v>143</v>
      </c>
      <c r="B162" s="42">
        <f t="shared" si="25"/>
        <v>1975.26</v>
      </c>
      <c r="G162" s="56" t="s">
        <v>143</v>
      </c>
      <c r="H162" s="42">
        <f t="shared" si="26"/>
        <v>1841.18</v>
      </c>
      <c r="M162" s="56" t="s">
        <v>143</v>
      </c>
      <c r="N162" s="42">
        <f t="shared" si="27"/>
        <v>0</v>
      </c>
      <c r="S162" s="56" t="s">
        <v>143</v>
      </c>
      <c r="T162" s="42">
        <f t="shared" si="28"/>
        <v>0</v>
      </c>
      <c r="Y162" s="56" t="s">
        <v>143</v>
      </c>
      <c r="Z162" s="42">
        <f t="shared" si="29"/>
        <v>0</v>
      </c>
    </row>
    <row r="163" spans="1:26" ht="14">
      <c r="A163" s="56" t="s">
        <v>144</v>
      </c>
      <c r="B163" s="42">
        <f t="shared" si="25"/>
        <v>277.08</v>
      </c>
      <c r="G163" s="56" t="s">
        <v>144</v>
      </c>
      <c r="H163" s="42">
        <f t="shared" si="26"/>
        <v>473.9</v>
      </c>
      <c r="M163" s="56" t="s">
        <v>144</v>
      </c>
      <c r="N163" s="42">
        <f t="shared" si="27"/>
        <v>0</v>
      </c>
      <c r="S163" s="56" t="s">
        <v>144</v>
      </c>
      <c r="T163" s="42">
        <f t="shared" si="28"/>
        <v>0</v>
      </c>
      <c r="Y163" s="56" t="s">
        <v>144</v>
      </c>
      <c r="Z163" s="42">
        <f t="shared" si="29"/>
        <v>0</v>
      </c>
    </row>
    <row r="164" spans="1:26" ht="14">
      <c r="A164" s="83" t="s">
        <v>61</v>
      </c>
      <c r="B164" s="42">
        <f t="shared" si="25"/>
        <v>70.957223999999997</v>
      </c>
      <c r="G164" s="83" t="s">
        <v>61</v>
      </c>
      <c r="H164" s="42">
        <f t="shared" si="26"/>
        <v>139.381632</v>
      </c>
      <c r="M164" s="83" t="s">
        <v>61</v>
      </c>
      <c r="N164" s="42">
        <f t="shared" si="27"/>
        <v>0</v>
      </c>
      <c r="S164" s="83" t="s">
        <v>61</v>
      </c>
      <c r="T164" s="42">
        <f t="shared" si="28"/>
        <v>0</v>
      </c>
      <c r="Y164" s="83" t="s">
        <v>61</v>
      </c>
      <c r="Z164" s="42">
        <f t="shared" si="29"/>
        <v>0</v>
      </c>
    </row>
    <row r="165" spans="1:26" ht="14">
      <c r="A165" s="56" t="s">
        <v>60</v>
      </c>
      <c r="B165" s="42">
        <f t="shared" si="25"/>
        <v>2318.3837039999999</v>
      </c>
      <c r="G165" s="56" t="s">
        <v>60</v>
      </c>
      <c r="H165" s="42">
        <f t="shared" si="26"/>
        <v>672.75686399999995</v>
      </c>
      <c r="M165" s="56" t="s">
        <v>60</v>
      </c>
      <c r="N165" s="42">
        <f t="shared" si="27"/>
        <v>0</v>
      </c>
      <c r="S165" s="56" t="s">
        <v>60</v>
      </c>
      <c r="T165" s="42">
        <f t="shared" si="28"/>
        <v>0</v>
      </c>
      <c r="Y165" s="56" t="s">
        <v>60</v>
      </c>
      <c r="Z165" s="42">
        <f t="shared" si="29"/>
        <v>0</v>
      </c>
    </row>
    <row r="166" spans="1:26" ht="14">
      <c r="A166" s="56" t="s">
        <v>37</v>
      </c>
      <c r="B166" s="42">
        <f t="shared" si="25"/>
        <v>2221.9192320000002</v>
      </c>
      <c r="G166" s="56" t="s">
        <v>37</v>
      </c>
      <c r="H166" s="42">
        <f t="shared" si="26"/>
        <v>4621.6088879999998</v>
      </c>
      <c r="M166" s="56" t="s">
        <v>37</v>
      </c>
      <c r="N166" s="42">
        <f t="shared" si="27"/>
        <v>0</v>
      </c>
      <c r="S166" s="56" t="s">
        <v>37</v>
      </c>
      <c r="T166" s="42">
        <f t="shared" si="28"/>
        <v>0</v>
      </c>
      <c r="Y166" s="56" t="s">
        <v>37</v>
      </c>
      <c r="Z166" s="42">
        <f t="shared" si="29"/>
        <v>0</v>
      </c>
    </row>
    <row r="167" spans="1:26" ht="14">
      <c r="A167" s="56" t="s">
        <v>145</v>
      </c>
      <c r="B167" s="42">
        <f t="shared" si="25"/>
        <v>6.71</v>
      </c>
      <c r="G167" s="56" t="s">
        <v>145</v>
      </c>
      <c r="H167" s="42">
        <f t="shared" si="26"/>
        <v>0.61</v>
      </c>
      <c r="M167" s="56" t="s">
        <v>145</v>
      </c>
      <c r="N167" s="42">
        <f t="shared" si="27"/>
        <v>0</v>
      </c>
      <c r="S167" s="56" t="s">
        <v>145</v>
      </c>
      <c r="T167" s="42">
        <f t="shared" si="28"/>
        <v>0</v>
      </c>
      <c r="Y167" s="56" t="s">
        <v>145</v>
      </c>
      <c r="Z167" s="42">
        <f t="shared" si="29"/>
        <v>0</v>
      </c>
    </row>
    <row r="168" spans="1:26" ht="14">
      <c r="A168" s="56" t="s">
        <v>146</v>
      </c>
      <c r="B168" s="42">
        <f t="shared" si="25"/>
        <v>184.3</v>
      </c>
      <c r="G168" s="56" t="s">
        <v>146</v>
      </c>
      <c r="H168" s="42">
        <f t="shared" si="26"/>
        <v>166.28</v>
      </c>
      <c r="M168" s="56" t="s">
        <v>146</v>
      </c>
      <c r="N168" s="42">
        <f t="shared" si="27"/>
        <v>0</v>
      </c>
      <c r="S168" s="56" t="s">
        <v>146</v>
      </c>
      <c r="T168" s="42">
        <f t="shared" si="28"/>
        <v>0</v>
      </c>
      <c r="Y168" s="56" t="s">
        <v>146</v>
      </c>
      <c r="Z168" s="42">
        <f t="shared" si="29"/>
        <v>0</v>
      </c>
    </row>
    <row r="169" spans="1:26" ht="14">
      <c r="A169" s="83" t="s">
        <v>147</v>
      </c>
      <c r="B169" s="42">
        <f t="shared" si="25"/>
        <v>399.27</v>
      </c>
      <c r="G169" s="83" t="s">
        <v>147</v>
      </c>
      <c r="H169" s="42">
        <f t="shared" si="26"/>
        <v>459.01</v>
      </c>
      <c r="M169" s="83" t="s">
        <v>147</v>
      </c>
      <c r="N169" s="42">
        <f t="shared" si="27"/>
        <v>0</v>
      </c>
      <c r="S169" s="83" t="s">
        <v>147</v>
      </c>
      <c r="T169" s="42">
        <f t="shared" si="28"/>
        <v>0</v>
      </c>
      <c r="Y169" s="83" t="s">
        <v>147</v>
      </c>
      <c r="Z169" s="42">
        <f t="shared" si="29"/>
        <v>0</v>
      </c>
    </row>
    <row r="170" spans="1:26" ht="14">
      <c r="A170" s="56" t="s">
        <v>148</v>
      </c>
      <c r="B170" s="42">
        <f t="shared" si="25"/>
        <v>34.520000000000003</v>
      </c>
      <c r="G170" s="56" t="s">
        <v>148</v>
      </c>
      <c r="H170" s="42">
        <f t="shared" si="26"/>
        <v>137.43</v>
      </c>
      <c r="M170" s="56" t="s">
        <v>148</v>
      </c>
      <c r="N170" s="42">
        <f t="shared" si="27"/>
        <v>0</v>
      </c>
      <c r="S170" s="56" t="s">
        <v>148</v>
      </c>
      <c r="T170" s="42">
        <f t="shared" si="28"/>
        <v>0</v>
      </c>
      <c r="Y170" s="56" t="s">
        <v>148</v>
      </c>
      <c r="Z170" s="42">
        <f t="shared" si="29"/>
        <v>0</v>
      </c>
    </row>
    <row r="171" spans="1:26" ht="14">
      <c r="A171" s="56" t="s">
        <v>59</v>
      </c>
      <c r="B171" s="42">
        <f t="shared" si="25"/>
        <v>86.768135999999998</v>
      </c>
      <c r="G171" s="56" t="s">
        <v>59</v>
      </c>
      <c r="H171" s="42">
        <f t="shared" si="26"/>
        <v>147.862728</v>
      </c>
      <c r="M171" s="56" t="s">
        <v>59</v>
      </c>
      <c r="N171" s="42">
        <f t="shared" si="27"/>
        <v>0</v>
      </c>
      <c r="S171" s="56" t="s">
        <v>59</v>
      </c>
      <c r="T171" s="42">
        <f t="shared" si="28"/>
        <v>0</v>
      </c>
      <c r="Y171" s="56" t="s">
        <v>59</v>
      </c>
      <c r="Z171" s="42">
        <f t="shared" si="29"/>
        <v>0</v>
      </c>
    </row>
    <row r="172" spans="1:26" ht="14">
      <c r="A172" s="56" t="s">
        <v>149</v>
      </c>
      <c r="B172" s="42">
        <f t="shared" si="25"/>
        <v>0</v>
      </c>
      <c r="G172" s="56" t="s">
        <v>149</v>
      </c>
      <c r="H172" s="42">
        <f t="shared" si="26"/>
        <v>0.61</v>
      </c>
      <c r="M172" s="56" t="s">
        <v>149</v>
      </c>
      <c r="N172" s="42">
        <f t="shared" si="27"/>
        <v>0</v>
      </c>
      <c r="S172" s="56" t="s">
        <v>149</v>
      </c>
      <c r="T172" s="42">
        <f t="shared" si="28"/>
        <v>0</v>
      </c>
      <c r="Y172" s="56" t="s">
        <v>149</v>
      </c>
      <c r="Z172" s="42">
        <f t="shared" si="29"/>
        <v>0</v>
      </c>
    </row>
    <row r="173" spans="1:26" ht="14">
      <c r="A173" s="56" t="s">
        <v>38</v>
      </c>
      <c r="B173" s="42">
        <f t="shared" si="25"/>
        <v>795.419352</v>
      </c>
      <c r="G173" s="56" t="s">
        <v>38</v>
      </c>
      <c r="H173" s="42">
        <f t="shared" si="26"/>
        <v>949.52457600000002</v>
      </c>
      <c r="M173" s="56" t="s">
        <v>38</v>
      </c>
      <c r="N173" s="42">
        <f t="shared" si="27"/>
        <v>0</v>
      </c>
      <c r="S173" s="56" t="s">
        <v>38</v>
      </c>
      <c r="T173" s="42">
        <f t="shared" si="28"/>
        <v>0</v>
      </c>
      <c r="Y173" s="56" t="s">
        <v>38</v>
      </c>
      <c r="Z173" s="42">
        <f t="shared" si="29"/>
        <v>0</v>
      </c>
    </row>
    <row r="174" spans="1:26" ht="14">
      <c r="A174" s="83" t="s">
        <v>39</v>
      </c>
      <c r="B174" s="42">
        <f t="shared" si="25"/>
        <v>13433.928144</v>
      </c>
      <c r="G174" s="83" t="s">
        <v>39</v>
      </c>
      <c r="H174" s="42">
        <f t="shared" si="26"/>
        <v>20776.484976</v>
      </c>
      <c r="M174" s="83" t="s">
        <v>39</v>
      </c>
      <c r="N174" s="42">
        <f t="shared" si="27"/>
        <v>0</v>
      </c>
      <c r="S174" s="83" t="s">
        <v>39</v>
      </c>
      <c r="T174" s="42">
        <f t="shared" si="28"/>
        <v>0</v>
      </c>
      <c r="Y174" s="83" t="s">
        <v>39</v>
      </c>
      <c r="Z174" s="42">
        <f t="shared" si="29"/>
        <v>0</v>
      </c>
    </row>
    <row r="175" spans="1:26" ht="14">
      <c r="A175" s="56" t="s">
        <v>150</v>
      </c>
      <c r="B175" s="42">
        <f t="shared" si="25"/>
        <v>3.66</v>
      </c>
      <c r="G175" s="56" t="s">
        <v>150</v>
      </c>
      <c r="H175" s="42">
        <f t="shared" si="26"/>
        <v>0</v>
      </c>
      <c r="M175" s="56" t="s">
        <v>150</v>
      </c>
      <c r="N175" s="42">
        <f t="shared" si="27"/>
        <v>0</v>
      </c>
      <c r="S175" s="56" t="s">
        <v>150</v>
      </c>
      <c r="T175" s="42">
        <f t="shared" si="28"/>
        <v>0</v>
      </c>
      <c r="Y175" s="56" t="s">
        <v>150</v>
      </c>
      <c r="Z175" s="42">
        <f t="shared" si="29"/>
        <v>0</v>
      </c>
    </row>
    <row r="176" spans="1:26" ht="14">
      <c r="A176" s="83" t="s">
        <v>40</v>
      </c>
      <c r="B176" s="42">
        <f t="shared" si="25"/>
        <v>18297.101159999998</v>
      </c>
      <c r="G176" s="83" t="s">
        <v>40</v>
      </c>
      <c r="H176" s="42">
        <f t="shared" si="26"/>
        <v>31844.711808</v>
      </c>
      <c r="M176" s="83" t="s">
        <v>40</v>
      </c>
      <c r="N176" s="42">
        <f t="shared" si="27"/>
        <v>0</v>
      </c>
      <c r="S176" s="83" t="s">
        <v>40</v>
      </c>
      <c r="T176" s="42">
        <f t="shared" si="28"/>
        <v>0</v>
      </c>
      <c r="Y176" s="83" t="s">
        <v>40</v>
      </c>
      <c r="Z176" s="42">
        <f t="shared" si="29"/>
        <v>0</v>
      </c>
    </row>
    <row r="177" spans="1:26" ht="14">
      <c r="A177" s="56" t="s">
        <v>151</v>
      </c>
      <c r="B177" s="42">
        <f t="shared" si="25"/>
        <v>28.06</v>
      </c>
      <c r="G177" s="56" t="s">
        <v>151</v>
      </c>
      <c r="H177" s="42">
        <f t="shared" si="26"/>
        <v>13.42</v>
      </c>
      <c r="M177" s="56" t="s">
        <v>151</v>
      </c>
      <c r="N177" s="42">
        <f t="shared" si="27"/>
        <v>0</v>
      </c>
      <c r="S177" s="56" t="s">
        <v>151</v>
      </c>
      <c r="T177" s="42">
        <f t="shared" si="28"/>
        <v>0</v>
      </c>
      <c r="Y177" s="56" t="s">
        <v>151</v>
      </c>
      <c r="Z177" s="42">
        <f t="shared" si="29"/>
        <v>0</v>
      </c>
    </row>
    <row r="178" spans="1:26" ht="14">
      <c r="A178" s="56" t="s">
        <v>41</v>
      </c>
      <c r="B178" s="42">
        <f t="shared" si="25"/>
        <v>354.760536</v>
      </c>
      <c r="G178" s="56" t="s">
        <v>41</v>
      </c>
      <c r="H178" s="42">
        <f t="shared" si="26"/>
        <v>1174.1009280000001</v>
      </c>
      <c r="M178" s="56" t="s">
        <v>41</v>
      </c>
      <c r="N178" s="42">
        <f t="shared" si="27"/>
        <v>0</v>
      </c>
      <c r="S178" s="56" t="s">
        <v>41</v>
      </c>
      <c r="T178" s="42">
        <f t="shared" si="28"/>
        <v>0</v>
      </c>
      <c r="Y178" s="56" t="s">
        <v>41</v>
      </c>
      <c r="Z178" s="42">
        <f t="shared" si="29"/>
        <v>0</v>
      </c>
    </row>
    <row r="179" spans="1:26" ht="14">
      <c r="A179" s="56" t="s">
        <v>152</v>
      </c>
      <c r="B179" s="42">
        <f t="shared" si="25"/>
        <v>0</v>
      </c>
      <c r="G179" s="56" t="s">
        <v>152</v>
      </c>
      <c r="H179" s="42">
        <f t="shared" si="26"/>
        <v>7.32</v>
      </c>
      <c r="M179" s="56" t="s">
        <v>152</v>
      </c>
      <c r="N179" s="42">
        <f t="shared" si="27"/>
        <v>0</v>
      </c>
      <c r="S179" s="56" t="s">
        <v>152</v>
      </c>
      <c r="T179" s="42">
        <f t="shared" si="28"/>
        <v>0</v>
      </c>
      <c r="Y179" s="56" t="s">
        <v>152</v>
      </c>
      <c r="Z179" s="42">
        <f t="shared" si="29"/>
        <v>0</v>
      </c>
    </row>
    <row r="180" spans="1:26" ht="14">
      <c r="A180" s="56" t="s">
        <v>153</v>
      </c>
      <c r="B180" s="42">
        <f t="shared" si="25"/>
        <v>93.19</v>
      </c>
      <c r="G180" s="56" t="s">
        <v>153</v>
      </c>
      <c r="H180" s="42">
        <f t="shared" si="26"/>
        <v>208.19</v>
      </c>
      <c r="M180" s="56" t="s">
        <v>153</v>
      </c>
      <c r="N180" s="42">
        <f t="shared" si="27"/>
        <v>0</v>
      </c>
      <c r="S180" s="56" t="s">
        <v>153</v>
      </c>
      <c r="T180" s="42">
        <f t="shared" si="28"/>
        <v>0</v>
      </c>
      <c r="Y180" s="56" t="s">
        <v>153</v>
      </c>
      <c r="Z180" s="42">
        <f t="shared" si="29"/>
        <v>0</v>
      </c>
    </row>
    <row r="181" spans="1:26" ht="14">
      <c r="A181" s="56" t="s">
        <v>154</v>
      </c>
      <c r="B181" s="42">
        <f t="shared" si="25"/>
        <v>0</v>
      </c>
      <c r="G181" s="56" t="s">
        <v>154</v>
      </c>
      <c r="H181" s="42">
        <f t="shared" si="26"/>
        <v>0</v>
      </c>
      <c r="M181" s="56" t="s">
        <v>154</v>
      </c>
      <c r="N181" s="42">
        <f t="shared" si="27"/>
        <v>0</v>
      </c>
      <c r="S181" s="56" t="s">
        <v>154</v>
      </c>
      <c r="T181" s="42">
        <f t="shared" si="28"/>
        <v>0</v>
      </c>
      <c r="Y181" s="56" t="s">
        <v>154</v>
      </c>
      <c r="Z181" s="42">
        <f t="shared" si="29"/>
        <v>0</v>
      </c>
    </row>
    <row r="182" spans="1:26" ht="14">
      <c r="A182" s="56" t="s">
        <v>155</v>
      </c>
      <c r="B182" s="42">
        <f t="shared" si="25"/>
        <v>24.85</v>
      </c>
      <c r="G182" s="56" t="s">
        <v>155</v>
      </c>
      <c r="H182" s="42">
        <f t="shared" si="26"/>
        <v>81.92</v>
      </c>
      <c r="M182" s="56" t="s">
        <v>155</v>
      </c>
      <c r="N182" s="42">
        <f t="shared" si="27"/>
        <v>0</v>
      </c>
      <c r="S182" s="56" t="s">
        <v>155</v>
      </c>
      <c r="T182" s="42">
        <f t="shared" si="28"/>
        <v>0</v>
      </c>
      <c r="Y182" s="56" t="s">
        <v>155</v>
      </c>
      <c r="Z182" s="42">
        <f t="shared" si="29"/>
        <v>0</v>
      </c>
    </row>
    <row r="183" spans="1:26" ht="14">
      <c r="A183" s="56" t="s">
        <v>156</v>
      </c>
      <c r="B183" s="42">
        <f t="shared" si="25"/>
        <v>712.50663299999997</v>
      </c>
      <c r="G183" s="56" t="s">
        <v>156</v>
      </c>
      <c r="H183" s="42">
        <f t="shared" si="26"/>
        <v>768.56828599999994</v>
      </c>
      <c r="M183" s="56" t="s">
        <v>156</v>
      </c>
      <c r="N183" s="42">
        <f t="shared" si="27"/>
        <v>0</v>
      </c>
      <c r="S183" s="56" t="s">
        <v>156</v>
      </c>
      <c r="T183" s="42">
        <f t="shared" si="28"/>
        <v>0</v>
      </c>
      <c r="Y183" s="56" t="s">
        <v>156</v>
      </c>
      <c r="Z183" s="42">
        <f t="shared" si="29"/>
        <v>0</v>
      </c>
    </row>
    <row r="184" spans="1:26" ht="14">
      <c r="A184" s="83" t="s">
        <v>58</v>
      </c>
      <c r="B184" s="42">
        <f t="shared" si="25"/>
        <v>386.689368</v>
      </c>
      <c r="G184" s="83" t="s">
        <v>58</v>
      </c>
      <c r="H184" s="42">
        <f t="shared" si="26"/>
        <v>411.46747199999999</v>
      </c>
      <c r="M184" s="83" t="s">
        <v>58</v>
      </c>
      <c r="N184" s="42">
        <f t="shared" si="27"/>
        <v>0</v>
      </c>
      <c r="S184" s="83" t="s">
        <v>58</v>
      </c>
      <c r="T184" s="42">
        <f t="shared" si="28"/>
        <v>0</v>
      </c>
      <c r="Y184" s="83" t="s">
        <v>58</v>
      </c>
      <c r="Z184" s="42">
        <f t="shared" si="29"/>
        <v>0</v>
      </c>
    </row>
    <row r="185" spans="1:26" ht="14">
      <c r="A185" s="56" t="s">
        <v>157</v>
      </c>
      <c r="B185" s="42">
        <f t="shared" si="25"/>
        <v>507.96718299999998</v>
      </c>
      <c r="G185" s="56" t="s">
        <v>157</v>
      </c>
      <c r="H185" s="42">
        <f t="shared" si="26"/>
        <v>1387.7029239999999</v>
      </c>
      <c r="M185" s="56" t="s">
        <v>157</v>
      </c>
      <c r="N185" s="42">
        <f t="shared" si="27"/>
        <v>0</v>
      </c>
      <c r="S185" s="56" t="s">
        <v>157</v>
      </c>
      <c r="T185" s="42">
        <f t="shared" si="28"/>
        <v>0</v>
      </c>
      <c r="Y185" s="56" t="s">
        <v>157</v>
      </c>
      <c r="Z185" s="42">
        <f t="shared" si="29"/>
        <v>0</v>
      </c>
    </row>
    <row r="186" spans="1:26" ht="14">
      <c r="A186" s="56" t="s">
        <v>158</v>
      </c>
      <c r="B186" s="42">
        <f t="shared" si="25"/>
        <v>579.46600000000001</v>
      </c>
      <c r="G186" s="56" t="s">
        <v>158</v>
      </c>
      <c r="H186" s="42">
        <f t="shared" si="26"/>
        <v>879.85799999999995</v>
      </c>
      <c r="M186" s="56" t="s">
        <v>158</v>
      </c>
      <c r="N186" s="42">
        <f t="shared" si="27"/>
        <v>0</v>
      </c>
      <c r="S186" s="56" t="s">
        <v>158</v>
      </c>
      <c r="T186" s="42">
        <f t="shared" si="28"/>
        <v>0</v>
      </c>
      <c r="Y186" s="56" t="s">
        <v>158</v>
      </c>
      <c r="Z186" s="42">
        <f t="shared" si="29"/>
        <v>0</v>
      </c>
    </row>
    <row r="187" spans="1:26" ht="14">
      <c r="A187" s="56" t="s">
        <v>42</v>
      </c>
      <c r="B187" s="42">
        <f t="shared" si="25"/>
        <v>2849.0854079999999</v>
      </c>
      <c r="G187" s="56" t="s">
        <v>42</v>
      </c>
      <c r="H187" s="42">
        <f t="shared" si="26"/>
        <v>4464.3312480000004</v>
      </c>
      <c r="M187" s="56" t="s">
        <v>42</v>
      </c>
      <c r="N187" s="42">
        <f t="shared" si="27"/>
        <v>0</v>
      </c>
      <c r="S187" s="56" t="s">
        <v>42</v>
      </c>
      <c r="T187" s="42">
        <f t="shared" si="28"/>
        <v>0</v>
      </c>
      <c r="Y187" s="56" t="s">
        <v>42</v>
      </c>
      <c r="Z187" s="42">
        <f t="shared" si="29"/>
        <v>0</v>
      </c>
    </row>
    <row r="188" spans="1:26" ht="14">
      <c r="A188" s="83" t="s">
        <v>159</v>
      </c>
      <c r="B188" s="42">
        <f t="shared" si="25"/>
        <v>434.69919700000003</v>
      </c>
      <c r="G188" s="83" t="s">
        <v>159</v>
      </c>
      <c r="H188" s="42">
        <f t="shared" si="26"/>
        <v>1037.779456</v>
      </c>
      <c r="M188" s="83" t="s">
        <v>159</v>
      </c>
      <c r="N188" s="42">
        <f t="shared" si="27"/>
        <v>0</v>
      </c>
      <c r="S188" s="83" t="s">
        <v>159</v>
      </c>
      <c r="T188" s="42">
        <f t="shared" si="28"/>
        <v>0</v>
      </c>
      <c r="Y188" s="83" t="s">
        <v>159</v>
      </c>
      <c r="Z188" s="42">
        <f t="shared" si="29"/>
        <v>0</v>
      </c>
    </row>
    <row r="189" spans="1:26" ht="14">
      <c r="A189" s="56" t="s">
        <v>11</v>
      </c>
      <c r="B189" s="42">
        <f t="shared" si="25"/>
        <v>5564.3025360000001</v>
      </c>
      <c r="G189" s="56" t="s">
        <v>11</v>
      </c>
      <c r="H189" s="42">
        <f t="shared" si="26"/>
        <v>14798.988047999999</v>
      </c>
      <c r="M189" s="56" t="s">
        <v>11</v>
      </c>
      <c r="N189" s="42">
        <f t="shared" si="27"/>
        <v>0</v>
      </c>
      <c r="S189" s="56" t="s">
        <v>11</v>
      </c>
      <c r="T189" s="42">
        <f t="shared" si="28"/>
        <v>0</v>
      </c>
      <c r="Y189" s="56" t="s">
        <v>11</v>
      </c>
      <c r="Z189" s="42">
        <f t="shared" si="29"/>
        <v>0</v>
      </c>
    </row>
    <row r="190" spans="1:26" ht="14">
      <c r="A190" s="56" t="s">
        <v>13</v>
      </c>
      <c r="B190" s="42">
        <f t="shared" si="25"/>
        <v>14772.690855000001</v>
      </c>
      <c r="G190" s="56" t="s">
        <v>13</v>
      </c>
      <c r="H190" s="42">
        <f t="shared" si="26"/>
        <v>18735.534674999999</v>
      </c>
      <c r="M190" s="56" t="s">
        <v>13</v>
      </c>
      <c r="N190" s="42">
        <f t="shared" si="27"/>
        <v>0</v>
      </c>
      <c r="S190" s="56" t="s">
        <v>13</v>
      </c>
      <c r="T190" s="42">
        <f t="shared" si="28"/>
        <v>0</v>
      </c>
      <c r="Y190" s="56" t="s">
        <v>13</v>
      </c>
      <c r="Z190" s="42">
        <f t="shared" si="29"/>
        <v>0</v>
      </c>
    </row>
    <row r="191" spans="1:26" ht="14">
      <c r="A191" s="56" t="s">
        <v>160</v>
      </c>
      <c r="B191" s="42">
        <f t="shared" si="25"/>
        <v>64.98</v>
      </c>
      <c r="G191" s="56" t="s">
        <v>160</v>
      </c>
      <c r="H191" s="42">
        <f t="shared" si="26"/>
        <v>460.56</v>
      </c>
      <c r="M191" s="56" t="s">
        <v>160</v>
      </c>
      <c r="N191" s="42">
        <f t="shared" si="27"/>
        <v>0</v>
      </c>
      <c r="S191" s="56" t="s">
        <v>160</v>
      </c>
      <c r="T191" s="42">
        <f t="shared" si="28"/>
        <v>0</v>
      </c>
      <c r="Y191" s="56" t="s">
        <v>160</v>
      </c>
      <c r="Z191" s="42">
        <f t="shared" si="29"/>
        <v>0</v>
      </c>
    </row>
    <row r="192" spans="1:26" ht="14">
      <c r="A192" s="56" t="s">
        <v>161</v>
      </c>
      <c r="B192" s="42">
        <f t="shared" si="25"/>
        <v>76.25</v>
      </c>
      <c r="G192" s="56" t="s">
        <v>161</v>
      </c>
      <c r="H192" s="42">
        <f t="shared" si="26"/>
        <v>159.82</v>
      </c>
      <c r="M192" s="56" t="s">
        <v>161</v>
      </c>
      <c r="N192" s="42">
        <f t="shared" si="27"/>
        <v>0</v>
      </c>
      <c r="S192" s="56" t="s">
        <v>161</v>
      </c>
      <c r="T192" s="42">
        <f t="shared" si="28"/>
        <v>0</v>
      </c>
      <c r="Y192" s="56" t="s">
        <v>161</v>
      </c>
      <c r="Z192" s="42">
        <f t="shared" si="29"/>
        <v>0</v>
      </c>
    </row>
    <row r="193" spans="1:26" ht="14">
      <c r="A193" s="56" t="s">
        <v>162</v>
      </c>
      <c r="B193" s="42">
        <f t="shared" si="25"/>
        <v>0</v>
      </c>
      <c r="G193" s="56" t="s">
        <v>162</v>
      </c>
      <c r="H193" s="42">
        <f t="shared" si="26"/>
        <v>7.2</v>
      </c>
      <c r="M193" s="56" t="s">
        <v>162</v>
      </c>
      <c r="N193" s="42">
        <f t="shared" si="27"/>
        <v>0</v>
      </c>
      <c r="S193" s="56" t="s">
        <v>162</v>
      </c>
      <c r="T193" s="42">
        <f t="shared" si="28"/>
        <v>0</v>
      </c>
      <c r="Y193" s="56" t="s">
        <v>162</v>
      </c>
      <c r="Z193" s="42">
        <f t="shared" si="29"/>
        <v>0</v>
      </c>
    </row>
    <row r="194" spans="1:26" ht="14">
      <c r="A194" s="83" t="s">
        <v>201</v>
      </c>
      <c r="B194" s="42">
        <f t="shared" si="25"/>
        <v>0</v>
      </c>
      <c r="G194" s="83" t="s">
        <v>201</v>
      </c>
      <c r="H194" s="42">
        <f t="shared" si="26"/>
        <v>0</v>
      </c>
      <c r="M194" s="83" t="s">
        <v>201</v>
      </c>
      <c r="N194" s="42">
        <f t="shared" si="27"/>
        <v>0</v>
      </c>
      <c r="S194" s="83" t="s">
        <v>201</v>
      </c>
      <c r="T194" s="42">
        <f t="shared" si="28"/>
        <v>0</v>
      </c>
      <c r="Y194" s="83" t="s">
        <v>201</v>
      </c>
      <c r="Z194" s="42">
        <f t="shared" si="29"/>
        <v>0</v>
      </c>
    </row>
    <row r="195" spans="1:26" ht="14">
      <c r="A195" s="56" t="s">
        <v>57</v>
      </c>
      <c r="B195" s="42">
        <f t="shared" si="25"/>
        <v>60.211944000000003</v>
      </c>
      <c r="G195" s="56" t="s">
        <v>57</v>
      </c>
      <c r="H195" s="42">
        <f t="shared" si="26"/>
        <v>301.469064</v>
      </c>
      <c r="M195" s="56" t="s">
        <v>57</v>
      </c>
      <c r="N195" s="42">
        <f t="shared" si="27"/>
        <v>0</v>
      </c>
      <c r="S195" s="56" t="s">
        <v>57</v>
      </c>
      <c r="T195" s="42">
        <f t="shared" si="28"/>
        <v>0</v>
      </c>
      <c r="Y195" s="56" t="s">
        <v>57</v>
      </c>
      <c r="Z195" s="42">
        <f t="shared" si="29"/>
        <v>0</v>
      </c>
    </row>
    <row r="196" spans="1:26" ht="14">
      <c r="A196" s="83" t="s">
        <v>56</v>
      </c>
      <c r="B196" s="42">
        <f t="shared" si="25"/>
        <v>39.360984000000002</v>
      </c>
      <c r="G196" s="83" t="s">
        <v>56</v>
      </c>
      <c r="H196" s="42">
        <f t="shared" si="26"/>
        <v>59.956104000000003</v>
      </c>
      <c r="M196" s="83" t="s">
        <v>56</v>
      </c>
      <c r="N196" s="42">
        <f t="shared" si="27"/>
        <v>0</v>
      </c>
      <c r="S196" s="83" t="s">
        <v>56</v>
      </c>
      <c r="T196" s="42">
        <f t="shared" si="28"/>
        <v>0</v>
      </c>
      <c r="Y196" s="83" t="s">
        <v>56</v>
      </c>
      <c r="Z196" s="42">
        <f t="shared" si="29"/>
        <v>0</v>
      </c>
    </row>
    <row r="197" spans="1:26" ht="14">
      <c r="A197" s="83" t="s">
        <v>43</v>
      </c>
      <c r="B197" s="42">
        <f t="shared" si="25"/>
        <v>719.47324800000001</v>
      </c>
      <c r="G197" s="83" t="s">
        <v>43</v>
      </c>
      <c r="H197" s="42">
        <f t="shared" si="26"/>
        <v>735.71908800000006</v>
      </c>
      <c r="M197" s="83" t="s">
        <v>43</v>
      </c>
      <c r="N197" s="42">
        <f t="shared" si="27"/>
        <v>0</v>
      </c>
      <c r="S197" s="83" t="s">
        <v>43</v>
      </c>
      <c r="T197" s="42">
        <f t="shared" si="28"/>
        <v>0</v>
      </c>
      <c r="Y197" s="83" t="s">
        <v>43</v>
      </c>
      <c r="Z197" s="42">
        <f t="shared" si="29"/>
        <v>0</v>
      </c>
    </row>
    <row r="198" spans="1:26" ht="14">
      <c r="A198" s="56" t="s">
        <v>163</v>
      </c>
      <c r="B198" s="42">
        <f t="shared" si="25"/>
        <v>24.8</v>
      </c>
      <c r="G198" s="56" t="s">
        <v>163</v>
      </c>
      <c r="H198" s="42">
        <f t="shared" si="26"/>
        <v>37.200000000000003</v>
      </c>
      <c r="M198" s="56" t="s">
        <v>163</v>
      </c>
      <c r="N198" s="42">
        <f t="shared" si="27"/>
        <v>0</v>
      </c>
      <c r="S198" s="56" t="s">
        <v>163</v>
      </c>
      <c r="T198" s="42">
        <f t="shared" si="28"/>
        <v>0</v>
      </c>
      <c r="Y198" s="56" t="s">
        <v>163</v>
      </c>
      <c r="Z198" s="42">
        <f t="shared" si="29"/>
        <v>0</v>
      </c>
    </row>
    <row r="199" spans="1:26" ht="14">
      <c r="A199" s="56" t="s">
        <v>164</v>
      </c>
      <c r="B199" s="42">
        <f t="shared" si="25"/>
        <v>517.05999999999995</v>
      </c>
      <c r="G199" s="56" t="s">
        <v>164</v>
      </c>
      <c r="H199" s="42">
        <f t="shared" si="26"/>
        <v>522.52</v>
      </c>
      <c r="M199" s="56" t="s">
        <v>164</v>
      </c>
      <c r="N199" s="42">
        <f t="shared" si="27"/>
        <v>0</v>
      </c>
      <c r="S199" s="56" t="s">
        <v>164</v>
      </c>
      <c r="T199" s="42">
        <f t="shared" si="28"/>
        <v>0</v>
      </c>
      <c r="Y199" s="56" t="s">
        <v>164</v>
      </c>
      <c r="Z199" s="42">
        <f t="shared" si="29"/>
        <v>0</v>
      </c>
    </row>
    <row r="200" spans="1:26" ht="14">
      <c r="A200" s="56" t="s">
        <v>55</v>
      </c>
      <c r="B200" s="42">
        <f t="shared" si="25"/>
        <v>53.227511999999997</v>
      </c>
      <c r="G200" s="56" t="s">
        <v>55</v>
      </c>
      <c r="H200" s="42">
        <f t="shared" si="26"/>
        <v>43.595135999999997</v>
      </c>
      <c r="M200" s="56" t="s">
        <v>55</v>
      </c>
      <c r="N200" s="42">
        <f t="shared" si="27"/>
        <v>0</v>
      </c>
      <c r="S200" s="56" t="s">
        <v>55</v>
      </c>
      <c r="T200" s="42">
        <f t="shared" si="28"/>
        <v>0</v>
      </c>
      <c r="Y200" s="56" t="s">
        <v>55</v>
      </c>
      <c r="Z200" s="42">
        <f t="shared" si="29"/>
        <v>0</v>
      </c>
    </row>
    <row r="201" spans="1:26" ht="14">
      <c r="A201" s="83" t="s">
        <v>165</v>
      </c>
      <c r="B201" s="42">
        <f t="shared" si="25"/>
        <v>21.62</v>
      </c>
      <c r="G201" s="83" t="s">
        <v>165</v>
      </c>
      <c r="H201" s="42">
        <f t="shared" si="26"/>
        <v>55.51</v>
      </c>
      <c r="M201" s="83" t="s">
        <v>165</v>
      </c>
      <c r="N201" s="42">
        <f t="shared" si="27"/>
        <v>0</v>
      </c>
      <c r="S201" s="83" t="s">
        <v>165</v>
      </c>
      <c r="T201" s="42">
        <f t="shared" si="28"/>
        <v>0</v>
      </c>
      <c r="Y201" s="83" t="s">
        <v>165</v>
      </c>
      <c r="Z201" s="42">
        <f t="shared" si="29"/>
        <v>0</v>
      </c>
    </row>
    <row r="202" spans="1:26" ht="14">
      <c r="A202" s="83" t="s">
        <v>73</v>
      </c>
      <c r="B202" s="42">
        <f t="shared" si="25"/>
        <v>10323.733091</v>
      </c>
      <c r="G202" s="83" t="s">
        <v>73</v>
      </c>
      <c r="H202" s="42">
        <f t="shared" si="26"/>
        <v>18416.869674000001</v>
      </c>
      <c r="M202" s="83" t="s">
        <v>73</v>
      </c>
      <c r="N202" s="42">
        <f t="shared" si="27"/>
        <v>0</v>
      </c>
      <c r="S202" s="83" t="s">
        <v>73</v>
      </c>
      <c r="T202" s="42">
        <f t="shared" si="28"/>
        <v>0</v>
      </c>
      <c r="Y202" s="83" t="s">
        <v>73</v>
      </c>
      <c r="Z202" s="42">
        <f t="shared" si="29"/>
        <v>0</v>
      </c>
    </row>
    <row r="203" spans="1:26" ht="14">
      <c r="A203" s="83" t="s">
        <v>166</v>
      </c>
      <c r="B203" s="42">
        <f t="shared" ref="B203:B249" si="30">B67</f>
        <v>0</v>
      </c>
      <c r="G203" s="83" t="s">
        <v>166</v>
      </c>
      <c r="H203" s="42">
        <f t="shared" ref="H203:H249" si="31">H67</f>
        <v>1.22</v>
      </c>
      <c r="M203" s="83" t="s">
        <v>166</v>
      </c>
      <c r="N203" s="42">
        <f t="shared" ref="N203:N249" si="32">N67</f>
        <v>0</v>
      </c>
      <c r="S203" s="83" t="s">
        <v>166</v>
      </c>
      <c r="T203" s="42">
        <f t="shared" ref="T203:T249" si="33">T67</f>
        <v>0</v>
      </c>
      <c r="Y203" s="83" t="s">
        <v>166</v>
      </c>
      <c r="Z203" s="42">
        <f t="shared" ref="Z203:Z249" si="34">Z67</f>
        <v>0</v>
      </c>
    </row>
    <row r="204" spans="1:26" ht="14">
      <c r="A204" s="83" t="s">
        <v>167</v>
      </c>
      <c r="B204" s="42">
        <f t="shared" si="30"/>
        <v>1.8</v>
      </c>
      <c r="G204" s="83" t="s">
        <v>167</v>
      </c>
      <c r="H204" s="42">
        <f t="shared" si="31"/>
        <v>13.8</v>
      </c>
      <c r="M204" s="83" t="s">
        <v>167</v>
      </c>
      <c r="N204" s="42">
        <f t="shared" si="32"/>
        <v>0</v>
      </c>
      <c r="S204" s="83" t="s">
        <v>167</v>
      </c>
      <c r="T204" s="42">
        <f t="shared" si="33"/>
        <v>0</v>
      </c>
      <c r="Y204" s="83" t="s">
        <v>167</v>
      </c>
      <c r="Z204" s="42">
        <f t="shared" si="34"/>
        <v>0</v>
      </c>
    </row>
    <row r="205" spans="1:26" ht="14">
      <c r="A205" s="83" t="s">
        <v>168</v>
      </c>
      <c r="B205" s="42">
        <f t="shared" si="30"/>
        <v>2.48</v>
      </c>
      <c r="G205" s="83" t="s">
        <v>168</v>
      </c>
      <c r="H205" s="42">
        <f t="shared" si="31"/>
        <v>19.84</v>
      </c>
      <c r="M205" s="83" t="s">
        <v>168</v>
      </c>
      <c r="N205" s="42">
        <f t="shared" si="32"/>
        <v>0</v>
      </c>
      <c r="S205" s="83" t="s">
        <v>168</v>
      </c>
      <c r="T205" s="42">
        <f t="shared" si="33"/>
        <v>0</v>
      </c>
      <c r="Y205" s="83" t="s">
        <v>168</v>
      </c>
      <c r="Z205" s="42">
        <f t="shared" si="34"/>
        <v>0</v>
      </c>
    </row>
    <row r="206" spans="1:26" ht="14">
      <c r="A206" s="83" t="s">
        <v>202</v>
      </c>
      <c r="B206" s="42">
        <f t="shared" si="30"/>
        <v>0</v>
      </c>
      <c r="G206" s="83" t="s">
        <v>202</v>
      </c>
      <c r="H206" s="42">
        <f t="shared" si="31"/>
        <v>0</v>
      </c>
      <c r="M206" s="83" t="s">
        <v>202</v>
      </c>
      <c r="N206" s="42">
        <f t="shared" si="32"/>
        <v>0</v>
      </c>
      <c r="S206" s="83" t="s">
        <v>202</v>
      </c>
      <c r="T206" s="42">
        <f t="shared" si="33"/>
        <v>0</v>
      </c>
      <c r="Y206" s="83" t="s">
        <v>202</v>
      </c>
      <c r="Z206" s="42">
        <f t="shared" si="34"/>
        <v>0</v>
      </c>
    </row>
    <row r="207" spans="1:26" ht="14">
      <c r="A207" s="83" t="s">
        <v>169</v>
      </c>
      <c r="B207" s="42">
        <f t="shared" si="30"/>
        <v>38.25</v>
      </c>
      <c r="G207" s="83" t="s">
        <v>169</v>
      </c>
      <c r="H207" s="42">
        <f t="shared" si="31"/>
        <v>47.58</v>
      </c>
      <c r="M207" s="83" t="s">
        <v>169</v>
      </c>
      <c r="N207" s="42">
        <f t="shared" si="32"/>
        <v>0</v>
      </c>
      <c r="S207" s="83" t="s">
        <v>169</v>
      </c>
      <c r="T207" s="42">
        <f t="shared" si="33"/>
        <v>0</v>
      </c>
      <c r="Y207" s="83" t="s">
        <v>169</v>
      </c>
      <c r="Z207" s="42">
        <f t="shared" si="34"/>
        <v>0</v>
      </c>
    </row>
    <row r="208" spans="1:26" ht="14">
      <c r="A208" s="83" t="s">
        <v>170</v>
      </c>
      <c r="B208" s="42">
        <f t="shared" si="30"/>
        <v>17.690000000000001</v>
      </c>
      <c r="G208" s="83" t="s">
        <v>170</v>
      </c>
      <c r="H208" s="42">
        <f t="shared" si="31"/>
        <v>103.09</v>
      </c>
      <c r="M208" s="83" t="s">
        <v>170</v>
      </c>
      <c r="N208" s="42">
        <f t="shared" si="32"/>
        <v>0</v>
      </c>
      <c r="S208" s="83" t="s">
        <v>170</v>
      </c>
      <c r="T208" s="42">
        <f t="shared" si="33"/>
        <v>0</v>
      </c>
      <c r="Y208" s="83" t="s">
        <v>170</v>
      </c>
      <c r="Z208" s="42">
        <f t="shared" si="34"/>
        <v>0</v>
      </c>
    </row>
    <row r="209" spans="1:26" ht="14">
      <c r="A209" s="83" t="s">
        <v>171</v>
      </c>
      <c r="B209" s="42">
        <f t="shared" si="30"/>
        <v>0</v>
      </c>
      <c r="G209" s="83" t="s">
        <v>171</v>
      </c>
      <c r="H209" s="42">
        <f t="shared" si="31"/>
        <v>0</v>
      </c>
      <c r="M209" s="83" t="s">
        <v>171</v>
      </c>
      <c r="N209" s="42">
        <f t="shared" si="32"/>
        <v>0</v>
      </c>
      <c r="S209" s="83" t="s">
        <v>171</v>
      </c>
      <c r="T209" s="42">
        <f t="shared" si="33"/>
        <v>0</v>
      </c>
      <c r="Y209" s="83" t="s">
        <v>171</v>
      </c>
      <c r="Z209" s="42">
        <f t="shared" si="34"/>
        <v>0</v>
      </c>
    </row>
    <row r="210" spans="1:26" ht="14">
      <c r="A210" s="83" t="s">
        <v>44</v>
      </c>
      <c r="B210" s="42">
        <f t="shared" si="30"/>
        <v>7246.207488</v>
      </c>
      <c r="G210" s="83" t="s">
        <v>44</v>
      </c>
      <c r="H210" s="42">
        <f t="shared" si="31"/>
        <v>5150.0847839999997</v>
      </c>
      <c r="M210" s="83" t="s">
        <v>44</v>
      </c>
      <c r="N210" s="42">
        <f t="shared" si="32"/>
        <v>0</v>
      </c>
      <c r="S210" s="83" t="s">
        <v>44</v>
      </c>
      <c r="T210" s="42">
        <f t="shared" si="33"/>
        <v>0</v>
      </c>
      <c r="Y210" s="83" t="s">
        <v>44</v>
      </c>
      <c r="Z210" s="42">
        <f t="shared" si="34"/>
        <v>0</v>
      </c>
    </row>
    <row r="211" spans="1:26" ht="14">
      <c r="A211" s="83" t="s">
        <v>45</v>
      </c>
      <c r="B211" s="42">
        <f t="shared" si="30"/>
        <v>3182.63132</v>
      </c>
      <c r="G211" s="83" t="s">
        <v>45</v>
      </c>
      <c r="H211" s="42">
        <f t="shared" si="31"/>
        <v>4231.0648119999996</v>
      </c>
      <c r="M211" s="83" t="s">
        <v>45</v>
      </c>
      <c r="N211" s="42">
        <f t="shared" si="32"/>
        <v>0</v>
      </c>
      <c r="S211" s="83" t="s">
        <v>45</v>
      </c>
      <c r="T211" s="42">
        <f t="shared" si="33"/>
        <v>0</v>
      </c>
      <c r="Y211" s="83" t="s">
        <v>45</v>
      </c>
      <c r="Z211" s="42">
        <f t="shared" si="34"/>
        <v>0</v>
      </c>
    </row>
    <row r="212" spans="1:26" ht="14">
      <c r="A212" s="83" t="s">
        <v>172</v>
      </c>
      <c r="B212" s="42">
        <f t="shared" si="30"/>
        <v>58.42</v>
      </c>
      <c r="G212" s="83" t="s">
        <v>172</v>
      </c>
      <c r="H212" s="42">
        <f t="shared" si="31"/>
        <v>84.79</v>
      </c>
      <c r="M212" s="83" t="s">
        <v>172</v>
      </c>
      <c r="N212" s="42">
        <f t="shared" si="32"/>
        <v>0</v>
      </c>
      <c r="S212" s="83" t="s">
        <v>172</v>
      </c>
      <c r="T212" s="42">
        <f t="shared" si="33"/>
        <v>0</v>
      </c>
      <c r="Y212" s="83" t="s">
        <v>172</v>
      </c>
      <c r="Z212" s="42">
        <f t="shared" si="34"/>
        <v>0</v>
      </c>
    </row>
    <row r="213" spans="1:26" ht="14">
      <c r="A213" s="83" t="s">
        <v>173</v>
      </c>
      <c r="B213" s="42">
        <f t="shared" si="30"/>
        <v>0</v>
      </c>
      <c r="G213" s="83" t="s">
        <v>173</v>
      </c>
      <c r="H213" s="42">
        <f t="shared" si="31"/>
        <v>3.05</v>
      </c>
      <c r="M213" s="83" t="s">
        <v>173</v>
      </c>
      <c r="N213" s="42">
        <f t="shared" si="32"/>
        <v>0</v>
      </c>
      <c r="S213" s="83" t="s">
        <v>173</v>
      </c>
      <c r="T213" s="42">
        <f t="shared" si="33"/>
        <v>0</v>
      </c>
      <c r="Y213" s="83" t="s">
        <v>173</v>
      </c>
      <c r="Z213" s="42">
        <f t="shared" si="34"/>
        <v>0</v>
      </c>
    </row>
    <row r="214" spans="1:26" ht="14">
      <c r="A214" s="83" t="s">
        <v>174</v>
      </c>
      <c r="B214" s="42">
        <f t="shared" si="30"/>
        <v>246.03</v>
      </c>
      <c r="G214" s="83" t="s">
        <v>174</v>
      </c>
      <c r="H214" s="42">
        <f t="shared" si="31"/>
        <v>562.02</v>
      </c>
      <c r="M214" s="83" t="s">
        <v>174</v>
      </c>
      <c r="N214" s="42">
        <f t="shared" si="32"/>
        <v>0</v>
      </c>
      <c r="S214" s="83" t="s">
        <v>174</v>
      </c>
      <c r="T214" s="42">
        <f t="shared" si="33"/>
        <v>0</v>
      </c>
      <c r="Y214" s="83" t="s">
        <v>174</v>
      </c>
      <c r="Z214" s="42">
        <f t="shared" si="34"/>
        <v>0</v>
      </c>
    </row>
    <row r="215" spans="1:26" ht="14">
      <c r="A215" s="83" t="s">
        <v>46</v>
      </c>
      <c r="B215" s="42">
        <f t="shared" si="30"/>
        <v>2101.3162560000001</v>
      </c>
      <c r="G215" s="83" t="s">
        <v>46</v>
      </c>
      <c r="H215" s="42">
        <f t="shared" si="31"/>
        <v>2435.0339520000002</v>
      </c>
      <c r="M215" s="83" t="s">
        <v>46</v>
      </c>
      <c r="N215" s="42">
        <f t="shared" si="32"/>
        <v>0</v>
      </c>
      <c r="S215" s="83" t="s">
        <v>46</v>
      </c>
      <c r="T215" s="42">
        <f t="shared" si="33"/>
        <v>0</v>
      </c>
      <c r="Y215" s="83" t="s">
        <v>46</v>
      </c>
      <c r="Z215" s="42">
        <f t="shared" si="34"/>
        <v>0</v>
      </c>
    </row>
    <row r="216" spans="1:26" ht="14">
      <c r="A216" s="83" t="s">
        <v>175</v>
      </c>
      <c r="B216" s="42">
        <f t="shared" si="30"/>
        <v>121.81</v>
      </c>
      <c r="G216" s="83" t="s">
        <v>175</v>
      </c>
      <c r="H216" s="42">
        <f t="shared" si="31"/>
        <v>167.14</v>
      </c>
      <c r="M216" s="83" t="s">
        <v>175</v>
      </c>
      <c r="N216" s="42">
        <f t="shared" si="32"/>
        <v>0</v>
      </c>
      <c r="S216" s="83" t="s">
        <v>175</v>
      </c>
      <c r="T216" s="42">
        <f t="shared" si="33"/>
        <v>0</v>
      </c>
      <c r="Y216" s="83" t="s">
        <v>175</v>
      </c>
      <c r="Z216" s="42">
        <f t="shared" si="34"/>
        <v>0</v>
      </c>
    </row>
    <row r="217" spans="1:26" ht="14">
      <c r="A217" s="83" t="s">
        <v>176</v>
      </c>
      <c r="B217" s="42">
        <f t="shared" si="30"/>
        <v>6.71</v>
      </c>
      <c r="G217" s="83" t="s">
        <v>176</v>
      </c>
      <c r="H217" s="42">
        <f t="shared" si="31"/>
        <v>8.5399999999999991</v>
      </c>
      <c r="M217" s="83" t="s">
        <v>176</v>
      </c>
      <c r="N217" s="42">
        <f t="shared" si="32"/>
        <v>0</v>
      </c>
      <c r="S217" s="83" t="s">
        <v>176</v>
      </c>
      <c r="T217" s="42">
        <f t="shared" si="33"/>
        <v>0</v>
      </c>
      <c r="Y217" s="83" t="s">
        <v>176</v>
      </c>
      <c r="Z217" s="42">
        <f t="shared" si="34"/>
        <v>0</v>
      </c>
    </row>
    <row r="218" spans="1:26" ht="14">
      <c r="A218" s="83" t="s">
        <v>177</v>
      </c>
      <c r="B218" s="42">
        <f t="shared" si="30"/>
        <v>21.64</v>
      </c>
      <c r="G218" s="83" t="s">
        <v>177</v>
      </c>
      <c r="H218" s="42">
        <f t="shared" si="31"/>
        <v>112.24</v>
      </c>
      <c r="M218" s="83" t="s">
        <v>177</v>
      </c>
      <c r="N218" s="42">
        <f t="shared" si="32"/>
        <v>0</v>
      </c>
      <c r="S218" s="83" t="s">
        <v>177</v>
      </c>
      <c r="T218" s="42">
        <f t="shared" si="33"/>
        <v>0</v>
      </c>
      <c r="Y218" s="83" t="s">
        <v>177</v>
      </c>
      <c r="Z218" s="42">
        <f t="shared" si="34"/>
        <v>0</v>
      </c>
    </row>
    <row r="219" spans="1:26" ht="14">
      <c r="A219" s="83" t="s">
        <v>178</v>
      </c>
      <c r="B219" s="42">
        <f t="shared" si="30"/>
        <v>502.62</v>
      </c>
      <c r="G219" s="83" t="s">
        <v>178</v>
      </c>
      <c r="H219" s="42">
        <f t="shared" si="31"/>
        <v>981.1</v>
      </c>
      <c r="M219" s="83" t="s">
        <v>178</v>
      </c>
      <c r="N219" s="42">
        <f t="shared" si="32"/>
        <v>0</v>
      </c>
      <c r="S219" s="83" t="s">
        <v>178</v>
      </c>
      <c r="T219" s="42">
        <f t="shared" si="33"/>
        <v>0</v>
      </c>
      <c r="Y219" s="83" t="s">
        <v>178</v>
      </c>
      <c r="Z219" s="42">
        <f t="shared" si="34"/>
        <v>0</v>
      </c>
    </row>
    <row r="220" spans="1:26" ht="14">
      <c r="A220" s="83" t="s">
        <v>179</v>
      </c>
      <c r="B220" s="42">
        <f t="shared" si="30"/>
        <v>300.75</v>
      </c>
      <c r="G220" s="83" t="s">
        <v>179</v>
      </c>
      <c r="H220" s="42">
        <f t="shared" si="31"/>
        <v>1335.8</v>
      </c>
      <c r="M220" s="83" t="s">
        <v>179</v>
      </c>
      <c r="N220" s="42">
        <f t="shared" si="32"/>
        <v>0</v>
      </c>
      <c r="S220" s="83" t="s">
        <v>179</v>
      </c>
      <c r="T220" s="42">
        <f t="shared" si="33"/>
        <v>0</v>
      </c>
      <c r="Y220" s="83" t="s">
        <v>179</v>
      </c>
      <c r="Z220" s="42">
        <f t="shared" si="34"/>
        <v>0</v>
      </c>
    </row>
    <row r="221" spans="1:26" ht="14">
      <c r="A221" s="83" t="s">
        <v>54</v>
      </c>
      <c r="B221" s="42">
        <f t="shared" si="30"/>
        <v>732.57225600000004</v>
      </c>
      <c r="G221" s="83" t="s">
        <v>54</v>
      </c>
      <c r="H221" s="42">
        <f t="shared" si="31"/>
        <v>1881.7159919999999</v>
      </c>
      <c r="M221" s="83" t="s">
        <v>54</v>
      </c>
      <c r="N221" s="42">
        <f t="shared" si="32"/>
        <v>0</v>
      </c>
      <c r="S221" s="83" t="s">
        <v>54</v>
      </c>
      <c r="T221" s="42">
        <f t="shared" si="33"/>
        <v>0</v>
      </c>
      <c r="Y221" s="83" t="s">
        <v>54</v>
      </c>
      <c r="Z221" s="42">
        <f t="shared" si="34"/>
        <v>0</v>
      </c>
    </row>
    <row r="222" spans="1:26" ht="14">
      <c r="A222" s="83" t="s">
        <v>47</v>
      </c>
      <c r="B222" s="42">
        <f t="shared" si="30"/>
        <v>953.75872800000002</v>
      </c>
      <c r="G222" s="83" t="s">
        <v>47</v>
      </c>
      <c r="H222" s="42">
        <f t="shared" si="31"/>
        <v>2926.0292880000002</v>
      </c>
      <c r="M222" s="83" t="s">
        <v>47</v>
      </c>
      <c r="N222" s="42">
        <f t="shared" si="32"/>
        <v>0</v>
      </c>
      <c r="S222" s="83" t="s">
        <v>47</v>
      </c>
      <c r="T222" s="42">
        <f t="shared" si="33"/>
        <v>0</v>
      </c>
      <c r="Y222" s="83" t="s">
        <v>47</v>
      </c>
      <c r="Z222" s="42">
        <f t="shared" si="34"/>
        <v>0</v>
      </c>
    </row>
    <row r="223" spans="1:26" ht="14">
      <c r="A223" s="83" t="s">
        <v>53</v>
      </c>
      <c r="B223" s="42">
        <f t="shared" si="30"/>
        <v>153.38887199999999</v>
      </c>
      <c r="G223" s="83" t="s">
        <v>53</v>
      </c>
      <c r="H223" s="42">
        <f t="shared" si="31"/>
        <v>301.99353600000001</v>
      </c>
      <c r="M223" s="83" t="s">
        <v>53</v>
      </c>
      <c r="N223" s="42">
        <f t="shared" si="32"/>
        <v>0</v>
      </c>
      <c r="S223" s="83" t="s">
        <v>53</v>
      </c>
      <c r="T223" s="42">
        <f t="shared" si="33"/>
        <v>0</v>
      </c>
      <c r="Y223" s="83" t="s">
        <v>53</v>
      </c>
      <c r="Z223" s="42">
        <f t="shared" si="34"/>
        <v>0</v>
      </c>
    </row>
    <row r="224" spans="1:26" ht="14">
      <c r="A224" s="83" t="s">
        <v>180</v>
      </c>
      <c r="B224" s="42">
        <f t="shared" si="30"/>
        <v>3869.5932550000002</v>
      </c>
      <c r="G224" s="83" t="s">
        <v>180</v>
      </c>
      <c r="H224" s="42">
        <f t="shared" si="31"/>
        <v>23079.725222000001</v>
      </c>
      <c r="M224" s="83" t="s">
        <v>180</v>
      </c>
      <c r="N224" s="42">
        <f t="shared" si="32"/>
        <v>0</v>
      </c>
      <c r="S224" s="83" t="s">
        <v>180</v>
      </c>
      <c r="T224" s="42">
        <f t="shared" si="33"/>
        <v>0</v>
      </c>
      <c r="Y224" s="83" t="s">
        <v>180</v>
      </c>
      <c r="Z224" s="42">
        <f t="shared" si="34"/>
        <v>0</v>
      </c>
    </row>
    <row r="225" spans="1:26" ht="14">
      <c r="A225" s="83" t="s">
        <v>181</v>
      </c>
      <c r="B225" s="42">
        <f t="shared" si="30"/>
        <v>3.66</v>
      </c>
      <c r="G225" s="83" t="s">
        <v>181</v>
      </c>
      <c r="H225" s="42">
        <f t="shared" si="31"/>
        <v>1.83</v>
      </c>
      <c r="M225" s="83" t="s">
        <v>181</v>
      </c>
      <c r="N225" s="42">
        <f t="shared" si="32"/>
        <v>0</v>
      </c>
      <c r="S225" s="83" t="s">
        <v>181</v>
      </c>
      <c r="T225" s="42">
        <f t="shared" si="33"/>
        <v>0</v>
      </c>
      <c r="Y225" s="83" t="s">
        <v>181</v>
      </c>
      <c r="Z225" s="42">
        <f t="shared" si="34"/>
        <v>0</v>
      </c>
    </row>
    <row r="226" spans="1:26" ht="14">
      <c r="A226" s="83" t="s">
        <v>182</v>
      </c>
      <c r="B226" s="42">
        <f t="shared" si="30"/>
        <v>743.29676600000005</v>
      </c>
      <c r="G226" s="83" t="s">
        <v>182</v>
      </c>
      <c r="H226" s="42">
        <f t="shared" si="31"/>
        <v>1360.3302200000001</v>
      </c>
      <c r="M226" s="83" t="s">
        <v>182</v>
      </c>
      <c r="N226" s="42">
        <f t="shared" si="32"/>
        <v>0</v>
      </c>
      <c r="S226" s="83" t="s">
        <v>182</v>
      </c>
      <c r="T226" s="42">
        <f t="shared" si="33"/>
        <v>0</v>
      </c>
      <c r="Y226" s="83" t="s">
        <v>182</v>
      </c>
      <c r="Z226" s="42">
        <f t="shared" si="34"/>
        <v>0</v>
      </c>
    </row>
    <row r="227" spans="1:26" ht="14">
      <c r="A227" s="83" t="s">
        <v>52</v>
      </c>
      <c r="B227" s="42">
        <f t="shared" si="30"/>
        <v>515.86298399999998</v>
      </c>
      <c r="G227" s="83" t="s">
        <v>52</v>
      </c>
      <c r="H227" s="42">
        <f t="shared" si="31"/>
        <v>242.70261600000001</v>
      </c>
      <c r="M227" s="83" t="s">
        <v>52</v>
      </c>
      <c r="N227" s="42">
        <f t="shared" si="32"/>
        <v>0</v>
      </c>
      <c r="S227" s="83" t="s">
        <v>52</v>
      </c>
      <c r="T227" s="42">
        <f t="shared" si="33"/>
        <v>0</v>
      </c>
      <c r="Y227" s="83" t="s">
        <v>52</v>
      </c>
      <c r="Z227" s="42">
        <f t="shared" si="34"/>
        <v>0</v>
      </c>
    </row>
    <row r="228" spans="1:26" ht="14">
      <c r="A228" s="83" t="s">
        <v>90</v>
      </c>
      <c r="B228" s="42">
        <f t="shared" si="30"/>
        <v>55.146312000000002</v>
      </c>
      <c r="G228" s="83" t="s">
        <v>90</v>
      </c>
      <c r="H228" s="42">
        <f t="shared" si="31"/>
        <v>109.972824</v>
      </c>
      <c r="M228" s="83" t="s">
        <v>90</v>
      </c>
      <c r="N228" s="42">
        <f t="shared" si="32"/>
        <v>0</v>
      </c>
      <c r="S228" s="83" t="s">
        <v>90</v>
      </c>
      <c r="T228" s="42">
        <f t="shared" si="33"/>
        <v>0</v>
      </c>
      <c r="Y228" s="83" t="s">
        <v>90</v>
      </c>
      <c r="Z228" s="42">
        <f t="shared" si="34"/>
        <v>0</v>
      </c>
    </row>
    <row r="229" spans="1:26" ht="14">
      <c r="A229" s="83" t="s">
        <v>183</v>
      </c>
      <c r="B229" s="42">
        <f t="shared" si="30"/>
        <v>2233.366</v>
      </c>
      <c r="G229" s="83" t="s">
        <v>183</v>
      </c>
      <c r="H229" s="42">
        <f t="shared" si="31"/>
        <v>4904.7120000000004</v>
      </c>
      <c r="M229" s="83" t="s">
        <v>183</v>
      </c>
      <c r="N229" s="42">
        <f t="shared" si="32"/>
        <v>0</v>
      </c>
      <c r="S229" s="83" t="s">
        <v>183</v>
      </c>
      <c r="T229" s="42">
        <f t="shared" si="33"/>
        <v>0</v>
      </c>
      <c r="Y229" s="83" t="s">
        <v>183</v>
      </c>
      <c r="Z229" s="42">
        <f t="shared" si="34"/>
        <v>0</v>
      </c>
    </row>
    <row r="230" spans="1:26" ht="14">
      <c r="A230" s="83" t="s">
        <v>48</v>
      </c>
      <c r="B230" s="42">
        <f t="shared" si="30"/>
        <v>5068.8555839999999</v>
      </c>
      <c r="G230" s="83" t="s">
        <v>48</v>
      </c>
      <c r="H230" s="42">
        <f t="shared" si="31"/>
        <v>11381.963424</v>
      </c>
      <c r="M230" s="83" t="s">
        <v>48</v>
      </c>
      <c r="N230" s="42">
        <f t="shared" si="32"/>
        <v>0</v>
      </c>
      <c r="S230" s="83" t="s">
        <v>48</v>
      </c>
      <c r="T230" s="42">
        <f t="shared" si="33"/>
        <v>0</v>
      </c>
      <c r="Y230" s="83" t="s">
        <v>48</v>
      </c>
      <c r="Z230" s="42">
        <f t="shared" si="34"/>
        <v>0</v>
      </c>
    </row>
    <row r="231" spans="1:26" ht="14">
      <c r="A231" s="83" t="s">
        <v>184</v>
      </c>
      <c r="B231" s="42">
        <f t="shared" si="30"/>
        <v>17.36</v>
      </c>
      <c r="G231" s="83" t="s">
        <v>184</v>
      </c>
      <c r="H231" s="42">
        <f t="shared" si="31"/>
        <v>138.26</v>
      </c>
      <c r="M231" s="83" t="s">
        <v>184</v>
      </c>
      <c r="N231" s="42">
        <f t="shared" si="32"/>
        <v>0</v>
      </c>
      <c r="S231" s="83" t="s">
        <v>184</v>
      </c>
      <c r="T231" s="42">
        <f t="shared" si="33"/>
        <v>0</v>
      </c>
      <c r="Y231" s="83" t="s">
        <v>184</v>
      </c>
      <c r="Z231" s="42">
        <f t="shared" si="34"/>
        <v>0</v>
      </c>
    </row>
    <row r="232" spans="1:26" ht="14">
      <c r="A232" s="83" t="s">
        <v>185</v>
      </c>
      <c r="B232" s="42">
        <f t="shared" si="30"/>
        <v>0</v>
      </c>
      <c r="G232" s="83" t="s">
        <v>185</v>
      </c>
      <c r="H232" s="42">
        <f t="shared" si="31"/>
        <v>0</v>
      </c>
      <c r="M232" s="83" t="s">
        <v>185</v>
      </c>
      <c r="N232" s="42">
        <f t="shared" si="32"/>
        <v>0</v>
      </c>
      <c r="S232" s="83" t="s">
        <v>185</v>
      </c>
      <c r="T232" s="42">
        <f t="shared" si="33"/>
        <v>0</v>
      </c>
      <c r="Y232" s="83" t="s">
        <v>185</v>
      </c>
      <c r="Z232" s="42">
        <f t="shared" si="34"/>
        <v>0</v>
      </c>
    </row>
    <row r="233" spans="1:26" ht="14">
      <c r="A233" s="83" t="s">
        <v>49</v>
      </c>
      <c r="B233" s="42">
        <f t="shared" si="30"/>
        <v>1944.2560800000001</v>
      </c>
      <c r="G233" s="83" t="s">
        <v>49</v>
      </c>
      <c r="H233" s="42">
        <f t="shared" si="31"/>
        <v>2138.7200640000001</v>
      </c>
      <c r="M233" s="83" t="s">
        <v>49</v>
      </c>
      <c r="N233" s="42">
        <f t="shared" si="32"/>
        <v>0</v>
      </c>
      <c r="S233" s="83" t="s">
        <v>49</v>
      </c>
      <c r="T233" s="42">
        <f t="shared" si="33"/>
        <v>0</v>
      </c>
      <c r="Y233" s="83" t="s">
        <v>49</v>
      </c>
      <c r="Z233" s="42">
        <f t="shared" si="34"/>
        <v>0</v>
      </c>
    </row>
    <row r="234" spans="1:26" ht="14">
      <c r="A234" s="83" t="s">
        <v>50</v>
      </c>
      <c r="B234" s="42">
        <f t="shared" si="30"/>
        <v>7220.9304959999999</v>
      </c>
      <c r="G234" s="83" t="s">
        <v>50</v>
      </c>
      <c r="H234" s="42">
        <f t="shared" si="31"/>
        <v>10203.001536</v>
      </c>
      <c r="M234" s="83" t="s">
        <v>50</v>
      </c>
      <c r="N234" s="42">
        <f t="shared" si="32"/>
        <v>0</v>
      </c>
      <c r="S234" s="83" t="s">
        <v>50</v>
      </c>
      <c r="T234" s="42">
        <f t="shared" si="33"/>
        <v>0</v>
      </c>
      <c r="Y234" s="83" t="s">
        <v>50</v>
      </c>
      <c r="Z234" s="42">
        <f t="shared" si="34"/>
        <v>0</v>
      </c>
    </row>
    <row r="235" spans="1:26" ht="14">
      <c r="A235" s="83" t="s">
        <v>186</v>
      </c>
      <c r="B235" s="42">
        <f t="shared" si="30"/>
        <v>2072.6016639999998</v>
      </c>
      <c r="G235" s="83" t="s">
        <v>186</v>
      </c>
      <c r="H235" s="42">
        <f t="shared" si="31"/>
        <v>438.36318399999999</v>
      </c>
      <c r="M235" s="83" t="s">
        <v>186</v>
      </c>
      <c r="N235" s="42">
        <f t="shared" si="32"/>
        <v>0</v>
      </c>
      <c r="S235" s="83" t="s">
        <v>186</v>
      </c>
      <c r="T235" s="42">
        <f t="shared" si="33"/>
        <v>0</v>
      </c>
      <c r="Y235" s="83" t="s">
        <v>186</v>
      </c>
      <c r="Z235" s="42">
        <f t="shared" si="34"/>
        <v>0</v>
      </c>
    </row>
    <row r="236" spans="1:26" ht="14">
      <c r="A236" s="83" t="s">
        <v>187</v>
      </c>
      <c r="B236" s="42">
        <f t="shared" si="30"/>
        <v>2.4</v>
      </c>
      <c r="G236" s="83" t="s">
        <v>187</v>
      </c>
      <c r="H236" s="42">
        <f t="shared" si="31"/>
        <v>2.4</v>
      </c>
      <c r="M236" s="83" t="s">
        <v>187</v>
      </c>
      <c r="N236" s="42">
        <f t="shared" si="32"/>
        <v>0</v>
      </c>
      <c r="S236" s="83" t="s">
        <v>187</v>
      </c>
      <c r="T236" s="42">
        <f t="shared" si="33"/>
        <v>0</v>
      </c>
      <c r="Y236" s="83" t="s">
        <v>187</v>
      </c>
      <c r="Z236" s="42">
        <f t="shared" si="34"/>
        <v>0</v>
      </c>
    </row>
    <row r="237" spans="1:26" ht="14">
      <c r="A237" s="83" t="s">
        <v>188</v>
      </c>
      <c r="B237" s="42">
        <f t="shared" si="30"/>
        <v>453.9</v>
      </c>
      <c r="G237" s="83" t="s">
        <v>188</v>
      </c>
      <c r="H237" s="42">
        <f t="shared" si="31"/>
        <v>673.08</v>
      </c>
      <c r="M237" s="83" t="s">
        <v>188</v>
      </c>
      <c r="N237" s="42">
        <f t="shared" si="32"/>
        <v>0</v>
      </c>
      <c r="S237" s="83" t="s">
        <v>188</v>
      </c>
      <c r="T237" s="42">
        <f t="shared" si="33"/>
        <v>0</v>
      </c>
      <c r="Y237" s="83" t="s">
        <v>188</v>
      </c>
      <c r="Z237" s="42">
        <f t="shared" si="34"/>
        <v>0</v>
      </c>
    </row>
    <row r="238" spans="1:26" ht="14">
      <c r="A238" s="83" t="s">
        <v>189</v>
      </c>
      <c r="B238" s="42">
        <f t="shared" si="30"/>
        <v>40.17</v>
      </c>
      <c r="G238" s="83" t="s">
        <v>189</v>
      </c>
      <c r="H238" s="42">
        <f t="shared" si="31"/>
        <v>42.09</v>
      </c>
      <c r="M238" s="83" t="s">
        <v>189</v>
      </c>
      <c r="N238" s="42">
        <f t="shared" si="32"/>
        <v>0</v>
      </c>
      <c r="S238" s="83" t="s">
        <v>189</v>
      </c>
      <c r="T238" s="42">
        <f t="shared" si="33"/>
        <v>0</v>
      </c>
      <c r="Y238" s="83" t="s">
        <v>189</v>
      </c>
      <c r="Z238" s="42">
        <f t="shared" si="34"/>
        <v>0</v>
      </c>
    </row>
    <row r="239" spans="1:26" ht="14">
      <c r="A239" s="83" t="s">
        <v>190</v>
      </c>
      <c r="B239" s="42">
        <f t="shared" si="30"/>
        <v>875.165707</v>
      </c>
      <c r="G239" s="83" t="s">
        <v>190</v>
      </c>
      <c r="H239" s="42">
        <f t="shared" si="31"/>
        <v>8589.9061349999993</v>
      </c>
      <c r="M239" s="83" t="s">
        <v>190</v>
      </c>
      <c r="N239" s="42">
        <f t="shared" si="32"/>
        <v>0</v>
      </c>
      <c r="S239" s="83" t="s">
        <v>190</v>
      </c>
      <c r="T239" s="42">
        <f t="shared" si="33"/>
        <v>0</v>
      </c>
      <c r="Y239" s="83" t="s">
        <v>190</v>
      </c>
      <c r="Z239" s="42">
        <f t="shared" si="34"/>
        <v>0</v>
      </c>
    </row>
    <row r="240" spans="1:26" ht="14">
      <c r="A240" s="83" t="s">
        <v>191</v>
      </c>
      <c r="B240" s="42">
        <f t="shared" si="30"/>
        <v>1.47</v>
      </c>
      <c r="G240" s="83" t="s">
        <v>191</v>
      </c>
      <c r="H240" s="42">
        <f t="shared" si="31"/>
        <v>25.2</v>
      </c>
      <c r="M240" s="83" t="s">
        <v>191</v>
      </c>
      <c r="N240" s="42">
        <f t="shared" si="32"/>
        <v>0</v>
      </c>
      <c r="S240" s="83" t="s">
        <v>191</v>
      </c>
      <c r="T240" s="42">
        <f t="shared" si="33"/>
        <v>0</v>
      </c>
      <c r="Y240" s="83" t="s">
        <v>191</v>
      </c>
      <c r="Z240" s="42">
        <f t="shared" si="34"/>
        <v>0</v>
      </c>
    </row>
    <row r="241" spans="1:26" ht="14">
      <c r="A241" s="83" t="s">
        <v>192</v>
      </c>
      <c r="B241" s="42">
        <f t="shared" si="30"/>
        <v>2.44</v>
      </c>
      <c r="G241" s="83" t="s">
        <v>192</v>
      </c>
      <c r="H241" s="42">
        <f t="shared" si="31"/>
        <v>9.76</v>
      </c>
      <c r="M241" s="83" t="s">
        <v>192</v>
      </c>
      <c r="N241" s="42">
        <f t="shared" si="32"/>
        <v>0</v>
      </c>
      <c r="S241" s="83" t="s">
        <v>192</v>
      </c>
      <c r="T241" s="42">
        <f t="shared" si="33"/>
        <v>0</v>
      </c>
      <c r="Y241" s="83" t="s">
        <v>192</v>
      </c>
      <c r="Z241" s="42">
        <f t="shared" si="34"/>
        <v>0</v>
      </c>
    </row>
    <row r="242" spans="1:26" ht="14">
      <c r="A242" s="83" t="s">
        <v>193</v>
      </c>
      <c r="B242" s="42">
        <f t="shared" si="30"/>
        <v>67.680000000000007</v>
      </c>
      <c r="G242" s="83" t="s">
        <v>193</v>
      </c>
      <c r="H242" s="42">
        <f t="shared" si="31"/>
        <v>531.29999999999995</v>
      </c>
      <c r="M242" s="83" t="s">
        <v>193</v>
      </c>
      <c r="N242" s="42">
        <f t="shared" si="32"/>
        <v>0</v>
      </c>
      <c r="S242" s="83" t="s">
        <v>193</v>
      </c>
      <c r="T242" s="42">
        <f t="shared" si="33"/>
        <v>0</v>
      </c>
      <c r="Y242" s="83" t="s">
        <v>193</v>
      </c>
      <c r="Z242" s="42">
        <f t="shared" si="34"/>
        <v>0</v>
      </c>
    </row>
    <row r="243" spans="1:26" ht="14">
      <c r="A243" s="83" t="s">
        <v>72</v>
      </c>
      <c r="B243" s="42">
        <f t="shared" si="30"/>
        <v>75879.419743999999</v>
      </c>
      <c r="G243" s="83" t="s">
        <v>72</v>
      </c>
      <c r="H243" s="42">
        <f t="shared" si="31"/>
        <v>86246.171231999993</v>
      </c>
      <c r="M243" s="83" t="s">
        <v>72</v>
      </c>
      <c r="N243" s="42">
        <f t="shared" si="32"/>
        <v>0</v>
      </c>
      <c r="S243" s="83" t="s">
        <v>72</v>
      </c>
      <c r="T243" s="42">
        <f t="shared" si="33"/>
        <v>0</v>
      </c>
      <c r="Y243" s="83" t="s">
        <v>72</v>
      </c>
      <c r="Z243" s="42">
        <f t="shared" si="34"/>
        <v>0</v>
      </c>
    </row>
    <row r="244" spans="1:26" ht="14">
      <c r="A244" s="83" t="s">
        <v>199</v>
      </c>
      <c r="B244" s="42">
        <f t="shared" si="30"/>
        <v>313550.95</v>
      </c>
      <c r="G244" s="83" t="s">
        <v>199</v>
      </c>
      <c r="H244" s="42">
        <f t="shared" si="31"/>
        <v>398129.06</v>
      </c>
      <c r="M244" s="83" t="s">
        <v>199</v>
      </c>
      <c r="N244" s="42">
        <f t="shared" si="32"/>
        <v>0</v>
      </c>
      <c r="S244" s="83" t="s">
        <v>199</v>
      </c>
      <c r="T244" s="42">
        <f t="shared" si="33"/>
        <v>0</v>
      </c>
      <c r="Y244" s="83" t="s">
        <v>199</v>
      </c>
      <c r="Z244" s="42">
        <f t="shared" si="34"/>
        <v>0</v>
      </c>
    </row>
    <row r="245" spans="1:26" ht="14">
      <c r="A245" s="83" t="s">
        <v>194</v>
      </c>
      <c r="B245" s="42">
        <f t="shared" si="30"/>
        <v>0</v>
      </c>
      <c r="G245" s="83" t="s">
        <v>194</v>
      </c>
      <c r="H245" s="42">
        <f t="shared" si="31"/>
        <v>13.8</v>
      </c>
      <c r="M245" s="83" t="s">
        <v>194</v>
      </c>
      <c r="N245" s="42">
        <f t="shared" si="32"/>
        <v>0</v>
      </c>
      <c r="S245" s="83" t="s">
        <v>194</v>
      </c>
      <c r="T245" s="42">
        <f t="shared" si="33"/>
        <v>0</v>
      </c>
      <c r="Y245" s="83" t="s">
        <v>194</v>
      </c>
      <c r="Z245" s="42">
        <f t="shared" si="34"/>
        <v>0</v>
      </c>
    </row>
    <row r="246" spans="1:26" ht="14">
      <c r="A246" s="83" t="s">
        <v>195</v>
      </c>
      <c r="B246" s="42">
        <f t="shared" si="30"/>
        <v>77.400000000000006</v>
      </c>
      <c r="G246" s="83" t="s">
        <v>195</v>
      </c>
      <c r="H246" s="42">
        <f t="shared" si="31"/>
        <v>76.86</v>
      </c>
      <c r="M246" s="83" t="s">
        <v>195</v>
      </c>
      <c r="N246" s="42">
        <f t="shared" si="32"/>
        <v>0</v>
      </c>
      <c r="S246" s="83" t="s">
        <v>195</v>
      </c>
      <c r="T246" s="42">
        <f t="shared" si="33"/>
        <v>0</v>
      </c>
      <c r="Y246" s="83" t="s">
        <v>195</v>
      </c>
      <c r="Z246" s="42">
        <f t="shared" si="34"/>
        <v>0</v>
      </c>
    </row>
    <row r="247" spans="1:26" ht="14">
      <c r="A247" s="83" t="s">
        <v>196</v>
      </c>
      <c r="B247" s="42">
        <f t="shared" si="30"/>
        <v>3.1</v>
      </c>
      <c r="G247" s="83" t="s">
        <v>196</v>
      </c>
      <c r="H247" s="42">
        <f t="shared" si="31"/>
        <v>103.11</v>
      </c>
      <c r="M247" s="83" t="s">
        <v>196</v>
      </c>
      <c r="N247" s="42">
        <f t="shared" si="32"/>
        <v>0</v>
      </c>
      <c r="S247" s="83" t="s">
        <v>196</v>
      </c>
      <c r="T247" s="42">
        <f t="shared" si="33"/>
        <v>0</v>
      </c>
      <c r="Y247" s="83" t="s">
        <v>196</v>
      </c>
      <c r="Z247" s="42">
        <f t="shared" si="34"/>
        <v>0</v>
      </c>
    </row>
    <row r="248" spans="1:26" ht="14">
      <c r="A248" s="83" t="s">
        <v>197</v>
      </c>
      <c r="B248" s="42">
        <f t="shared" si="30"/>
        <v>5.67</v>
      </c>
      <c r="G248" s="83" t="s">
        <v>197</v>
      </c>
      <c r="H248" s="42">
        <f t="shared" si="31"/>
        <v>15.86</v>
      </c>
      <c r="M248" s="83" t="s">
        <v>197</v>
      </c>
      <c r="N248" s="42">
        <f t="shared" si="32"/>
        <v>0</v>
      </c>
      <c r="S248" s="83" t="s">
        <v>197</v>
      </c>
      <c r="T248" s="42">
        <f t="shared" si="33"/>
        <v>0</v>
      </c>
      <c r="Y248" s="83" t="s">
        <v>197</v>
      </c>
      <c r="Z248" s="42">
        <f t="shared" si="34"/>
        <v>0</v>
      </c>
    </row>
    <row r="249" spans="1:26" ht="14">
      <c r="A249" s="83" t="s">
        <v>198</v>
      </c>
      <c r="B249" s="42">
        <f t="shared" si="30"/>
        <v>6.1</v>
      </c>
      <c r="G249" s="83" t="s">
        <v>198</v>
      </c>
      <c r="H249" s="42">
        <f t="shared" si="31"/>
        <v>7.32</v>
      </c>
      <c r="M249" s="83" t="s">
        <v>198</v>
      </c>
      <c r="N249" s="42">
        <f t="shared" si="32"/>
        <v>0</v>
      </c>
      <c r="S249" s="83" t="s">
        <v>198</v>
      </c>
      <c r="T249" s="42">
        <f t="shared" si="33"/>
        <v>0</v>
      </c>
      <c r="Y249" s="83" t="s">
        <v>198</v>
      </c>
      <c r="Z249" s="42">
        <f t="shared" si="34"/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249977111117893"/>
  </sheetPr>
  <dimension ref="A1:AE249"/>
  <sheetViews>
    <sheetView zoomScale="80" zoomScaleNormal="80" zoomScalePageLayoutView="80" workbookViewId="0">
      <selection activeCell="H2" sqref="H2:H113"/>
    </sheetView>
  </sheetViews>
  <sheetFormatPr baseColWidth="10" defaultColWidth="8.83203125" defaultRowHeight="12" x14ac:dyDescent="0"/>
  <cols>
    <col min="1" max="1" width="17" bestFit="1" customWidth="1"/>
    <col min="2" max="2" width="13" bestFit="1" customWidth="1"/>
    <col min="7" max="7" width="17" bestFit="1" customWidth="1"/>
    <col min="8" max="8" width="13" bestFit="1" customWidth="1"/>
    <col min="13" max="13" width="17" bestFit="1" customWidth="1"/>
    <col min="14" max="14" width="13.5" bestFit="1" customWidth="1"/>
    <col min="19" max="19" width="18" customWidth="1"/>
    <col min="20" max="20" width="13.5" bestFit="1" customWidth="1"/>
    <col min="25" max="25" width="18.5" customWidth="1"/>
    <col min="26" max="26" width="12.33203125" bestFit="1" customWidth="1"/>
  </cols>
  <sheetData>
    <row r="1" spans="1:31" s="42" customFormat="1" ht="14">
      <c r="A1" s="55" t="s">
        <v>16</v>
      </c>
      <c r="B1" s="55"/>
      <c r="C1" s="55"/>
      <c r="D1" s="55"/>
      <c r="E1" s="55"/>
      <c r="F1" s="81"/>
      <c r="G1" s="55" t="s">
        <v>17</v>
      </c>
      <c r="H1" s="55"/>
      <c r="I1" s="55"/>
      <c r="J1" s="55"/>
      <c r="K1" s="55"/>
      <c r="L1" s="81"/>
      <c r="M1" s="55" t="s">
        <v>18</v>
      </c>
      <c r="N1" s="55"/>
      <c r="O1" s="55"/>
      <c r="P1" s="55"/>
      <c r="Q1" s="55"/>
      <c r="R1" s="81"/>
      <c r="S1" s="55" t="s">
        <v>19</v>
      </c>
      <c r="T1" s="55"/>
      <c r="U1" s="55"/>
      <c r="V1" s="55"/>
      <c r="W1" s="55"/>
      <c r="X1" s="81"/>
      <c r="Y1" s="55" t="s">
        <v>20</v>
      </c>
      <c r="Z1" s="55"/>
      <c r="AA1" s="55"/>
      <c r="AB1" s="55"/>
      <c r="AC1" s="55"/>
      <c r="AD1" s="81"/>
    </row>
    <row r="2" spans="1:31" s="42" customFormat="1" ht="14">
      <c r="A2" s="82" t="s">
        <v>203</v>
      </c>
      <c r="B2" s="307"/>
      <c r="E2" s="55"/>
      <c r="F2" s="81" t="s">
        <v>203</v>
      </c>
      <c r="G2" s="82" t="s">
        <v>203</v>
      </c>
      <c r="H2" s="307">
        <v>0</v>
      </c>
      <c r="I2" s="8"/>
      <c r="J2" s="8"/>
      <c r="K2" s="55"/>
      <c r="L2" s="81"/>
      <c r="M2" s="82" t="s">
        <v>203</v>
      </c>
      <c r="N2" s="307"/>
      <c r="Q2" s="55"/>
      <c r="R2" s="81"/>
      <c r="S2" s="82" t="s">
        <v>203</v>
      </c>
      <c r="T2" s="307"/>
      <c r="W2" s="55"/>
      <c r="X2" s="81"/>
      <c r="Y2" s="82" t="s">
        <v>203</v>
      </c>
      <c r="Z2" s="307"/>
      <c r="AC2" s="55"/>
      <c r="AD2" s="81"/>
      <c r="AE2" s="82" t="s">
        <v>124</v>
      </c>
    </row>
    <row r="3" spans="1:31" s="42" customFormat="1" ht="14">
      <c r="A3" s="56" t="s">
        <v>204</v>
      </c>
      <c r="B3" s="307">
        <v>0</v>
      </c>
      <c r="E3" s="8" t="e">
        <f>C3/B3</f>
        <v>#DIV/0!</v>
      </c>
      <c r="F3" s="81" t="s">
        <v>204</v>
      </c>
      <c r="G3" s="56" t="s">
        <v>204</v>
      </c>
      <c r="H3" s="307">
        <v>0</v>
      </c>
      <c r="I3" s="8"/>
      <c r="J3" s="8"/>
      <c r="K3" s="8" t="e">
        <f>I3/H3</f>
        <v>#DIV/0!</v>
      </c>
      <c r="L3" s="38"/>
      <c r="M3" s="56" t="s">
        <v>204</v>
      </c>
      <c r="N3" s="307"/>
      <c r="Q3" s="8" t="e">
        <f>O3/N3</f>
        <v>#DIV/0!</v>
      </c>
      <c r="R3" s="38"/>
      <c r="S3" s="56" t="s">
        <v>204</v>
      </c>
      <c r="T3" s="307"/>
      <c r="W3" s="37" t="e">
        <f>U3/T3</f>
        <v>#DIV/0!</v>
      </c>
      <c r="X3" s="38"/>
      <c r="Y3" s="56" t="s">
        <v>204</v>
      </c>
      <c r="Z3" s="307"/>
      <c r="AC3" s="37" t="e">
        <f>AA3/Z3</f>
        <v>#DIV/0!</v>
      </c>
      <c r="AD3" s="38"/>
      <c r="AE3" s="56" t="s">
        <v>125</v>
      </c>
    </row>
    <row r="4" spans="1:31" s="42" customFormat="1" ht="14">
      <c r="A4" s="56" t="s">
        <v>205</v>
      </c>
      <c r="B4" s="307">
        <v>25.619999999999987</v>
      </c>
      <c r="E4" s="8">
        <f>C4/B4</f>
        <v>0</v>
      </c>
      <c r="F4" s="81" t="s">
        <v>205</v>
      </c>
      <c r="G4" s="56" t="s">
        <v>205</v>
      </c>
      <c r="H4" s="307">
        <v>14.029999999999994</v>
      </c>
      <c r="I4" s="8"/>
      <c r="J4" s="8"/>
      <c r="K4" s="8">
        <f>I4/H4</f>
        <v>0</v>
      </c>
      <c r="L4" s="38"/>
      <c r="M4" s="56" t="s">
        <v>205</v>
      </c>
      <c r="N4" s="307"/>
      <c r="Q4" s="8" t="e">
        <f>O4/N4</f>
        <v>#DIV/0!</v>
      </c>
      <c r="R4" s="38"/>
      <c r="S4" s="56" t="s">
        <v>205</v>
      </c>
      <c r="T4" s="307"/>
      <c r="W4" s="37" t="e">
        <f>U4/T4</f>
        <v>#DIV/0!</v>
      </c>
      <c r="X4" s="38"/>
      <c r="Y4" s="56" t="s">
        <v>205</v>
      </c>
      <c r="Z4" s="307"/>
      <c r="AC4" s="37" t="e">
        <f>AA4/Z4</f>
        <v>#DIV/0!</v>
      </c>
      <c r="AD4" s="38"/>
      <c r="AE4" s="56" t="s">
        <v>126</v>
      </c>
    </row>
    <row r="5" spans="1:31" s="42" customFormat="1" ht="14">
      <c r="A5" s="56" t="s">
        <v>206</v>
      </c>
      <c r="B5" s="307">
        <v>0</v>
      </c>
      <c r="E5" s="8" t="e">
        <f>C5/B5</f>
        <v>#DIV/0!</v>
      </c>
      <c r="F5" s="81" t="s">
        <v>206</v>
      </c>
      <c r="G5" s="56" t="s">
        <v>206</v>
      </c>
      <c r="H5" s="307">
        <v>0</v>
      </c>
      <c r="I5" s="8"/>
      <c r="J5" s="8"/>
      <c r="K5" s="8" t="e">
        <f>I5/H5</f>
        <v>#DIV/0!</v>
      </c>
      <c r="L5" s="38"/>
      <c r="M5" s="56" t="s">
        <v>206</v>
      </c>
      <c r="N5" s="307"/>
      <c r="Q5" s="8" t="e">
        <f>O5/N5</f>
        <v>#DIV/0!</v>
      </c>
      <c r="R5" s="38"/>
      <c r="S5" s="56" t="s">
        <v>206</v>
      </c>
      <c r="T5" s="307"/>
      <c r="W5" s="8" t="e">
        <f>U5/T5</f>
        <v>#DIV/0!</v>
      </c>
      <c r="X5" s="38"/>
      <c r="Y5" s="56" t="s">
        <v>206</v>
      </c>
      <c r="Z5" s="307"/>
      <c r="AC5" s="8" t="e">
        <f>AA5/Z5</f>
        <v>#DIV/0!</v>
      </c>
      <c r="AD5" s="38"/>
      <c r="AE5" s="56" t="s">
        <v>127</v>
      </c>
    </row>
    <row r="6" spans="1:31" s="42" customFormat="1" ht="14">
      <c r="A6" s="56" t="s">
        <v>207</v>
      </c>
      <c r="B6" s="307">
        <v>3500.8323507999403</v>
      </c>
      <c r="E6" s="8"/>
      <c r="F6" s="81" t="s">
        <v>207</v>
      </c>
      <c r="G6" s="56" t="s">
        <v>207</v>
      </c>
      <c r="H6" s="307">
        <v>2858.3948305999525</v>
      </c>
      <c r="I6" s="8"/>
      <c r="J6" s="8"/>
      <c r="K6" s="8"/>
      <c r="L6" s="38"/>
      <c r="M6" s="56" t="s">
        <v>207</v>
      </c>
      <c r="N6" s="307"/>
      <c r="Q6" s="8"/>
      <c r="R6" s="38"/>
      <c r="S6" s="56" t="s">
        <v>207</v>
      </c>
      <c r="T6" s="307"/>
      <c r="W6" s="8"/>
      <c r="X6" s="38"/>
      <c r="Y6" s="56" t="s">
        <v>207</v>
      </c>
      <c r="Z6" s="307"/>
      <c r="AC6" s="8"/>
      <c r="AD6" s="38"/>
      <c r="AE6" s="56" t="s">
        <v>33</v>
      </c>
    </row>
    <row r="7" spans="1:31" s="42" customFormat="1" ht="14">
      <c r="A7" s="56" t="s">
        <v>208</v>
      </c>
      <c r="B7" s="307">
        <v>90.917268000000007</v>
      </c>
      <c r="E7" s="8"/>
      <c r="F7" s="81" t="s">
        <v>208</v>
      </c>
      <c r="G7" s="56" t="s">
        <v>208</v>
      </c>
      <c r="H7" s="307">
        <v>70.610943000000034</v>
      </c>
      <c r="I7" s="8"/>
      <c r="J7" s="8"/>
      <c r="K7" s="8"/>
      <c r="L7" s="38"/>
      <c r="M7" s="56" t="s">
        <v>208</v>
      </c>
      <c r="N7" s="307"/>
      <c r="Q7" s="8"/>
      <c r="R7" s="38"/>
      <c r="S7" s="56" t="s">
        <v>208</v>
      </c>
      <c r="T7" s="307"/>
      <c r="W7" s="8"/>
      <c r="X7" s="38"/>
      <c r="Y7" s="56" t="s">
        <v>208</v>
      </c>
      <c r="Z7" s="307"/>
      <c r="AC7" s="8"/>
      <c r="AD7" s="38"/>
      <c r="AE7" s="56" t="s">
        <v>34</v>
      </c>
    </row>
    <row r="8" spans="1:31" s="42" customFormat="1" ht="14">
      <c r="A8" s="56" t="s">
        <v>209</v>
      </c>
      <c r="B8" s="307">
        <v>0.6</v>
      </c>
      <c r="E8" s="8"/>
      <c r="F8" s="81" t="s">
        <v>209</v>
      </c>
      <c r="G8" s="56" t="s">
        <v>209</v>
      </c>
      <c r="H8" s="307">
        <v>0.6</v>
      </c>
      <c r="I8" s="8"/>
      <c r="J8" s="8"/>
      <c r="K8" s="8"/>
      <c r="L8" s="38"/>
      <c r="M8" s="56" t="s">
        <v>209</v>
      </c>
      <c r="N8" s="307"/>
      <c r="Q8" s="8"/>
      <c r="R8" s="38"/>
      <c r="S8" s="56" t="s">
        <v>209</v>
      </c>
      <c r="T8" s="307"/>
      <c r="W8" s="8"/>
      <c r="X8" s="38"/>
      <c r="Y8" s="56" t="s">
        <v>209</v>
      </c>
      <c r="Z8" s="307"/>
      <c r="AC8" s="8"/>
      <c r="AD8" s="38"/>
      <c r="AE8" s="56" t="s">
        <v>128</v>
      </c>
    </row>
    <row r="9" spans="1:31" s="42" customFormat="1" ht="14">
      <c r="A9" s="56" t="s">
        <v>210</v>
      </c>
      <c r="B9" s="307">
        <v>0</v>
      </c>
      <c r="E9" s="8" t="e">
        <f t="shared" ref="E9:E62" si="0">C9/B9</f>
        <v>#DIV/0!</v>
      </c>
      <c r="F9" s="81" t="s">
        <v>210</v>
      </c>
      <c r="G9" s="56" t="s">
        <v>210</v>
      </c>
      <c r="H9" s="307">
        <v>0.61</v>
      </c>
      <c r="I9" s="8"/>
      <c r="J9" s="8"/>
      <c r="K9" s="8">
        <f t="shared" ref="K9:K62" si="1">I9/H9</f>
        <v>0</v>
      </c>
      <c r="L9" s="38"/>
      <c r="M9" s="56" t="s">
        <v>210</v>
      </c>
      <c r="N9" s="307"/>
      <c r="Q9" s="8" t="e">
        <f t="shared" ref="Q9:Q62" si="2">O9/N9</f>
        <v>#DIV/0!</v>
      </c>
      <c r="R9" s="38"/>
      <c r="S9" s="56" t="s">
        <v>210</v>
      </c>
      <c r="T9" s="307"/>
      <c r="W9" s="8" t="e">
        <f>U9/T9</f>
        <v>#DIV/0!</v>
      </c>
      <c r="X9" s="38"/>
      <c r="Y9" s="56" t="s">
        <v>210</v>
      </c>
      <c r="Z9" s="307"/>
      <c r="AC9" s="8" t="e">
        <f>AA9/Z9</f>
        <v>#DIV/0!</v>
      </c>
      <c r="AD9" s="38"/>
      <c r="AE9" s="56" t="s">
        <v>129</v>
      </c>
    </row>
    <row r="10" spans="1:31" s="42" customFormat="1" ht="14">
      <c r="A10" s="56" t="s">
        <v>211</v>
      </c>
      <c r="B10" s="307">
        <v>0</v>
      </c>
      <c r="E10" s="8"/>
      <c r="F10" s="81" t="s">
        <v>211</v>
      </c>
      <c r="G10" s="56" t="s">
        <v>211</v>
      </c>
      <c r="H10" s="307">
        <v>0.61</v>
      </c>
      <c r="I10" s="8"/>
      <c r="J10" s="8"/>
      <c r="K10" s="8"/>
      <c r="L10" s="38"/>
      <c r="M10" s="56" t="s">
        <v>211</v>
      </c>
      <c r="N10" s="307"/>
      <c r="Q10" s="8"/>
      <c r="R10" s="38"/>
      <c r="S10" s="56" t="s">
        <v>211</v>
      </c>
      <c r="T10" s="307"/>
      <c r="W10" s="8"/>
      <c r="X10" s="38"/>
      <c r="Y10" s="56" t="s">
        <v>211</v>
      </c>
      <c r="Z10" s="307"/>
      <c r="AC10" s="8"/>
      <c r="AD10" s="38"/>
      <c r="AE10" s="56" t="s">
        <v>130</v>
      </c>
    </row>
    <row r="11" spans="1:31" s="42" customFormat="1" ht="14">
      <c r="A11" s="56" t="s">
        <v>212</v>
      </c>
      <c r="B11" s="307">
        <v>0</v>
      </c>
      <c r="E11" s="8" t="e">
        <f t="shared" si="0"/>
        <v>#DIV/0!</v>
      </c>
      <c r="F11" s="81" t="s">
        <v>212</v>
      </c>
      <c r="G11" s="56" t="s">
        <v>212</v>
      </c>
      <c r="H11" s="307">
        <v>0</v>
      </c>
      <c r="I11" s="8"/>
      <c r="J11" s="8"/>
      <c r="K11" s="8" t="e">
        <f t="shared" si="1"/>
        <v>#DIV/0!</v>
      </c>
      <c r="L11" s="38"/>
      <c r="M11" s="56" t="s">
        <v>212</v>
      </c>
      <c r="N11" s="307"/>
      <c r="Q11" s="8" t="e">
        <f t="shared" si="2"/>
        <v>#DIV/0!</v>
      </c>
      <c r="R11" s="38"/>
      <c r="S11" s="56" t="s">
        <v>212</v>
      </c>
      <c r="T11" s="307"/>
      <c r="W11" s="8" t="e">
        <f t="shared" ref="W11:W62" si="3">U11/T11</f>
        <v>#DIV/0!</v>
      </c>
      <c r="X11" s="38"/>
      <c r="Y11" s="56" t="s">
        <v>212</v>
      </c>
      <c r="Z11" s="307"/>
      <c r="AC11" s="8" t="e">
        <f t="shared" ref="AC11:AC62" si="4">AA11/Z11</f>
        <v>#DIV/0!</v>
      </c>
      <c r="AD11" s="38"/>
      <c r="AE11" s="56" t="s">
        <v>131</v>
      </c>
    </row>
    <row r="12" spans="1:31" s="42" customFormat="1" ht="14">
      <c r="A12" s="56" t="s">
        <v>213</v>
      </c>
      <c r="B12" s="307">
        <v>210.19455599999978</v>
      </c>
      <c r="E12" s="8"/>
      <c r="F12" s="81" t="s">
        <v>213</v>
      </c>
      <c r="G12" s="56" t="s">
        <v>213</v>
      </c>
      <c r="H12" s="307">
        <v>305.39336100000031</v>
      </c>
      <c r="I12" s="8"/>
      <c r="J12" s="8"/>
      <c r="K12" s="8"/>
      <c r="L12" s="38"/>
      <c r="M12" s="56" t="s">
        <v>213</v>
      </c>
      <c r="N12" s="307"/>
      <c r="Q12" s="8"/>
      <c r="R12" s="38"/>
      <c r="S12" s="56" t="s">
        <v>213</v>
      </c>
      <c r="T12" s="307"/>
      <c r="W12" s="8"/>
      <c r="X12" s="38"/>
      <c r="Y12" s="56" t="s">
        <v>213</v>
      </c>
      <c r="Z12" s="307"/>
      <c r="AC12" s="8"/>
      <c r="AD12" s="38"/>
      <c r="AE12" s="56" t="s">
        <v>35</v>
      </c>
    </row>
    <row r="13" spans="1:31" s="42" customFormat="1" ht="14">
      <c r="A13" s="56" t="s">
        <v>214</v>
      </c>
      <c r="B13" s="307">
        <v>0</v>
      </c>
      <c r="E13" s="8"/>
      <c r="F13" s="81" t="s">
        <v>214</v>
      </c>
      <c r="G13" s="56" t="s">
        <v>214</v>
      </c>
      <c r="H13" s="307">
        <v>0</v>
      </c>
      <c r="I13" s="8"/>
      <c r="J13" s="8"/>
      <c r="K13" s="8"/>
      <c r="L13" s="38"/>
      <c r="M13" s="56" t="s">
        <v>214</v>
      </c>
      <c r="N13" s="307"/>
      <c r="Q13" s="8"/>
      <c r="R13" s="38"/>
      <c r="S13" s="56" t="s">
        <v>214</v>
      </c>
      <c r="T13" s="307"/>
      <c r="W13" s="8"/>
      <c r="X13" s="38"/>
      <c r="Y13" s="56" t="s">
        <v>214</v>
      </c>
      <c r="Z13" s="307"/>
      <c r="AC13" s="8"/>
      <c r="AD13" s="38"/>
      <c r="AE13" s="56" t="s">
        <v>132</v>
      </c>
    </row>
    <row r="14" spans="1:31" s="42" customFormat="1" ht="14">
      <c r="A14" s="56" t="s">
        <v>215</v>
      </c>
      <c r="B14" s="307">
        <v>0.61</v>
      </c>
      <c r="E14" s="8"/>
      <c r="F14" s="81" t="s">
        <v>215</v>
      </c>
      <c r="G14" s="56" t="s">
        <v>215</v>
      </c>
      <c r="H14" s="307">
        <v>0.61</v>
      </c>
      <c r="I14" s="8"/>
      <c r="J14" s="8"/>
      <c r="K14" s="8"/>
      <c r="L14" s="38"/>
      <c r="M14" s="56" t="s">
        <v>215</v>
      </c>
      <c r="N14" s="307"/>
      <c r="Q14" s="8"/>
      <c r="R14" s="38"/>
      <c r="S14" s="56" t="s">
        <v>215</v>
      </c>
      <c r="T14" s="307"/>
      <c r="W14" s="8"/>
      <c r="X14" s="38"/>
      <c r="Y14" s="56" t="s">
        <v>215</v>
      </c>
      <c r="Z14" s="307"/>
      <c r="AC14" s="8"/>
      <c r="AD14" s="38"/>
      <c r="AE14" s="56" t="s">
        <v>133</v>
      </c>
    </row>
    <row r="15" spans="1:31" s="42" customFormat="1" ht="14">
      <c r="A15" s="56" t="s">
        <v>216</v>
      </c>
      <c r="B15" s="307">
        <v>8.5400000000000009</v>
      </c>
      <c r="E15" s="8">
        <f t="shared" si="0"/>
        <v>0</v>
      </c>
      <c r="F15" s="81" t="s">
        <v>216</v>
      </c>
      <c r="G15" s="56" t="s">
        <v>216</v>
      </c>
      <c r="H15" s="307">
        <v>0</v>
      </c>
      <c r="I15" s="8"/>
      <c r="J15" s="8"/>
      <c r="K15" s="8" t="e">
        <f t="shared" si="1"/>
        <v>#DIV/0!</v>
      </c>
      <c r="L15" s="38"/>
      <c r="M15" s="56" t="s">
        <v>216</v>
      </c>
      <c r="N15" s="307"/>
      <c r="Q15" s="8" t="e">
        <f t="shared" si="2"/>
        <v>#DIV/0!</v>
      </c>
      <c r="R15" s="38"/>
      <c r="S15" s="56" t="s">
        <v>216</v>
      </c>
      <c r="T15" s="307"/>
      <c r="W15" s="8" t="e">
        <f>U15/T15</f>
        <v>#DIV/0!</v>
      </c>
      <c r="X15" s="38"/>
      <c r="Y15" s="56" t="s">
        <v>216</v>
      </c>
      <c r="Z15" s="307"/>
      <c r="AC15" s="8" t="e">
        <f>AA15/Z15</f>
        <v>#DIV/0!</v>
      </c>
      <c r="AD15" s="38"/>
      <c r="AE15" s="56" t="s">
        <v>134</v>
      </c>
    </row>
    <row r="16" spans="1:31" s="42" customFormat="1" ht="14">
      <c r="A16" s="56" t="s">
        <v>217</v>
      </c>
      <c r="B16" s="307">
        <v>1.83</v>
      </c>
      <c r="E16" s="8">
        <f t="shared" si="0"/>
        <v>0</v>
      </c>
      <c r="F16" s="81" t="s">
        <v>217</v>
      </c>
      <c r="G16" s="56" t="s">
        <v>217</v>
      </c>
      <c r="H16" s="307">
        <v>0</v>
      </c>
      <c r="I16" s="8"/>
      <c r="J16" s="8"/>
      <c r="K16" s="8" t="e">
        <f t="shared" si="1"/>
        <v>#DIV/0!</v>
      </c>
      <c r="L16" s="38"/>
      <c r="M16" s="56" t="s">
        <v>217</v>
      </c>
      <c r="N16" s="307"/>
      <c r="Q16" s="8" t="e">
        <f t="shared" si="2"/>
        <v>#DIV/0!</v>
      </c>
      <c r="R16" s="38"/>
      <c r="S16" s="56" t="s">
        <v>217</v>
      </c>
      <c r="T16" s="307"/>
      <c r="W16" s="8" t="e">
        <f t="shared" si="3"/>
        <v>#DIV/0!</v>
      </c>
      <c r="X16" s="38"/>
      <c r="Y16" s="56" t="s">
        <v>217</v>
      </c>
      <c r="Z16" s="307"/>
      <c r="AC16" s="8" t="e">
        <f t="shared" si="4"/>
        <v>#DIV/0!</v>
      </c>
      <c r="AD16" s="38"/>
      <c r="AE16" s="56" t="s">
        <v>135</v>
      </c>
    </row>
    <row r="17" spans="1:31" s="42" customFormat="1" ht="14">
      <c r="A17" s="56" t="s">
        <v>218</v>
      </c>
      <c r="B17" s="307">
        <v>164.62000000000015</v>
      </c>
      <c r="E17" s="8">
        <f t="shared" si="0"/>
        <v>0</v>
      </c>
      <c r="F17" s="81" t="s">
        <v>218</v>
      </c>
      <c r="G17" s="56" t="s">
        <v>218</v>
      </c>
      <c r="H17" s="307">
        <v>97.79999999999994</v>
      </c>
      <c r="I17" s="8"/>
      <c r="J17" s="8"/>
      <c r="K17" s="8">
        <f t="shared" si="1"/>
        <v>0</v>
      </c>
      <c r="L17" s="38"/>
      <c r="M17" s="56" t="s">
        <v>218</v>
      </c>
      <c r="N17" s="307"/>
      <c r="Q17" s="8" t="e">
        <f t="shared" si="2"/>
        <v>#DIV/0!</v>
      </c>
      <c r="R17" s="38"/>
      <c r="S17" s="56" t="s">
        <v>218</v>
      </c>
      <c r="T17" s="307"/>
      <c r="W17" s="8" t="e">
        <f t="shared" si="3"/>
        <v>#DIV/0!</v>
      </c>
      <c r="X17" s="38"/>
      <c r="Y17" s="56" t="s">
        <v>218</v>
      </c>
      <c r="Z17" s="307"/>
      <c r="AC17" s="8" t="e">
        <f t="shared" si="4"/>
        <v>#DIV/0!</v>
      </c>
      <c r="AD17" s="38"/>
      <c r="AE17" s="56" t="s">
        <v>136</v>
      </c>
    </row>
    <row r="18" spans="1:31" s="42" customFormat="1" ht="14">
      <c r="A18" s="56" t="s">
        <v>219</v>
      </c>
      <c r="B18" s="307">
        <v>0</v>
      </c>
      <c r="E18" s="8"/>
      <c r="F18" s="81" t="s">
        <v>219</v>
      </c>
      <c r="G18" s="56" t="s">
        <v>219</v>
      </c>
      <c r="H18" s="307">
        <v>1.24</v>
      </c>
      <c r="I18" s="8"/>
      <c r="J18" s="8"/>
      <c r="K18" s="8"/>
      <c r="L18" s="38"/>
      <c r="M18" s="56" t="s">
        <v>219</v>
      </c>
      <c r="N18" s="307"/>
      <c r="Q18" s="8"/>
      <c r="R18" s="38"/>
      <c r="S18" s="56" t="s">
        <v>219</v>
      </c>
      <c r="T18" s="307"/>
      <c r="W18" s="8"/>
      <c r="X18" s="38"/>
      <c r="Y18" s="56" t="s">
        <v>219</v>
      </c>
      <c r="Z18" s="307"/>
      <c r="AC18" s="8"/>
      <c r="AD18" s="38"/>
      <c r="AE18" s="56" t="s">
        <v>137</v>
      </c>
    </row>
    <row r="19" spans="1:31" s="42" customFormat="1" ht="14">
      <c r="A19" s="56" t="s">
        <v>220</v>
      </c>
      <c r="B19" s="307">
        <v>0</v>
      </c>
      <c r="E19" s="8"/>
      <c r="F19" s="81" t="s">
        <v>220</v>
      </c>
      <c r="G19" s="56" t="s">
        <v>220</v>
      </c>
      <c r="H19" s="307">
        <v>11.302707000000002</v>
      </c>
      <c r="I19" s="8"/>
      <c r="J19" s="8"/>
      <c r="K19" s="8"/>
      <c r="L19" s="38"/>
      <c r="M19" s="56" t="s">
        <v>220</v>
      </c>
      <c r="N19" s="307"/>
      <c r="Q19" s="8"/>
      <c r="R19" s="38"/>
      <c r="S19" s="56" t="s">
        <v>220</v>
      </c>
      <c r="T19" s="307"/>
      <c r="W19" s="8"/>
      <c r="X19" s="38"/>
      <c r="Y19" s="56" t="s">
        <v>220</v>
      </c>
      <c r="Z19" s="307"/>
      <c r="AC19" s="8"/>
      <c r="AD19" s="38"/>
      <c r="AE19" s="56" t="s">
        <v>62</v>
      </c>
    </row>
    <row r="20" spans="1:31" s="42" customFormat="1" ht="14">
      <c r="A20" s="56" t="s">
        <v>221</v>
      </c>
      <c r="B20" s="307">
        <v>0</v>
      </c>
      <c r="E20" s="8"/>
      <c r="F20" s="81" t="s">
        <v>221</v>
      </c>
      <c r="G20" s="56" t="s">
        <v>221</v>
      </c>
      <c r="H20" s="307">
        <v>0</v>
      </c>
      <c r="I20" s="8"/>
      <c r="J20" s="8"/>
      <c r="K20" s="8"/>
      <c r="L20" s="38"/>
      <c r="M20" s="56" t="s">
        <v>221</v>
      </c>
      <c r="N20" s="307"/>
      <c r="Q20" s="8"/>
      <c r="R20" s="38"/>
      <c r="S20" s="56" t="s">
        <v>221</v>
      </c>
      <c r="T20" s="307"/>
      <c r="W20" s="8"/>
      <c r="X20" s="38"/>
      <c r="Y20" s="56" t="s">
        <v>221</v>
      </c>
      <c r="Z20" s="307"/>
      <c r="AC20" s="8"/>
      <c r="AD20" s="38"/>
      <c r="AE20" s="56" t="s">
        <v>138</v>
      </c>
    </row>
    <row r="21" spans="1:31" s="42" customFormat="1" ht="14">
      <c r="A21" s="56" t="s">
        <v>222</v>
      </c>
      <c r="B21" s="307">
        <v>0</v>
      </c>
      <c r="E21" s="8" t="e">
        <f t="shared" si="0"/>
        <v>#DIV/0!</v>
      </c>
      <c r="F21" s="81" t="s">
        <v>222</v>
      </c>
      <c r="G21" s="56" t="s">
        <v>222</v>
      </c>
      <c r="H21" s="307">
        <v>0</v>
      </c>
      <c r="I21" s="8"/>
      <c r="J21" s="8"/>
      <c r="K21" s="8" t="e">
        <f t="shared" si="1"/>
        <v>#DIV/0!</v>
      </c>
      <c r="L21" s="38"/>
      <c r="M21" s="56" t="s">
        <v>222</v>
      </c>
      <c r="N21" s="307"/>
      <c r="Q21" s="8" t="e">
        <f t="shared" si="2"/>
        <v>#DIV/0!</v>
      </c>
      <c r="R21" s="38"/>
      <c r="S21" s="56" t="s">
        <v>222</v>
      </c>
      <c r="T21" s="307"/>
      <c r="W21" s="8" t="e">
        <f t="shared" si="3"/>
        <v>#DIV/0!</v>
      </c>
      <c r="X21" s="38"/>
      <c r="Y21" s="56" t="s">
        <v>222</v>
      </c>
      <c r="Z21" s="307"/>
      <c r="AC21" s="8" t="e">
        <f t="shared" si="4"/>
        <v>#DIV/0!</v>
      </c>
      <c r="AD21" s="38"/>
      <c r="AE21" s="56" t="s">
        <v>139</v>
      </c>
    </row>
    <row r="22" spans="1:31" s="42" customFormat="1" ht="14">
      <c r="A22" s="56" t="s">
        <v>223</v>
      </c>
      <c r="B22" s="307">
        <v>2446.3237184999907</v>
      </c>
      <c r="E22" s="8">
        <f t="shared" si="0"/>
        <v>0</v>
      </c>
      <c r="F22" s="81" t="s">
        <v>223</v>
      </c>
      <c r="G22" s="56" t="s">
        <v>223</v>
      </c>
      <c r="H22" s="307">
        <v>2287.6427718999998</v>
      </c>
      <c r="I22" s="8"/>
      <c r="J22" s="8"/>
      <c r="K22" s="8">
        <f t="shared" si="1"/>
        <v>0</v>
      </c>
      <c r="L22" s="38"/>
      <c r="M22" s="56" t="s">
        <v>223</v>
      </c>
      <c r="N22" s="307"/>
      <c r="Q22" s="8" t="e">
        <f t="shared" si="2"/>
        <v>#DIV/0!</v>
      </c>
      <c r="R22" s="38"/>
      <c r="S22" s="56" t="s">
        <v>223</v>
      </c>
      <c r="T22" s="307"/>
      <c r="W22" s="8" t="e">
        <f t="shared" si="3"/>
        <v>#DIV/0!</v>
      </c>
      <c r="X22" s="38"/>
      <c r="Y22" s="56" t="s">
        <v>223</v>
      </c>
      <c r="Z22" s="307"/>
      <c r="AC22" s="8" t="e">
        <f t="shared" si="4"/>
        <v>#DIV/0!</v>
      </c>
      <c r="AD22" s="38"/>
      <c r="AE22" s="56" t="s">
        <v>36</v>
      </c>
    </row>
    <row r="23" spans="1:31" s="42" customFormat="1" ht="14">
      <c r="A23" s="56" t="s">
        <v>224</v>
      </c>
      <c r="B23" s="307"/>
      <c r="E23" s="8" t="e">
        <f t="shared" si="0"/>
        <v>#DIV/0!</v>
      </c>
      <c r="F23" s="81" t="s">
        <v>224</v>
      </c>
      <c r="G23" s="56" t="s">
        <v>224</v>
      </c>
      <c r="H23" s="307">
        <v>0</v>
      </c>
      <c r="I23" s="8"/>
      <c r="J23" s="8"/>
      <c r="K23" s="8" t="e">
        <f t="shared" si="1"/>
        <v>#DIV/0!</v>
      </c>
      <c r="L23" s="38"/>
      <c r="M23" s="56" t="s">
        <v>224</v>
      </c>
      <c r="N23" s="307"/>
      <c r="Q23" s="8" t="e">
        <f t="shared" si="2"/>
        <v>#DIV/0!</v>
      </c>
      <c r="R23" s="38"/>
      <c r="S23" s="56" t="s">
        <v>224</v>
      </c>
      <c r="T23" s="307"/>
      <c r="W23" s="8" t="e">
        <f t="shared" si="3"/>
        <v>#DIV/0!</v>
      </c>
      <c r="X23" s="38"/>
      <c r="Y23" s="56" t="s">
        <v>224</v>
      </c>
      <c r="Z23" s="307"/>
      <c r="AC23" s="8" t="e">
        <f t="shared" si="4"/>
        <v>#DIV/0!</v>
      </c>
      <c r="AD23" s="38"/>
      <c r="AE23" s="56" t="s">
        <v>140</v>
      </c>
    </row>
    <row r="24" spans="1:31" s="42" customFormat="1" ht="14">
      <c r="A24" s="56" t="s">
        <v>225</v>
      </c>
      <c r="B24" s="307">
        <v>5.49</v>
      </c>
      <c r="E24" s="8">
        <f t="shared" si="0"/>
        <v>0</v>
      </c>
      <c r="F24" s="81" t="s">
        <v>225</v>
      </c>
      <c r="G24" s="56" t="s">
        <v>225</v>
      </c>
      <c r="H24" s="307">
        <v>0</v>
      </c>
      <c r="I24" s="8"/>
      <c r="J24" s="8"/>
      <c r="K24" s="8" t="e">
        <f t="shared" si="1"/>
        <v>#DIV/0!</v>
      </c>
      <c r="L24" s="38"/>
      <c r="M24" s="56" t="s">
        <v>225</v>
      </c>
      <c r="N24" s="307"/>
      <c r="Q24" s="8" t="e">
        <f t="shared" si="2"/>
        <v>#DIV/0!</v>
      </c>
      <c r="R24" s="38"/>
      <c r="S24" s="56" t="s">
        <v>225</v>
      </c>
      <c r="T24" s="307"/>
      <c r="W24" s="8" t="e">
        <f t="shared" si="3"/>
        <v>#DIV/0!</v>
      </c>
      <c r="X24" s="38"/>
      <c r="Y24" s="56" t="s">
        <v>225</v>
      </c>
      <c r="Z24" s="307"/>
      <c r="AC24" s="8" t="e">
        <f t="shared" si="4"/>
        <v>#DIV/0!</v>
      </c>
      <c r="AD24" s="38"/>
      <c r="AE24" s="56" t="s">
        <v>141</v>
      </c>
    </row>
    <row r="25" spans="1:31" s="42" customFormat="1" ht="14">
      <c r="A25" s="56" t="s">
        <v>226</v>
      </c>
      <c r="B25" s="307">
        <v>24.329999999999988</v>
      </c>
      <c r="E25" s="8">
        <f t="shared" si="0"/>
        <v>0</v>
      </c>
      <c r="F25" s="81" t="s">
        <v>226</v>
      </c>
      <c r="G25" s="56" t="s">
        <v>226</v>
      </c>
      <c r="H25" s="307">
        <v>33.389999999999979</v>
      </c>
      <c r="I25" s="8"/>
      <c r="J25" s="8"/>
      <c r="K25" s="8">
        <f t="shared" si="1"/>
        <v>0</v>
      </c>
      <c r="L25" s="38"/>
      <c r="M25" s="56" t="s">
        <v>226</v>
      </c>
      <c r="N25" s="307"/>
      <c r="Q25" s="8" t="e">
        <f t="shared" si="2"/>
        <v>#DIV/0!</v>
      </c>
      <c r="R25" s="38"/>
      <c r="S25" s="56" t="s">
        <v>226</v>
      </c>
      <c r="T25" s="307"/>
      <c r="W25" s="8" t="e">
        <f t="shared" si="3"/>
        <v>#DIV/0!</v>
      </c>
      <c r="X25" s="38"/>
      <c r="Y25" s="56" t="s">
        <v>226</v>
      </c>
      <c r="Z25" s="307"/>
      <c r="AC25" s="8" t="e">
        <f t="shared" si="4"/>
        <v>#DIV/0!</v>
      </c>
      <c r="AD25" s="38"/>
      <c r="AE25" s="56" t="s">
        <v>142</v>
      </c>
    </row>
    <row r="26" spans="1:31" s="42" customFormat="1" ht="14">
      <c r="A26" s="56" t="s">
        <v>227</v>
      </c>
      <c r="B26" s="307">
        <v>8.2000000000000011</v>
      </c>
      <c r="E26" s="8"/>
      <c r="F26" s="81" t="s">
        <v>227</v>
      </c>
      <c r="G26" s="56" t="s">
        <v>227</v>
      </c>
      <c r="H26" s="307">
        <v>79.22999999999999</v>
      </c>
      <c r="I26" s="8"/>
      <c r="J26" s="8"/>
      <c r="K26" s="8"/>
      <c r="L26" s="38"/>
      <c r="M26" s="56" t="s">
        <v>227</v>
      </c>
      <c r="N26" s="307"/>
      <c r="Q26" s="8"/>
      <c r="R26" s="38"/>
      <c r="S26" s="56" t="s">
        <v>227</v>
      </c>
      <c r="T26" s="307"/>
      <c r="W26" s="8"/>
      <c r="X26" s="38"/>
      <c r="Y26" s="56" t="s">
        <v>227</v>
      </c>
      <c r="Z26" s="307"/>
      <c r="AC26" s="8"/>
      <c r="AD26" s="38"/>
      <c r="AE26" s="56" t="s">
        <v>143</v>
      </c>
    </row>
    <row r="27" spans="1:31" s="42" customFormat="1" ht="14">
      <c r="A27" s="56" t="s">
        <v>228</v>
      </c>
      <c r="B27" s="307">
        <v>5.49</v>
      </c>
      <c r="E27" s="8"/>
      <c r="F27" s="81" t="s">
        <v>228</v>
      </c>
      <c r="G27" s="56" t="s">
        <v>228</v>
      </c>
      <c r="H27" s="307">
        <v>1.22</v>
      </c>
      <c r="I27" s="8"/>
      <c r="J27" s="8"/>
      <c r="K27" s="8"/>
      <c r="L27" s="38"/>
      <c r="M27" s="56" t="s">
        <v>228</v>
      </c>
      <c r="N27" s="307"/>
      <c r="Q27" s="8"/>
      <c r="R27" s="38"/>
      <c r="S27" s="56" t="s">
        <v>228</v>
      </c>
      <c r="T27" s="307"/>
      <c r="W27" s="8"/>
      <c r="X27" s="38"/>
      <c r="Y27" s="56" t="s">
        <v>228</v>
      </c>
      <c r="Z27" s="307"/>
      <c r="AC27" s="8"/>
      <c r="AD27" s="38"/>
      <c r="AE27" s="56" t="s">
        <v>144</v>
      </c>
    </row>
    <row r="28" spans="1:31" s="42" customFormat="1" ht="14">
      <c r="A28" s="83" t="s">
        <v>229</v>
      </c>
      <c r="B28" s="307">
        <v>0</v>
      </c>
      <c r="E28" s="8"/>
      <c r="F28" s="81" t="s">
        <v>229</v>
      </c>
      <c r="G28" s="83" t="s">
        <v>229</v>
      </c>
      <c r="H28" s="307">
        <v>1.266564</v>
      </c>
      <c r="I28" s="8"/>
      <c r="J28" s="8"/>
      <c r="K28" s="8"/>
      <c r="L28" s="38"/>
      <c r="M28" s="83" t="s">
        <v>229</v>
      </c>
      <c r="N28" s="307"/>
      <c r="Q28" s="8"/>
      <c r="R28" s="38"/>
      <c r="S28" s="83" t="s">
        <v>229</v>
      </c>
      <c r="T28" s="307"/>
      <c r="W28" s="8"/>
      <c r="X28" s="38"/>
      <c r="Y28" s="83" t="s">
        <v>229</v>
      </c>
      <c r="Z28" s="307"/>
      <c r="AC28" s="8"/>
      <c r="AD28" s="38"/>
      <c r="AE28" s="83" t="s">
        <v>61</v>
      </c>
    </row>
    <row r="29" spans="1:31" s="42" customFormat="1" ht="14">
      <c r="A29" s="56" t="s">
        <v>230</v>
      </c>
      <c r="B29" s="307">
        <v>23.954580000000007</v>
      </c>
      <c r="E29" s="8">
        <f t="shared" si="0"/>
        <v>0</v>
      </c>
      <c r="F29" s="81" t="s">
        <v>230</v>
      </c>
      <c r="G29" s="56" t="s">
        <v>230</v>
      </c>
      <c r="H29" s="307">
        <v>8.4116370000000007</v>
      </c>
      <c r="I29" s="8"/>
      <c r="J29" s="8"/>
      <c r="K29" s="8">
        <f t="shared" si="1"/>
        <v>0</v>
      </c>
      <c r="L29" s="38"/>
      <c r="M29" s="56" t="s">
        <v>230</v>
      </c>
      <c r="N29" s="307"/>
      <c r="Q29" s="8" t="e">
        <f t="shared" si="2"/>
        <v>#DIV/0!</v>
      </c>
      <c r="R29" s="38"/>
      <c r="S29" s="56" t="s">
        <v>230</v>
      </c>
      <c r="T29" s="307"/>
      <c r="W29" s="8" t="e">
        <f t="shared" si="3"/>
        <v>#DIV/0!</v>
      </c>
      <c r="X29" s="38"/>
      <c r="Y29" s="56" t="s">
        <v>230</v>
      </c>
      <c r="Z29" s="307"/>
      <c r="AC29" s="8" t="e">
        <f t="shared" si="4"/>
        <v>#DIV/0!</v>
      </c>
      <c r="AD29" s="38"/>
      <c r="AE29" s="56" t="s">
        <v>60</v>
      </c>
    </row>
    <row r="30" spans="1:31" s="42" customFormat="1" ht="14">
      <c r="A30" s="56" t="s">
        <v>231</v>
      </c>
      <c r="B30" s="307">
        <v>107.50650299999997</v>
      </c>
      <c r="E30" s="8">
        <f t="shared" si="0"/>
        <v>0</v>
      </c>
      <c r="F30" s="81" t="s">
        <v>231</v>
      </c>
      <c r="G30" s="56" t="s">
        <v>231</v>
      </c>
      <c r="H30" s="307">
        <v>188.64920099999989</v>
      </c>
      <c r="I30" s="8"/>
      <c r="J30" s="8"/>
      <c r="K30" s="8">
        <f t="shared" si="1"/>
        <v>0</v>
      </c>
      <c r="L30" s="38"/>
      <c r="M30" s="56" t="s">
        <v>231</v>
      </c>
      <c r="N30" s="307"/>
      <c r="Q30" s="8" t="e">
        <f t="shared" si="2"/>
        <v>#DIV/0!</v>
      </c>
      <c r="R30" s="38"/>
      <c r="S30" s="56" t="s">
        <v>231</v>
      </c>
      <c r="T30" s="307"/>
      <c r="W30" s="8" t="e">
        <f t="shared" si="3"/>
        <v>#DIV/0!</v>
      </c>
      <c r="X30" s="38"/>
      <c r="Y30" s="56" t="s">
        <v>231</v>
      </c>
      <c r="Z30" s="307"/>
      <c r="AC30" s="8" t="e">
        <f t="shared" si="4"/>
        <v>#DIV/0!</v>
      </c>
      <c r="AD30" s="38"/>
      <c r="AE30" s="56" t="s">
        <v>37</v>
      </c>
    </row>
    <row r="31" spans="1:31" s="42" customFormat="1" ht="14">
      <c r="A31" s="56" t="s">
        <v>232</v>
      </c>
      <c r="B31" s="307"/>
      <c r="E31" s="8" t="e">
        <f t="shared" si="0"/>
        <v>#DIV/0!</v>
      </c>
      <c r="F31" s="81" t="s">
        <v>232</v>
      </c>
      <c r="G31" s="56" t="s">
        <v>232</v>
      </c>
      <c r="H31" s="307">
        <v>0</v>
      </c>
      <c r="I31" s="8"/>
      <c r="J31" s="8"/>
      <c r="K31" s="8" t="e">
        <f t="shared" si="1"/>
        <v>#DIV/0!</v>
      </c>
      <c r="L31" s="38"/>
      <c r="M31" s="56" t="s">
        <v>232</v>
      </c>
      <c r="N31" s="307"/>
      <c r="Q31" s="8" t="e">
        <f t="shared" si="2"/>
        <v>#DIV/0!</v>
      </c>
      <c r="R31" s="38"/>
      <c r="S31" s="56" t="s">
        <v>232</v>
      </c>
      <c r="T31" s="307"/>
      <c r="W31" s="8" t="e">
        <f t="shared" si="3"/>
        <v>#DIV/0!</v>
      </c>
      <c r="X31" s="38"/>
      <c r="Y31" s="56" t="s">
        <v>232</v>
      </c>
      <c r="Z31" s="307"/>
      <c r="AC31" s="8" t="e">
        <f t="shared" si="4"/>
        <v>#DIV/0!</v>
      </c>
      <c r="AD31" s="38"/>
      <c r="AE31" s="56" t="s">
        <v>145</v>
      </c>
    </row>
    <row r="32" spans="1:31" s="42" customFormat="1" ht="14">
      <c r="A32" s="56" t="s">
        <v>233</v>
      </c>
      <c r="B32" s="307">
        <v>0</v>
      </c>
      <c r="E32" s="8" t="e">
        <f t="shared" si="0"/>
        <v>#DIV/0!</v>
      </c>
      <c r="F32" s="81" t="s">
        <v>233</v>
      </c>
      <c r="G32" s="56" t="s">
        <v>233</v>
      </c>
      <c r="H32" s="307">
        <v>1.22</v>
      </c>
      <c r="I32" s="8"/>
      <c r="J32" s="8"/>
      <c r="K32" s="8">
        <f t="shared" si="1"/>
        <v>0</v>
      </c>
      <c r="L32" s="38"/>
      <c r="M32" s="56" t="s">
        <v>233</v>
      </c>
      <c r="N32" s="307"/>
      <c r="Q32" s="8" t="e">
        <f t="shared" si="2"/>
        <v>#DIV/0!</v>
      </c>
      <c r="R32" s="38"/>
      <c r="S32" s="56" t="s">
        <v>233</v>
      </c>
      <c r="T32" s="307"/>
      <c r="W32" s="8" t="e">
        <f t="shared" si="3"/>
        <v>#DIV/0!</v>
      </c>
      <c r="X32" s="38"/>
      <c r="Y32" s="56" t="s">
        <v>233</v>
      </c>
      <c r="Z32" s="307"/>
      <c r="AC32" s="8" t="e">
        <f t="shared" si="4"/>
        <v>#DIV/0!</v>
      </c>
      <c r="AD32" s="38"/>
      <c r="AE32" s="56" t="s">
        <v>146</v>
      </c>
    </row>
    <row r="33" spans="1:31" s="42" customFormat="1" ht="14">
      <c r="A33" s="83" t="s">
        <v>234</v>
      </c>
      <c r="B33" s="307">
        <v>2.98</v>
      </c>
      <c r="E33" s="8"/>
      <c r="F33" s="81" t="s">
        <v>234</v>
      </c>
      <c r="G33" s="83" t="s">
        <v>234</v>
      </c>
      <c r="H33" s="307">
        <v>10.66</v>
      </c>
      <c r="I33" s="8"/>
      <c r="J33" s="8"/>
      <c r="K33" s="8"/>
      <c r="L33" s="38"/>
      <c r="M33" s="83" t="s">
        <v>234</v>
      </c>
      <c r="N33" s="307"/>
      <c r="Q33" s="8"/>
      <c r="R33" s="38"/>
      <c r="S33" s="83" t="s">
        <v>234</v>
      </c>
      <c r="T33" s="307"/>
      <c r="W33" s="8"/>
      <c r="X33" s="38"/>
      <c r="Y33" s="83" t="s">
        <v>234</v>
      </c>
      <c r="Z33" s="307"/>
      <c r="AC33" s="8"/>
      <c r="AD33" s="38"/>
      <c r="AE33" s="83" t="s">
        <v>147</v>
      </c>
    </row>
    <row r="34" spans="1:31" s="42" customFormat="1" ht="14">
      <c r="A34" s="56" t="s">
        <v>235</v>
      </c>
      <c r="B34" s="307">
        <v>0.61</v>
      </c>
      <c r="E34" s="8">
        <f t="shared" si="0"/>
        <v>0</v>
      </c>
      <c r="F34" s="81" t="s">
        <v>235</v>
      </c>
      <c r="G34" s="56" t="s">
        <v>235</v>
      </c>
      <c r="H34" s="307">
        <v>0</v>
      </c>
      <c r="I34" s="8"/>
      <c r="J34" s="8"/>
      <c r="K34" s="8" t="e">
        <f t="shared" si="1"/>
        <v>#DIV/0!</v>
      </c>
      <c r="L34" s="38"/>
      <c r="M34" s="56" t="s">
        <v>235</v>
      </c>
      <c r="N34" s="307"/>
      <c r="Q34" s="8" t="e">
        <f t="shared" si="2"/>
        <v>#DIV/0!</v>
      </c>
      <c r="R34" s="38"/>
      <c r="S34" s="56" t="s">
        <v>235</v>
      </c>
      <c r="T34" s="307"/>
      <c r="W34" s="8" t="e">
        <f t="shared" si="3"/>
        <v>#DIV/0!</v>
      </c>
      <c r="X34" s="38"/>
      <c r="Y34" s="56" t="s">
        <v>235</v>
      </c>
      <c r="Z34" s="307"/>
      <c r="AC34" s="8" t="e">
        <f t="shared" si="4"/>
        <v>#DIV/0!</v>
      </c>
      <c r="AD34" s="38"/>
      <c r="AE34" s="56" t="s">
        <v>148</v>
      </c>
    </row>
    <row r="35" spans="1:31" s="42" customFormat="1" ht="14">
      <c r="A35" s="56" t="s">
        <v>236</v>
      </c>
      <c r="B35" s="307">
        <v>19.301334000000001</v>
      </c>
      <c r="E35" s="8">
        <f t="shared" si="0"/>
        <v>0</v>
      </c>
      <c r="F35" s="81" t="s">
        <v>236</v>
      </c>
      <c r="G35" s="56" t="s">
        <v>236</v>
      </c>
      <c r="H35" s="307">
        <v>50.538656999999994</v>
      </c>
      <c r="I35" s="8"/>
      <c r="J35" s="8"/>
      <c r="K35" s="8">
        <f t="shared" si="1"/>
        <v>0</v>
      </c>
      <c r="L35" s="38"/>
      <c r="M35" s="56" t="s">
        <v>236</v>
      </c>
      <c r="N35" s="307"/>
      <c r="Q35" s="8" t="e">
        <f t="shared" si="2"/>
        <v>#DIV/0!</v>
      </c>
      <c r="R35" s="38"/>
      <c r="S35" s="56" t="s">
        <v>236</v>
      </c>
      <c r="T35" s="307"/>
      <c r="W35" s="8" t="e">
        <f t="shared" si="3"/>
        <v>#DIV/0!</v>
      </c>
      <c r="X35" s="38"/>
      <c r="Y35" s="56" t="s">
        <v>236</v>
      </c>
      <c r="Z35" s="307"/>
      <c r="AC35" s="8" t="e">
        <f t="shared" si="4"/>
        <v>#DIV/0!</v>
      </c>
      <c r="AD35" s="38"/>
      <c r="AE35" s="56" t="s">
        <v>59</v>
      </c>
    </row>
    <row r="36" spans="1:31" s="42" customFormat="1" ht="15.75" customHeight="1">
      <c r="A36" s="56" t="s">
        <v>237</v>
      </c>
      <c r="B36" s="307">
        <v>0</v>
      </c>
      <c r="E36" s="8" t="e">
        <f t="shared" si="0"/>
        <v>#DIV/0!</v>
      </c>
      <c r="F36" s="81" t="s">
        <v>237</v>
      </c>
      <c r="G36" s="56" t="s">
        <v>237</v>
      </c>
      <c r="H36" s="307">
        <v>0</v>
      </c>
      <c r="I36" s="8"/>
      <c r="J36" s="8"/>
      <c r="K36" s="8" t="e">
        <f t="shared" si="1"/>
        <v>#DIV/0!</v>
      </c>
      <c r="L36" s="38"/>
      <c r="M36" s="56" t="s">
        <v>237</v>
      </c>
      <c r="N36" s="307"/>
      <c r="Q36" s="8" t="e">
        <f t="shared" si="2"/>
        <v>#DIV/0!</v>
      </c>
      <c r="R36" s="38"/>
      <c r="S36" s="56" t="s">
        <v>237</v>
      </c>
      <c r="T36" s="307"/>
      <c r="W36" s="8" t="e">
        <f t="shared" si="3"/>
        <v>#DIV/0!</v>
      </c>
      <c r="X36" s="38"/>
      <c r="Y36" s="56" t="s">
        <v>237</v>
      </c>
      <c r="Z36" s="307"/>
      <c r="AC36" s="8" t="e">
        <f t="shared" si="4"/>
        <v>#DIV/0!</v>
      </c>
      <c r="AD36" s="38"/>
      <c r="AE36" s="56" t="s">
        <v>149</v>
      </c>
    </row>
    <row r="37" spans="1:31" s="42" customFormat="1" ht="14">
      <c r="A37" s="56" t="s">
        <v>238</v>
      </c>
      <c r="B37" s="307">
        <v>56.623671000000016</v>
      </c>
      <c r="E37" s="8"/>
      <c r="F37" s="81" t="s">
        <v>238</v>
      </c>
      <c r="G37" s="56" t="s">
        <v>238</v>
      </c>
      <c r="H37" s="307">
        <v>16.520400000000006</v>
      </c>
      <c r="I37" s="8"/>
      <c r="J37" s="8"/>
      <c r="K37" s="8"/>
      <c r="L37" s="38"/>
      <c r="M37" s="56" t="s">
        <v>238</v>
      </c>
      <c r="N37" s="307"/>
      <c r="Q37" s="8"/>
      <c r="R37" s="38"/>
      <c r="S37" s="56" t="s">
        <v>238</v>
      </c>
      <c r="T37" s="307"/>
      <c r="W37" s="8"/>
      <c r="X37" s="38"/>
      <c r="Y37" s="56" t="s">
        <v>238</v>
      </c>
      <c r="Z37" s="307"/>
      <c r="AC37" s="8"/>
      <c r="AD37" s="38"/>
      <c r="AE37" s="56" t="s">
        <v>38</v>
      </c>
    </row>
    <row r="38" spans="1:31" s="42" customFormat="1" ht="14">
      <c r="A38" s="83" t="s">
        <v>239</v>
      </c>
      <c r="B38" s="307">
        <v>630.18442499999583</v>
      </c>
      <c r="E38" s="8"/>
      <c r="F38" s="81" t="s">
        <v>239</v>
      </c>
      <c r="G38" s="83" t="s">
        <v>239</v>
      </c>
      <c r="H38" s="307">
        <v>673.78451399999744</v>
      </c>
      <c r="I38" s="8"/>
      <c r="J38" s="8"/>
      <c r="K38" s="8"/>
      <c r="L38" s="38"/>
      <c r="M38" s="83" t="s">
        <v>239</v>
      </c>
      <c r="N38" s="307"/>
      <c r="Q38" s="8"/>
      <c r="R38" s="38"/>
      <c r="S38" s="83" t="s">
        <v>239</v>
      </c>
      <c r="T38" s="307"/>
      <c r="W38" s="8"/>
      <c r="X38" s="38"/>
      <c r="Y38" s="83" t="s">
        <v>239</v>
      </c>
      <c r="Z38" s="307"/>
      <c r="AC38" s="8"/>
      <c r="AD38" s="38"/>
      <c r="AE38" s="83" t="s">
        <v>39</v>
      </c>
    </row>
    <row r="39" spans="1:31" s="42" customFormat="1" ht="14">
      <c r="A39" s="56" t="s">
        <v>240</v>
      </c>
      <c r="B39" s="307"/>
      <c r="E39" s="8" t="e">
        <f t="shared" si="0"/>
        <v>#DIV/0!</v>
      </c>
      <c r="F39" s="81" t="s">
        <v>240</v>
      </c>
      <c r="G39" s="56" t="s">
        <v>240</v>
      </c>
      <c r="H39" s="307">
        <v>0</v>
      </c>
      <c r="I39" s="8"/>
      <c r="J39" s="8"/>
      <c r="K39" s="8" t="e">
        <f t="shared" si="1"/>
        <v>#DIV/0!</v>
      </c>
      <c r="L39" s="38"/>
      <c r="M39" s="56" t="s">
        <v>240</v>
      </c>
      <c r="N39" s="307"/>
      <c r="Q39" s="8" t="e">
        <f t="shared" si="2"/>
        <v>#DIV/0!</v>
      </c>
      <c r="R39" s="38"/>
      <c r="S39" s="56" t="s">
        <v>240</v>
      </c>
      <c r="T39" s="307"/>
      <c r="W39" s="8" t="e">
        <f t="shared" si="3"/>
        <v>#DIV/0!</v>
      </c>
      <c r="X39" s="38"/>
      <c r="Y39" s="56" t="s">
        <v>240</v>
      </c>
      <c r="Z39" s="307"/>
      <c r="AC39" s="8" t="e">
        <f t="shared" si="4"/>
        <v>#DIV/0!</v>
      </c>
      <c r="AD39" s="38"/>
      <c r="AE39" s="56" t="s">
        <v>150</v>
      </c>
    </row>
    <row r="40" spans="1:31" s="42" customFormat="1" ht="14">
      <c r="A40" s="83" t="s">
        <v>241</v>
      </c>
      <c r="B40" s="307">
        <v>1018.4138250000022</v>
      </c>
      <c r="E40" s="8">
        <f t="shared" si="0"/>
        <v>0</v>
      </c>
      <c r="F40" s="81" t="s">
        <v>241</v>
      </c>
      <c r="G40" s="83" t="s">
        <v>241</v>
      </c>
      <c r="H40" s="307">
        <v>1384.7123940000076</v>
      </c>
      <c r="I40" s="8"/>
      <c r="J40" s="8"/>
      <c r="K40" s="8">
        <f t="shared" si="1"/>
        <v>0</v>
      </c>
      <c r="L40" s="38"/>
      <c r="M40" s="83" t="s">
        <v>241</v>
      </c>
      <c r="N40" s="307"/>
      <c r="Q40" s="8" t="e">
        <f t="shared" si="2"/>
        <v>#DIV/0!</v>
      </c>
      <c r="R40" s="38"/>
      <c r="S40" s="83" t="s">
        <v>241</v>
      </c>
      <c r="T40" s="307"/>
      <c r="W40" s="8" t="e">
        <f t="shared" si="3"/>
        <v>#DIV/0!</v>
      </c>
      <c r="X40" s="38"/>
      <c r="Y40" s="83" t="s">
        <v>241</v>
      </c>
      <c r="Z40" s="307"/>
      <c r="AC40" s="8" t="e">
        <f t="shared" si="4"/>
        <v>#DIV/0!</v>
      </c>
      <c r="AD40" s="38"/>
      <c r="AE40" s="83" t="s">
        <v>40</v>
      </c>
    </row>
    <row r="41" spans="1:31" s="42" customFormat="1" ht="13.5" customHeight="1">
      <c r="A41" s="56" t="s">
        <v>242</v>
      </c>
      <c r="B41" s="307">
        <v>0.79</v>
      </c>
      <c r="E41" s="8">
        <f t="shared" si="0"/>
        <v>0</v>
      </c>
      <c r="F41" s="81" t="s">
        <v>242</v>
      </c>
      <c r="G41" s="56" t="s">
        <v>242</v>
      </c>
      <c r="H41" s="307">
        <v>0</v>
      </c>
      <c r="I41" s="8"/>
      <c r="J41" s="8"/>
      <c r="K41" s="8" t="e">
        <f t="shared" si="1"/>
        <v>#DIV/0!</v>
      </c>
      <c r="L41" s="38"/>
      <c r="M41" s="56" t="s">
        <v>242</v>
      </c>
      <c r="N41" s="307"/>
      <c r="Q41" s="8" t="e">
        <f t="shared" si="2"/>
        <v>#DIV/0!</v>
      </c>
      <c r="R41" s="38"/>
      <c r="S41" s="56" t="s">
        <v>242</v>
      </c>
      <c r="T41" s="307"/>
      <c r="W41" s="8" t="e">
        <f t="shared" si="3"/>
        <v>#DIV/0!</v>
      </c>
      <c r="X41" s="38"/>
      <c r="Y41" s="56" t="s">
        <v>242</v>
      </c>
      <c r="Z41" s="307"/>
      <c r="AC41" s="8" t="e">
        <f t="shared" si="4"/>
        <v>#DIV/0!</v>
      </c>
      <c r="AD41" s="38"/>
      <c r="AE41" s="56" t="s">
        <v>151</v>
      </c>
    </row>
    <row r="42" spans="1:31" s="42" customFormat="1" ht="14">
      <c r="A42" s="56" t="s">
        <v>243</v>
      </c>
      <c r="B42" s="307">
        <v>22.385142000000009</v>
      </c>
      <c r="E42" s="8">
        <f t="shared" si="0"/>
        <v>0</v>
      </c>
      <c r="F42" s="81" t="s">
        <v>243</v>
      </c>
      <c r="G42" s="56" t="s">
        <v>243</v>
      </c>
      <c r="H42" s="307">
        <v>18.186207000000007</v>
      </c>
      <c r="I42" s="8"/>
      <c r="J42" s="8"/>
      <c r="K42" s="8">
        <f t="shared" si="1"/>
        <v>0</v>
      </c>
      <c r="L42" s="38"/>
      <c r="M42" s="56" t="s">
        <v>243</v>
      </c>
      <c r="N42" s="307"/>
      <c r="Q42" s="8" t="e">
        <f t="shared" si="2"/>
        <v>#DIV/0!</v>
      </c>
      <c r="R42" s="38"/>
      <c r="S42" s="56" t="s">
        <v>243</v>
      </c>
      <c r="T42" s="307"/>
      <c r="W42" s="8" t="e">
        <f t="shared" si="3"/>
        <v>#DIV/0!</v>
      </c>
      <c r="X42" s="38"/>
      <c r="Y42" s="56" t="s">
        <v>243</v>
      </c>
      <c r="Z42" s="307"/>
      <c r="AC42" s="8" t="e">
        <f t="shared" si="4"/>
        <v>#DIV/0!</v>
      </c>
      <c r="AD42" s="38"/>
      <c r="AE42" s="56" t="s">
        <v>41</v>
      </c>
    </row>
    <row r="43" spans="1:31" s="42" customFormat="1" ht="14">
      <c r="A43" s="56" t="s">
        <v>244</v>
      </c>
      <c r="B43" s="307"/>
      <c r="E43" s="8"/>
      <c r="F43" s="81" t="s">
        <v>244</v>
      </c>
      <c r="G43" s="56" t="s">
        <v>244</v>
      </c>
      <c r="H43" s="307">
        <v>0</v>
      </c>
      <c r="I43" s="8"/>
      <c r="J43" s="8"/>
      <c r="K43" s="8"/>
      <c r="L43" s="38"/>
      <c r="M43" s="56" t="s">
        <v>244</v>
      </c>
      <c r="N43" s="307"/>
      <c r="Q43" s="8"/>
      <c r="R43" s="38"/>
      <c r="S43" s="56" t="s">
        <v>244</v>
      </c>
      <c r="T43" s="307"/>
      <c r="W43" s="8"/>
      <c r="X43" s="38"/>
      <c r="Y43" s="56" t="s">
        <v>244</v>
      </c>
      <c r="Z43" s="307"/>
      <c r="AC43" s="8"/>
      <c r="AD43" s="38"/>
      <c r="AE43" s="56" t="s">
        <v>152</v>
      </c>
    </row>
    <row r="44" spans="1:31" s="42" customFormat="1" ht="14">
      <c r="A44" s="56" t="s">
        <v>245</v>
      </c>
      <c r="B44" s="307">
        <v>0</v>
      </c>
      <c r="E44" s="8" t="e">
        <f t="shared" si="0"/>
        <v>#DIV/0!</v>
      </c>
      <c r="F44" s="81" t="s">
        <v>245</v>
      </c>
      <c r="G44" s="56" t="s">
        <v>245</v>
      </c>
      <c r="H44" s="307">
        <v>1.22</v>
      </c>
      <c r="I44" s="8"/>
      <c r="J44" s="8"/>
      <c r="K44" s="8">
        <f t="shared" si="1"/>
        <v>0</v>
      </c>
      <c r="L44" s="38"/>
      <c r="M44" s="56" t="s">
        <v>245</v>
      </c>
      <c r="N44" s="307"/>
      <c r="Q44" s="8" t="e">
        <f t="shared" si="2"/>
        <v>#DIV/0!</v>
      </c>
      <c r="R44" s="38"/>
      <c r="S44" s="56" t="s">
        <v>245</v>
      </c>
      <c r="T44" s="307"/>
      <c r="W44" s="8" t="e">
        <f t="shared" si="3"/>
        <v>#DIV/0!</v>
      </c>
      <c r="X44" s="38"/>
      <c r="Y44" s="56" t="s">
        <v>245</v>
      </c>
      <c r="Z44" s="307"/>
      <c r="AC44" s="8" t="e">
        <f t="shared" si="4"/>
        <v>#DIV/0!</v>
      </c>
      <c r="AD44" s="38"/>
      <c r="AE44" s="56" t="s">
        <v>153</v>
      </c>
    </row>
    <row r="45" spans="1:31" s="42" customFormat="1" ht="14">
      <c r="A45" s="56" t="s">
        <v>246</v>
      </c>
      <c r="B45" s="307"/>
      <c r="E45" s="8"/>
      <c r="F45" s="81" t="s">
        <v>246</v>
      </c>
      <c r="G45" s="56" t="s">
        <v>246</v>
      </c>
      <c r="H45" s="307">
        <v>0</v>
      </c>
      <c r="I45" s="8"/>
      <c r="J45" s="8"/>
      <c r="K45" s="8"/>
      <c r="L45" s="38"/>
      <c r="M45" s="56" t="s">
        <v>246</v>
      </c>
      <c r="N45" s="307"/>
      <c r="Q45" s="8"/>
      <c r="R45" s="38"/>
      <c r="S45" s="56" t="s">
        <v>246</v>
      </c>
      <c r="T45" s="307"/>
      <c r="W45" s="8"/>
      <c r="X45" s="38"/>
      <c r="Y45" s="56" t="s">
        <v>246</v>
      </c>
      <c r="Z45" s="307"/>
      <c r="AC45" s="8"/>
      <c r="AD45" s="38"/>
      <c r="AE45" s="56" t="s">
        <v>154</v>
      </c>
    </row>
    <row r="46" spans="1:31" s="42" customFormat="1" ht="14">
      <c r="A46" s="56" t="s">
        <v>247</v>
      </c>
      <c r="B46" s="307">
        <v>0.61</v>
      </c>
      <c r="E46" s="8"/>
      <c r="F46" s="81" t="s">
        <v>247</v>
      </c>
      <c r="G46" s="56" t="s">
        <v>247</v>
      </c>
      <c r="H46" s="307">
        <v>0</v>
      </c>
      <c r="I46" s="8"/>
      <c r="J46" s="8"/>
      <c r="K46" s="8"/>
      <c r="L46" s="38"/>
      <c r="M46" s="56" t="s">
        <v>247</v>
      </c>
      <c r="N46" s="307"/>
      <c r="Q46" s="8"/>
      <c r="R46" s="38"/>
      <c r="S46" s="56" t="s">
        <v>247</v>
      </c>
      <c r="T46" s="307"/>
      <c r="W46" s="8"/>
      <c r="X46" s="38"/>
      <c r="Y46" s="56" t="s">
        <v>247</v>
      </c>
      <c r="Z46" s="307"/>
      <c r="AC46" s="8"/>
      <c r="AD46" s="38"/>
      <c r="AE46" s="56" t="s">
        <v>155</v>
      </c>
    </row>
    <row r="47" spans="1:31" s="42" customFormat="1" ht="14">
      <c r="A47" s="56" t="s">
        <v>248</v>
      </c>
      <c r="B47" s="307">
        <v>27.966143999999993</v>
      </c>
      <c r="E47" s="8"/>
      <c r="F47" s="81" t="s">
        <v>248</v>
      </c>
      <c r="G47" s="56" t="s">
        <v>248</v>
      </c>
      <c r="H47" s="307">
        <v>23.686663999999997</v>
      </c>
      <c r="I47" s="8"/>
      <c r="J47" s="8"/>
      <c r="K47" s="8"/>
      <c r="L47" s="38"/>
      <c r="M47" s="56" t="s">
        <v>248</v>
      </c>
      <c r="N47" s="307"/>
      <c r="Q47" s="8"/>
      <c r="R47" s="38"/>
      <c r="S47" s="56" t="s">
        <v>248</v>
      </c>
      <c r="T47" s="307"/>
      <c r="W47" s="8"/>
      <c r="X47" s="38"/>
      <c r="Y47" s="56" t="s">
        <v>248</v>
      </c>
      <c r="Z47" s="307"/>
      <c r="AC47" s="8"/>
      <c r="AD47" s="38"/>
      <c r="AE47" s="56" t="s">
        <v>156</v>
      </c>
    </row>
    <row r="48" spans="1:31" s="42" customFormat="1" ht="14">
      <c r="A48" s="83" t="s">
        <v>249</v>
      </c>
      <c r="B48" s="307">
        <v>6.1538490000000001</v>
      </c>
      <c r="E48" s="8"/>
      <c r="F48" s="81" t="s">
        <v>249</v>
      </c>
      <c r="G48" s="83" t="s">
        <v>249</v>
      </c>
      <c r="H48" s="307">
        <v>18.778188000000007</v>
      </c>
      <c r="I48" s="8"/>
      <c r="J48" s="8"/>
      <c r="K48" s="8"/>
      <c r="L48" s="38"/>
      <c r="M48" s="83" t="s">
        <v>249</v>
      </c>
      <c r="N48" s="307"/>
      <c r="Q48" s="8"/>
      <c r="R48" s="38"/>
      <c r="S48" s="83" t="s">
        <v>249</v>
      </c>
      <c r="T48" s="307"/>
      <c r="W48" s="8"/>
      <c r="X48" s="38"/>
      <c r="Y48" s="83" t="s">
        <v>249</v>
      </c>
      <c r="Z48" s="307"/>
      <c r="AC48" s="8"/>
      <c r="AD48" s="38"/>
      <c r="AE48" s="83" t="s">
        <v>58</v>
      </c>
    </row>
    <row r="49" spans="1:31" s="42" customFormat="1" ht="14">
      <c r="A49" s="56" t="s">
        <v>250</v>
      </c>
      <c r="B49" s="307">
        <v>10.642127999999987</v>
      </c>
      <c r="E49" s="8">
        <f t="shared" si="0"/>
        <v>0</v>
      </c>
      <c r="F49" s="81" t="s">
        <v>250</v>
      </c>
      <c r="G49" s="56" t="s">
        <v>250</v>
      </c>
      <c r="H49" s="307">
        <v>23.758084000000011</v>
      </c>
      <c r="I49" s="8"/>
      <c r="J49" s="8"/>
      <c r="K49" s="8">
        <f t="shared" si="1"/>
        <v>0</v>
      </c>
      <c r="L49" s="38"/>
      <c r="M49" s="56" t="s">
        <v>250</v>
      </c>
      <c r="N49" s="307"/>
      <c r="Q49" s="8" t="e">
        <f t="shared" si="2"/>
        <v>#DIV/0!</v>
      </c>
      <c r="R49" s="38"/>
      <c r="S49" s="56" t="s">
        <v>250</v>
      </c>
      <c r="T49" s="307"/>
      <c r="W49" s="8" t="e">
        <f t="shared" si="3"/>
        <v>#DIV/0!</v>
      </c>
      <c r="X49" s="38"/>
      <c r="Y49" s="56" t="s">
        <v>250</v>
      </c>
      <c r="Z49" s="307"/>
      <c r="AC49" s="8" t="e">
        <f t="shared" si="4"/>
        <v>#DIV/0!</v>
      </c>
      <c r="AD49" s="38"/>
      <c r="AE49" s="56" t="s">
        <v>157</v>
      </c>
    </row>
    <row r="50" spans="1:31" s="42" customFormat="1" ht="14">
      <c r="A50" s="56" t="s">
        <v>251</v>
      </c>
      <c r="B50" s="307">
        <v>24.656400000000001</v>
      </c>
      <c r="E50" s="8">
        <f t="shared" si="0"/>
        <v>0</v>
      </c>
      <c r="F50" s="81" t="s">
        <v>251</v>
      </c>
      <c r="G50" s="56" t="s">
        <v>251</v>
      </c>
      <c r="H50" s="307">
        <v>9.6012000000000004</v>
      </c>
      <c r="I50" s="8"/>
      <c r="J50" s="8"/>
      <c r="K50" s="8">
        <f t="shared" si="1"/>
        <v>0</v>
      </c>
      <c r="L50" s="38"/>
      <c r="M50" s="56" t="s">
        <v>251</v>
      </c>
      <c r="N50" s="307"/>
      <c r="Q50" s="8" t="e">
        <f t="shared" si="2"/>
        <v>#DIV/0!</v>
      </c>
      <c r="R50" s="38"/>
      <c r="S50" s="56" t="s">
        <v>251</v>
      </c>
      <c r="T50" s="307"/>
      <c r="W50" s="8" t="e">
        <f t="shared" si="3"/>
        <v>#DIV/0!</v>
      </c>
      <c r="X50" s="38"/>
      <c r="Y50" s="56" t="s">
        <v>251</v>
      </c>
      <c r="Z50" s="307"/>
      <c r="AC50" s="8" t="e">
        <f t="shared" si="4"/>
        <v>#DIV/0!</v>
      </c>
      <c r="AD50" s="38"/>
      <c r="AE50" s="56" t="s">
        <v>158</v>
      </c>
    </row>
    <row r="51" spans="1:31" s="42" customFormat="1" ht="14">
      <c r="A51" s="56" t="s">
        <v>252</v>
      </c>
      <c r="B51" s="307">
        <v>206.1057569999999</v>
      </c>
      <c r="E51" s="8">
        <f t="shared" si="0"/>
        <v>0</v>
      </c>
      <c r="F51" s="81" t="s">
        <v>252</v>
      </c>
      <c r="G51" s="56" t="s">
        <v>252</v>
      </c>
      <c r="H51" s="307">
        <v>154.01142899999988</v>
      </c>
      <c r="I51" s="8"/>
      <c r="J51" s="8"/>
      <c r="K51" s="8">
        <f t="shared" si="1"/>
        <v>0</v>
      </c>
      <c r="L51" s="38"/>
      <c r="M51" s="56" t="s">
        <v>252</v>
      </c>
      <c r="N51" s="307"/>
      <c r="Q51" s="8" t="e">
        <f t="shared" si="2"/>
        <v>#DIV/0!</v>
      </c>
      <c r="R51" s="38"/>
      <c r="S51" s="56" t="s">
        <v>252</v>
      </c>
      <c r="T51" s="307"/>
      <c r="W51" s="8" t="e">
        <f t="shared" si="3"/>
        <v>#DIV/0!</v>
      </c>
      <c r="X51" s="38"/>
      <c r="Y51" s="56" t="s">
        <v>252</v>
      </c>
      <c r="Z51" s="307"/>
      <c r="AC51" s="8" t="e">
        <f t="shared" si="4"/>
        <v>#DIV/0!</v>
      </c>
      <c r="AD51" s="38"/>
      <c r="AE51" s="56" t="s">
        <v>42</v>
      </c>
    </row>
    <row r="52" spans="1:31" s="42" customFormat="1" ht="14">
      <c r="A52" s="83" t="s">
        <v>253</v>
      </c>
      <c r="B52" s="307">
        <v>28.507003999999984</v>
      </c>
      <c r="E52" s="8"/>
      <c r="F52" s="81" t="s">
        <v>253</v>
      </c>
      <c r="G52" s="83" t="s">
        <v>253</v>
      </c>
      <c r="H52" s="307">
        <v>34.323416999999971</v>
      </c>
      <c r="I52" s="8"/>
      <c r="J52" s="8"/>
      <c r="K52" s="8"/>
      <c r="L52" s="38"/>
      <c r="M52" s="83" t="s">
        <v>253</v>
      </c>
      <c r="N52" s="307"/>
      <c r="Q52" s="8"/>
      <c r="R52" s="38"/>
      <c r="S52" s="83" t="s">
        <v>253</v>
      </c>
      <c r="T52" s="307"/>
      <c r="W52" s="8"/>
      <c r="X52" s="38"/>
      <c r="Y52" s="83" t="s">
        <v>253</v>
      </c>
      <c r="Z52" s="307"/>
      <c r="AC52" s="8"/>
      <c r="AD52" s="38"/>
      <c r="AE52" s="83" t="s">
        <v>159</v>
      </c>
    </row>
    <row r="53" spans="1:31" s="42" customFormat="1" ht="14">
      <c r="A53" s="56" t="s">
        <v>254</v>
      </c>
      <c r="B53" s="307">
        <v>289.36857300000031</v>
      </c>
      <c r="E53" s="8">
        <f t="shared" si="0"/>
        <v>0</v>
      </c>
      <c r="F53" s="81" t="s">
        <v>254</v>
      </c>
      <c r="G53" s="56" t="s">
        <v>254</v>
      </c>
      <c r="H53" s="307">
        <v>289.54754400000013</v>
      </c>
      <c r="I53" s="8"/>
      <c r="J53" s="8"/>
      <c r="K53" s="8">
        <f t="shared" si="1"/>
        <v>0</v>
      </c>
      <c r="L53" s="38"/>
      <c r="M53" s="56" t="s">
        <v>254</v>
      </c>
      <c r="N53" s="307"/>
      <c r="Q53" s="8" t="e">
        <f t="shared" si="2"/>
        <v>#DIV/0!</v>
      </c>
      <c r="R53" s="38"/>
      <c r="S53" s="56" t="s">
        <v>254</v>
      </c>
      <c r="T53" s="307"/>
      <c r="W53" s="8" t="e">
        <f t="shared" si="3"/>
        <v>#DIV/0!</v>
      </c>
      <c r="X53" s="38"/>
      <c r="Y53" s="56" t="s">
        <v>254</v>
      </c>
      <c r="Z53" s="307"/>
      <c r="AC53" s="8" t="e">
        <f t="shared" si="4"/>
        <v>#DIV/0!</v>
      </c>
      <c r="AD53" s="38"/>
      <c r="AE53" s="56" t="s">
        <v>11</v>
      </c>
    </row>
    <row r="54" spans="1:31" s="42" customFormat="1" ht="14">
      <c r="A54" s="56" t="s">
        <v>255</v>
      </c>
      <c r="B54" s="307">
        <v>1055.7092</v>
      </c>
      <c r="E54" s="8">
        <f t="shared" si="0"/>
        <v>0</v>
      </c>
      <c r="F54" s="81" t="s">
        <v>255</v>
      </c>
      <c r="G54" s="56" t="s">
        <v>255</v>
      </c>
      <c r="H54" s="307">
        <v>1215.992</v>
      </c>
      <c r="I54" s="8"/>
      <c r="J54" s="8"/>
      <c r="K54" s="8">
        <f t="shared" si="1"/>
        <v>0</v>
      </c>
      <c r="L54" s="38"/>
      <c r="M54" s="56" t="s">
        <v>255</v>
      </c>
      <c r="N54" s="307"/>
      <c r="Q54" s="8" t="e">
        <f t="shared" si="2"/>
        <v>#DIV/0!</v>
      </c>
      <c r="R54" s="38"/>
      <c r="S54" s="56" t="s">
        <v>255</v>
      </c>
      <c r="T54" s="307"/>
      <c r="W54" s="8" t="e">
        <f t="shared" si="3"/>
        <v>#DIV/0!</v>
      </c>
      <c r="X54" s="38"/>
      <c r="Y54" s="56" t="s">
        <v>255</v>
      </c>
      <c r="Z54" s="307"/>
      <c r="AC54" s="8" t="e">
        <f t="shared" si="4"/>
        <v>#DIV/0!</v>
      </c>
      <c r="AD54" s="38"/>
      <c r="AE54" s="56" t="s">
        <v>13</v>
      </c>
    </row>
    <row r="55" spans="1:31" s="42" customFormat="1" ht="14">
      <c r="A55" s="56" t="s">
        <v>256</v>
      </c>
      <c r="B55" s="307">
        <v>0.6</v>
      </c>
      <c r="E55" s="8">
        <f t="shared" si="0"/>
        <v>0</v>
      </c>
      <c r="F55" s="81" t="s">
        <v>256</v>
      </c>
      <c r="G55" s="56" t="s">
        <v>256</v>
      </c>
      <c r="H55" s="307">
        <v>1.2</v>
      </c>
      <c r="I55" s="8"/>
      <c r="J55" s="8"/>
      <c r="K55" s="8">
        <f t="shared" si="1"/>
        <v>0</v>
      </c>
      <c r="L55" s="38"/>
      <c r="M55" s="56" t="s">
        <v>256</v>
      </c>
      <c r="N55" s="307"/>
      <c r="Q55" s="8" t="e">
        <f t="shared" si="2"/>
        <v>#DIV/0!</v>
      </c>
      <c r="R55" s="38"/>
      <c r="S55" s="56" t="s">
        <v>256</v>
      </c>
      <c r="T55" s="307"/>
      <c r="W55" s="8" t="e">
        <f t="shared" si="3"/>
        <v>#DIV/0!</v>
      </c>
      <c r="X55" s="38"/>
      <c r="Y55" s="56" t="s">
        <v>256</v>
      </c>
      <c r="Z55" s="307"/>
      <c r="AC55" s="8" t="e">
        <f t="shared" si="4"/>
        <v>#DIV/0!</v>
      </c>
      <c r="AD55" s="38"/>
      <c r="AE55" s="56" t="s">
        <v>160</v>
      </c>
    </row>
    <row r="56" spans="1:31" s="42" customFormat="1" ht="14">
      <c r="A56" s="56" t="s">
        <v>257</v>
      </c>
      <c r="B56" s="307">
        <v>1.22</v>
      </c>
      <c r="E56" s="8"/>
      <c r="F56" s="81" t="s">
        <v>257</v>
      </c>
      <c r="G56" s="56" t="s">
        <v>257</v>
      </c>
      <c r="H56" s="307">
        <v>18.3</v>
      </c>
      <c r="I56" s="8"/>
      <c r="J56" s="8"/>
      <c r="K56" s="8"/>
      <c r="L56" s="38"/>
      <c r="M56" s="56" t="s">
        <v>257</v>
      </c>
      <c r="N56" s="307"/>
      <c r="Q56" s="8"/>
      <c r="R56" s="38"/>
      <c r="S56" s="56" t="s">
        <v>257</v>
      </c>
      <c r="T56" s="307"/>
      <c r="W56" s="8"/>
      <c r="X56" s="38"/>
      <c r="Y56" s="56" t="s">
        <v>257</v>
      </c>
      <c r="Z56" s="307"/>
      <c r="AC56" s="8"/>
      <c r="AD56" s="38"/>
      <c r="AE56" s="56" t="s">
        <v>161</v>
      </c>
    </row>
    <row r="57" spans="1:31" s="42" customFormat="1" ht="14">
      <c r="A57" s="56" t="s">
        <v>258</v>
      </c>
      <c r="B57" s="307"/>
      <c r="E57" s="8" t="e">
        <f t="shared" si="0"/>
        <v>#DIV/0!</v>
      </c>
      <c r="F57" s="81" t="s">
        <v>258</v>
      </c>
      <c r="G57" s="56" t="s">
        <v>258</v>
      </c>
      <c r="H57" s="307">
        <v>0</v>
      </c>
      <c r="I57" s="8"/>
      <c r="J57" s="8"/>
      <c r="K57" s="8" t="e">
        <f t="shared" si="1"/>
        <v>#DIV/0!</v>
      </c>
      <c r="L57" s="38"/>
      <c r="M57" s="56" t="s">
        <v>258</v>
      </c>
      <c r="N57" s="307"/>
      <c r="Q57" s="8" t="e">
        <f t="shared" si="2"/>
        <v>#DIV/0!</v>
      </c>
      <c r="R57" s="38"/>
      <c r="S57" s="56" t="s">
        <v>258</v>
      </c>
      <c r="T57" s="307"/>
      <c r="W57" s="8" t="e">
        <f t="shared" si="3"/>
        <v>#DIV/0!</v>
      </c>
      <c r="X57" s="38"/>
      <c r="Y57" s="56" t="s">
        <v>258</v>
      </c>
      <c r="Z57" s="307"/>
      <c r="AC57" s="8" t="e">
        <f t="shared" si="4"/>
        <v>#DIV/0!</v>
      </c>
      <c r="AD57" s="38"/>
      <c r="AE57" s="56" t="s">
        <v>162</v>
      </c>
    </row>
    <row r="58" spans="1:31" s="42" customFormat="1" ht="14">
      <c r="A58" s="56" t="s">
        <v>312</v>
      </c>
      <c r="B58" s="307">
        <v>0</v>
      </c>
      <c r="E58" s="8" t="e">
        <f t="shared" si="0"/>
        <v>#DIV/0!</v>
      </c>
      <c r="F58" s="42" t="s">
        <v>312</v>
      </c>
      <c r="G58" s="56" t="s">
        <v>312</v>
      </c>
      <c r="H58" s="307">
        <v>0</v>
      </c>
      <c r="I58" s="8"/>
      <c r="J58" s="8"/>
      <c r="K58" s="8" t="e">
        <f t="shared" si="1"/>
        <v>#DIV/0!</v>
      </c>
      <c r="L58" s="38"/>
      <c r="M58" s="56" t="s">
        <v>312</v>
      </c>
      <c r="N58" s="307"/>
      <c r="Q58" s="8" t="e">
        <f t="shared" si="2"/>
        <v>#DIV/0!</v>
      </c>
      <c r="R58" s="38"/>
      <c r="S58" s="56" t="s">
        <v>312</v>
      </c>
      <c r="T58" s="307"/>
      <c r="W58" s="8" t="e">
        <f t="shared" si="3"/>
        <v>#DIV/0!</v>
      </c>
      <c r="X58" s="38"/>
      <c r="Y58" s="56" t="s">
        <v>312</v>
      </c>
      <c r="Z58" s="307"/>
      <c r="AC58" s="8" t="e">
        <f t="shared" si="4"/>
        <v>#DIV/0!</v>
      </c>
      <c r="AD58" s="38"/>
      <c r="AE58" s="56" t="s">
        <v>201</v>
      </c>
    </row>
    <row r="59" spans="1:31" s="42" customFormat="1" ht="14">
      <c r="A59" s="83" t="s">
        <v>259</v>
      </c>
      <c r="B59" s="307">
        <v>2.244021</v>
      </c>
      <c r="E59" s="8"/>
      <c r="F59" s="81" t="s">
        <v>259</v>
      </c>
      <c r="G59" s="83" t="s">
        <v>259</v>
      </c>
      <c r="H59" s="307">
        <v>15.253836000000003</v>
      </c>
      <c r="I59" s="8"/>
      <c r="J59" s="8"/>
      <c r="K59" s="8"/>
      <c r="L59" s="38"/>
      <c r="M59" s="83" t="s">
        <v>259</v>
      </c>
      <c r="N59" s="307"/>
      <c r="Q59" s="8"/>
      <c r="R59" s="38"/>
      <c r="S59" s="83" t="s">
        <v>259</v>
      </c>
      <c r="T59" s="307"/>
      <c r="W59" s="8"/>
      <c r="X59" s="38"/>
      <c r="Y59" s="83" t="s">
        <v>259</v>
      </c>
      <c r="Z59" s="307"/>
      <c r="AC59" s="8"/>
      <c r="AD59" s="38"/>
      <c r="AE59" s="83" t="s">
        <v>57</v>
      </c>
    </row>
    <row r="60" spans="1:31" s="42" customFormat="1" ht="14">
      <c r="A60" s="83" t="s">
        <v>260</v>
      </c>
      <c r="B60" s="307">
        <v>0.97745700000000002</v>
      </c>
      <c r="E60" s="8"/>
      <c r="F60" s="81" t="s">
        <v>260</v>
      </c>
      <c r="G60" s="83" t="s">
        <v>260</v>
      </c>
      <c r="H60" s="307">
        <v>0</v>
      </c>
      <c r="I60" s="8"/>
      <c r="J60" s="8"/>
      <c r="K60" s="8"/>
      <c r="L60" s="38"/>
      <c r="M60" s="83" t="s">
        <v>260</v>
      </c>
      <c r="N60" s="307"/>
      <c r="Q60" s="8"/>
      <c r="R60" s="38"/>
      <c r="S60" s="83" t="s">
        <v>260</v>
      </c>
      <c r="T60" s="307"/>
      <c r="W60" s="8"/>
      <c r="X60" s="38"/>
      <c r="Y60" s="83" t="s">
        <v>260</v>
      </c>
      <c r="Z60" s="307"/>
      <c r="AC60" s="8"/>
      <c r="AD60" s="38"/>
      <c r="AE60" s="83" t="s">
        <v>56</v>
      </c>
    </row>
    <row r="61" spans="1:31" s="42" customFormat="1" ht="14">
      <c r="A61" s="56" t="s">
        <v>261</v>
      </c>
      <c r="B61" s="307">
        <v>64.801269000000019</v>
      </c>
      <c r="E61" s="8">
        <f t="shared" si="0"/>
        <v>0</v>
      </c>
      <c r="F61" s="81" t="s">
        <v>261</v>
      </c>
      <c r="G61" s="56" t="s">
        <v>261</v>
      </c>
      <c r="H61" s="307">
        <v>20.361393000000003</v>
      </c>
      <c r="I61" s="8"/>
      <c r="J61" s="8"/>
      <c r="K61" s="8">
        <f t="shared" si="1"/>
        <v>0</v>
      </c>
      <c r="L61" s="38"/>
      <c r="M61" s="56" t="s">
        <v>261</v>
      </c>
      <c r="N61" s="307"/>
      <c r="Q61" s="8" t="e">
        <f t="shared" si="2"/>
        <v>#DIV/0!</v>
      </c>
      <c r="R61" s="38"/>
      <c r="S61" s="56" t="s">
        <v>261</v>
      </c>
      <c r="T61" s="307"/>
      <c r="W61" s="8" t="e">
        <f t="shared" si="3"/>
        <v>#DIV/0!</v>
      </c>
      <c r="X61" s="38"/>
      <c r="Y61" s="56" t="s">
        <v>261</v>
      </c>
      <c r="Z61" s="307"/>
      <c r="AC61" s="8" t="e">
        <f t="shared" si="4"/>
        <v>#DIV/0!</v>
      </c>
      <c r="AD61" s="38"/>
      <c r="AE61" s="56" t="s">
        <v>43</v>
      </c>
    </row>
    <row r="62" spans="1:31" s="42" customFormat="1" ht="14">
      <c r="A62" s="56" t="s">
        <v>262</v>
      </c>
      <c r="B62" s="307">
        <v>6.2</v>
      </c>
      <c r="E62" s="8">
        <f t="shared" si="0"/>
        <v>0</v>
      </c>
      <c r="F62" s="81" t="s">
        <v>262</v>
      </c>
      <c r="G62" s="56" t="s">
        <v>262</v>
      </c>
      <c r="H62" s="307">
        <v>12.399999999999995</v>
      </c>
      <c r="I62" s="8"/>
      <c r="J62" s="8"/>
      <c r="K62" s="8">
        <f t="shared" si="1"/>
        <v>0</v>
      </c>
      <c r="L62" s="38"/>
      <c r="M62" s="56" t="s">
        <v>262</v>
      </c>
      <c r="N62" s="307"/>
      <c r="Q62" s="8" t="e">
        <f t="shared" si="2"/>
        <v>#DIV/0!</v>
      </c>
      <c r="R62" s="38"/>
      <c r="S62" s="56" t="s">
        <v>262</v>
      </c>
      <c r="T62" s="307"/>
      <c r="W62" s="8" t="e">
        <f t="shared" si="3"/>
        <v>#DIV/0!</v>
      </c>
      <c r="X62" s="38"/>
      <c r="Y62" s="56" t="s">
        <v>262</v>
      </c>
      <c r="Z62" s="307"/>
      <c r="AC62" s="8" t="e">
        <f t="shared" si="4"/>
        <v>#DIV/0!</v>
      </c>
      <c r="AD62" s="38"/>
      <c r="AE62" s="56" t="s">
        <v>163</v>
      </c>
    </row>
    <row r="63" spans="1:31" s="42" customFormat="1" ht="14">
      <c r="A63" s="56" t="s">
        <v>263</v>
      </c>
      <c r="B63" s="307">
        <v>10.98</v>
      </c>
      <c r="E63" s="8"/>
      <c r="F63" s="81" t="s">
        <v>263</v>
      </c>
      <c r="G63" s="56" t="s">
        <v>263</v>
      </c>
      <c r="H63" s="307">
        <v>17.979999999999997</v>
      </c>
      <c r="I63" s="8"/>
      <c r="J63" s="8"/>
      <c r="K63" s="8"/>
      <c r="L63" s="38"/>
      <c r="M63" s="56" t="s">
        <v>263</v>
      </c>
      <c r="N63" s="307"/>
      <c r="Q63" s="8"/>
      <c r="R63" s="38"/>
      <c r="S63" s="56" t="s">
        <v>263</v>
      </c>
      <c r="T63" s="307"/>
      <c r="W63" s="8"/>
      <c r="X63" s="38"/>
      <c r="Y63" s="56" t="s">
        <v>263</v>
      </c>
      <c r="Z63" s="307"/>
      <c r="AC63" s="8"/>
      <c r="AD63" s="38"/>
      <c r="AE63" s="56" t="s">
        <v>164</v>
      </c>
    </row>
    <row r="64" spans="1:31" s="42" customFormat="1" ht="14">
      <c r="A64" s="83" t="s">
        <v>264</v>
      </c>
      <c r="B64" s="307">
        <v>2.9323709999999998</v>
      </c>
      <c r="E64" s="8"/>
      <c r="F64" s="81" t="s">
        <v>264</v>
      </c>
      <c r="G64" s="83" t="s">
        <v>264</v>
      </c>
      <c r="H64" s="307">
        <v>0.97745700000000002</v>
      </c>
      <c r="I64" s="8"/>
      <c r="J64" s="8"/>
      <c r="K64" s="8"/>
      <c r="L64" s="38"/>
      <c r="M64" s="83" t="s">
        <v>264</v>
      </c>
      <c r="N64" s="307"/>
      <c r="Q64" s="8"/>
      <c r="R64" s="38"/>
      <c r="S64" s="83" t="s">
        <v>264</v>
      </c>
      <c r="T64" s="307"/>
      <c r="W64" s="8"/>
      <c r="X64" s="38"/>
      <c r="Y64" s="83" t="s">
        <v>264</v>
      </c>
      <c r="Z64" s="307"/>
      <c r="AC64" s="8"/>
      <c r="AD64" s="38"/>
      <c r="AE64" s="83" t="s">
        <v>55</v>
      </c>
    </row>
    <row r="65" spans="1:31" s="42" customFormat="1" ht="14">
      <c r="A65" s="83" t="s">
        <v>265</v>
      </c>
      <c r="B65" s="307">
        <v>0</v>
      </c>
      <c r="E65" s="8"/>
      <c r="F65" s="81" t="s">
        <v>265</v>
      </c>
      <c r="G65" s="83" t="s">
        <v>265</v>
      </c>
      <c r="H65" s="307">
        <v>0</v>
      </c>
      <c r="I65" s="8"/>
      <c r="J65" s="8"/>
      <c r="K65" s="8"/>
      <c r="L65" s="38"/>
      <c r="M65" s="83" t="s">
        <v>265</v>
      </c>
      <c r="N65" s="307"/>
      <c r="Q65" s="8"/>
      <c r="R65" s="38"/>
      <c r="S65" s="83" t="s">
        <v>265</v>
      </c>
      <c r="T65" s="307"/>
      <c r="W65" s="8"/>
      <c r="X65" s="38"/>
      <c r="Y65" s="83" t="s">
        <v>265</v>
      </c>
      <c r="Z65" s="307"/>
      <c r="AC65" s="8"/>
      <c r="AD65" s="38"/>
      <c r="AE65" s="83" t="s">
        <v>165</v>
      </c>
    </row>
    <row r="66" spans="1:31" s="42" customFormat="1" ht="14">
      <c r="A66" s="83" t="s">
        <v>266</v>
      </c>
      <c r="B66" s="307">
        <v>311.19393900000108</v>
      </c>
      <c r="E66" s="8"/>
      <c r="F66" s="81" t="s">
        <v>266</v>
      </c>
      <c r="G66" s="83" t="s">
        <v>266</v>
      </c>
      <c r="H66" s="307">
        <v>330.18868500000042</v>
      </c>
      <c r="I66" s="8"/>
      <c r="J66" s="8"/>
      <c r="K66" s="8"/>
      <c r="L66" s="38"/>
      <c r="M66" s="83" t="s">
        <v>266</v>
      </c>
      <c r="N66" s="307"/>
      <c r="Q66" s="8"/>
      <c r="R66" s="38"/>
      <c r="S66" s="83" t="s">
        <v>266</v>
      </c>
      <c r="T66" s="307"/>
      <c r="W66" s="8"/>
      <c r="X66" s="38"/>
      <c r="Y66" s="83" t="s">
        <v>266</v>
      </c>
      <c r="Z66" s="307"/>
      <c r="AC66" s="8"/>
      <c r="AD66" s="38"/>
      <c r="AE66" s="83" t="s">
        <v>73</v>
      </c>
    </row>
    <row r="67" spans="1:31" s="42" customFormat="1" ht="14">
      <c r="A67" s="83" t="s">
        <v>267</v>
      </c>
      <c r="B67" s="307"/>
      <c r="E67" s="8"/>
      <c r="F67" s="81" t="s">
        <v>267</v>
      </c>
      <c r="G67" s="83" t="s">
        <v>267</v>
      </c>
      <c r="H67" s="307">
        <v>0</v>
      </c>
      <c r="I67" s="8"/>
      <c r="J67" s="8"/>
      <c r="K67" s="8"/>
      <c r="L67" s="38"/>
      <c r="M67" s="83" t="s">
        <v>267</v>
      </c>
      <c r="N67" s="307"/>
      <c r="Q67" s="8"/>
      <c r="R67" s="38"/>
      <c r="S67" s="83" t="s">
        <v>267</v>
      </c>
      <c r="T67" s="307"/>
      <c r="W67" s="8"/>
      <c r="X67" s="38"/>
      <c r="Y67" s="83" t="s">
        <v>267</v>
      </c>
      <c r="Z67" s="307"/>
      <c r="AC67" s="8"/>
      <c r="AD67" s="38"/>
      <c r="AE67" s="83" t="s">
        <v>166</v>
      </c>
    </row>
    <row r="68" spans="1:31" s="42" customFormat="1" ht="14">
      <c r="A68" s="83" t="s">
        <v>311</v>
      </c>
      <c r="B68" s="307">
        <v>0</v>
      </c>
      <c r="E68" s="8"/>
      <c r="F68" s="42" t="s">
        <v>311</v>
      </c>
      <c r="G68" s="83" t="s">
        <v>311</v>
      </c>
      <c r="H68" s="307">
        <v>0</v>
      </c>
      <c r="I68" s="8"/>
      <c r="J68" s="8"/>
      <c r="K68" s="8"/>
      <c r="L68" s="38"/>
      <c r="M68" s="83" t="s">
        <v>311</v>
      </c>
      <c r="N68" s="307"/>
      <c r="Q68" s="8"/>
      <c r="R68" s="38"/>
      <c r="S68" s="83" t="s">
        <v>311</v>
      </c>
      <c r="T68" s="307"/>
      <c r="W68" s="8"/>
      <c r="X68" s="38"/>
      <c r="Y68" s="83" t="s">
        <v>311</v>
      </c>
      <c r="Z68" s="307"/>
      <c r="AC68" s="8"/>
      <c r="AD68" s="38"/>
      <c r="AE68" s="83" t="s">
        <v>167</v>
      </c>
    </row>
    <row r="69" spans="1:31" s="42" customFormat="1" ht="14">
      <c r="A69" s="83" t="s">
        <v>268</v>
      </c>
      <c r="B69" s="307">
        <v>0</v>
      </c>
      <c r="E69" s="8"/>
      <c r="F69" s="81" t="s">
        <v>268</v>
      </c>
      <c r="G69" s="83" t="s">
        <v>268</v>
      </c>
      <c r="H69" s="307">
        <v>0</v>
      </c>
      <c r="I69" s="8"/>
      <c r="J69" s="8"/>
      <c r="K69" s="8"/>
      <c r="L69" s="38"/>
      <c r="M69" s="83" t="s">
        <v>268</v>
      </c>
      <c r="N69" s="307"/>
      <c r="Q69" s="8"/>
      <c r="R69" s="38"/>
      <c r="S69" s="83" t="s">
        <v>268</v>
      </c>
      <c r="T69" s="307"/>
      <c r="W69" s="8"/>
      <c r="X69" s="38"/>
      <c r="Y69" s="83" t="s">
        <v>268</v>
      </c>
      <c r="Z69" s="307"/>
      <c r="AC69" s="8"/>
      <c r="AD69" s="38"/>
      <c r="AE69" s="83" t="s">
        <v>168</v>
      </c>
    </row>
    <row r="70" spans="1:31" s="42" customFormat="1" ht="14">
      <c r="A70" s="83" t="s">
        <v>310</v>
      </c>
      <c r="B70" s="307"/>
      <c r="E70" s="8"/>
      <c r="F70" s="42" t="s">
        <v>310</v>
      </c>
      <c r="G70" s="83" t="s">
        <v>310</v>
      </c>
      <c r="H70" s="307">
        <v>0</v>
      </c>
      <c r="I70" s="8"/>
      <c r="J70" s="8"/>
      <c r="K70" s="8"/>
      <c r="L70" s="38"/>
      <c r="M70" s="83" t="s">
        <v>310</v>
      </c>
      <c r="N70" s="307"/>
      <c r="Q70" s="8"/>
      <c r="R70" s="38"/>
      <c r="S70" s="83" t="s">
        <v>310</v>
      </c>
      <c r="T70" s="307"/>
      <c r="W70" s="8"/>
      <c r="X70" s="38"/>
      <c r="Y70" s="83" t="s">
        <v>310</v>
      </c>
      <c r="Z70" s="307"/>
      <c r="AC70" s="8"/>
      <c r="AD70" s="38"/>
      <c r="AE70" s="83" t="s">
        <v>202</v>
      </c>
    </row>
    <row r="71" spans="1:31" s="42" customFormat="1" ht="14">
      <c r="A71" s="83" t="s">
        <v>269</v>
      </c>
      <c r="B71" s="307"/>
      <c r="E71" s="8"/>
      <c r="F71" s="81" t="s">
        <v>269</v>
      </c>
      <c r="G71" s="83" t="s">
        <v>269</v>
      </c>
      <c r="H71" s="307">
        <v>0</v>
      </c>
      <c r="I71" s="8"/>
      <c r="J71" s="8"/>
      <c r="K71" s="8"/>
      <c r="L71" s="38"/>
      <c r="M71" s="83" t="s">
        <v>269</v>
      </c>
      <c r="N71" s="307"/>
      <c r="Q71" s="8"/>
      <c r="R71" s="38"/>
      <c r="S71" s="83" t="s">
        <v>269</v>
      </c>
      <c r="T71" s="307"/>
      <c r="W71" s="8"/>
      <c r="X71" s="38"/>
      <c r="Y71" s="83" t="s">
        <v>269</v>
      </c>
      <c r="Z71" s="307"/>
      <c r="AC71" s="8"/>
      <c r="AD71" s="38"/>
      <c r="AE71" s="83" t="s">
        <v>169</v>
      </c>
    </row>
    <row r="72" spans="1:31" s="42" customFormat="1" ht="14">
      <c r="A72" s="83" t="s">
        <v>94</v>
      </c>
      <c r="B72" s="307">
        <v>0.61</v>
      </c>
      <c r="E72" s="8"/>
      <c r="F72" s="81" t="s">
        <v>94</v>
      </c>
      <c r="G72" s="83" t="s">
        <v>94</v>
      </c>
      <c r="H72" s="307">
        <v>0</v>
      </c>
      <c r="I72" s="8"/>
      <c r="J72" s="8"/>
      <c r="K72" s="8"/>
      <c r="L72" s="38"/>
      <c r="M72" s="83" t="s">
        <v>94</v>
      </c>
      <c r="N72" s="307"/>
      <c r="Q72" s="8"/>
      <c r="R72" s="38"/>
      <c r="S72" s="83" t="s">
        <v>94</v>
      </c>
      <c r="T72" s="307"/>
      <c r="W72" s="8"/>
      <c r="X72" s="38"/>
      <c r="Y72" s="83" t="s">
        <v>94</v>
      </c>
      <c r="Z72" s="307"/>
      <c r="AC72" s="8"/>
      <c r="AD72" s="38"/>
      <c r="AE72" s="83" t="s">
        <v>170</v>
      </c>
    </row>
    <row r="73" spans="1:31" s="42" customFormat="1" ht="14">
      <c r="A73" s="83" t="s">
        <v>270</v>
      </c>
      <c r="B73" s="307"/>
      <c r="E73" s="8"/>
      <c r="F73" s="81" t="s">
        <v>270</v>
      </c>
      <c r="G73" s="83" t="s">
        <v>270</v>
      </c>
      <c r="H73" s="307">
        <v>0</v>
      </c>
      <c r="I73" s="8"/>
      <c r="J73" s="8"/>
      <c r="K73" s="8"/>
      <c r="L73" s="38"/>
      <c r="M73" s="83" t="s">
        <v>270</v>
      </c>
      <c r="N73" s="307"/>
      <c r="Q73" s="8"/>
      <c r="R73" s="38"/>
      <c r="S73" s="83" t="s">
        <v>270</v>
      </c>
      <c r="T73" s="307"/>
      <c r="W73" s="8"/>
      <c r="X73" s="38"/>
      <c r="Y73" s="83" t="s">
        <v>270</v>
      </c>
      <c r="Z73" s="307"/>
      <c r="AC73" s="8"/>
      <c r="AD73" s="38"/>
      <c r="AE73" s="83" t="s">
        <v>171</v>
      </c>
    </row>
    <row r="74" spans="1:31" s="42" customFormat="1" ht="14">
      <c r="A74" s="83" t="s">
        <v>271</v>
      </c>
      <c r="B74" s="307">
        <v>221.24945699999995</v>
      </c>
      <c r="E74" s="8"/>
      <c r="F74" s="81" t="s">
        <v>271</v>
      </c>
      <c r="G74" s="83" t="s">
        <v>271</v>
      </c>
      <c r="H74" s="307">
        <v>245.17650300000014</v>
      </c>
      <c r="I74" s="8"/>
      <c r="J74" s="8"/>
      <c r="K74" s="8"/>
      <c r="L74" s="38"/>
      <c r="M74" s="83" t="s">
        <v>271</v>
      </c>
      <c r="N74" s="307"/>
      <c r="Q74" s="8"/>
      <c r="R74" s="38"/>
      <c r="S74" s="83" t="s">
        <v>271</v>
      </c>
      <c r="T74" s="307"/>
      <c r="W74" s="8"/>
      <c r="X74" s="38"/>
      <c r="Y74" s="83" t="s">
        <v>271</v>
      </c>
      <c r="Z74" s="307"/>
      <c r="AC74" s="8"/>
      <c r="AD74" s="38"/>
      <c r="AE74" s="83" t="s">
        <v>44</v>
      </c>
    </row>
    <row r="75" spans="1:31" s="42" customFormat="1" ht="14">
      <c r="A75" s="83" t="s">
        <v>272</v>
      </c>
      <c r="B75" s="307">
        <v>238.41068850000036</v>
      </c>
      <c r="E75" s="8"/>
      <c r="F75" s="81" t="s">
        <v>272</v>
      </c>
      <c r="G75" s="83" t="s">
        <v>272</v>
      </c>
      <c r="H75" s="307">
        <v>265.33533170000044</v>
      </c>
      <c r="I75" s="8"/>
      <c r="J75" s="8"/>
      <c r="K75" s="8"/>
      <c r="L75" s="38"/>
      <c r="M75" s="83" t="s">
        <v>272</v>
      </c>
      <c r="N75" s="307"/>
      <c r="Q75" s="8"/>
      <c r="R75" s="38"/>
      <c r="S75" s="83" t="s">
        <v>272</v>
      </c>
      <c r="T75" s="307"/>
      <c r="W75" s="8"/>
      <c r="X75" s="38"/>
      <c r="Y75" s="83" t="s">
        <v>272</v>
      </c>
      <c r="Z75" s="307"/>
      <c r="AC75" s="8"/>
      <c r="AD75" s="38"/>
      <c r="AE75" s="83" t="s">
        <v>45</v>
      </c>
    </row>
    <row r="76" spans="1:31" s="42" customFormat="1" ht="14">
      <c r="A76" s="83" t="s">
        <v>273</v>
      </c>
      <c r="B76" s="307">
        <v>0</v>
      </c>
      <c r="E76" s="8"/>
      <c r="F76" s="81" t="s">
        <v>273</v>
      </c>
      <c r="G76" s="83" t="s">
        <v>273</v>
      </c>
      <c r="H76" s="307">
        <v>0.61</v>
      </c>
      <c r="I76" s="8"/>
      <c r="J76" s="8"/>
      <c r="K76" s="8"/>
      <c r="L76" s="38"/>
      <c r="M76" s="83" t="s">
        <v>273</v>
      </c>
      <c r="N76" s="307"/>
      <c r="Q76" s="8"/>
      <c r="R76" s="38"/>
      <c r="S76" s="83" t="s">
        <v>273</v>
      </c>
      <c r="T76" s="307"/>
      <c r="W76" s="8"/>
      <c r="X76" s="38"/>
      <c r="Y76" s="83" t="s">
        <v>273</v>
      </c>
      <c r="Z76" s="307"/>
      <c r="AC76" s="8"/>
      <c r="AD76" s="38"/>
      <c r="AE76" s="83" t="s">
        <v>172</v>
      </c>
    </row>
    <row r="77" spans="1:31" s="42" customFormat="1" ht="14">
      <c r="A77" s="83" t="s">
        <v>274</v>
      </c>
      <c r="B77" s="307"/>
      <c r="E77" s="8"/>
      <c r="F77" s="81" t="s">
        <v>274</v>
      </c>
      <c r="G77" s="83" t="s">
        <v>274</v>
      </c>
      <c r="H77" s="307">
        <v>0</v>
      </c>
      <c r="I77" s="8"/>
      <c r="J77" s="8"/>
      <c r="K77" s="8"/>
      <c r="L77" s="38"/>
      <c r="M77" s="83" t="s">
        <v>274</v>
      </c>
      <c r="N77" s="307"/>
      <c r="Q77" s="8"/>
      <c r="R77" s="38"/>
      <c r="S77" s="83" t="s">
        <v>274</v>
      </c>
      <c r="T77" s="307"/>
      <c r="W77" s="8"/>
      <c r="X77" s="38"/>
      <c r="Y77" s="83" t="s">
        <v>274</v>
      </c>
      <c r="Z77" s="307"/>
      <c r="AC77" s="8"/>
      <c r="AD77" s="38"/>
      <c r="AE77" s="83" t="s">
        <v>173</v>
      </c>
    </row>
    <row r="78" spans="1:31" s="42" customFormat="1" ht="14">
      <c r="A78" s="83" t="s">
        <v>275</v>
      </c>
      <c r="B78" s="307">
        <v>10.37</v>
      </c>
      <c r="E78" s="8"/>
      <c r="F78" s="81" t="s">
        <v>275</v>
      </c>
      <c r="G78" s="83" t="s">
        <v>275</v>
      </c>
      <c r="H78" s="307">
        <v>2.44</v>
      </c>
      <c r="I78" s="8"/>
      <c r="J78" s="8"/>
      <c r="K78" s="8"/>
      <c r="L78" s="38"/>
      <c r="M78" s="83" t="s">
        <v>275</v>
      </c>
      <c r="N78" s="307"/>
      <c r="Q78" s="8"/>
      <c r="R78" s="38"/>
      <c r="S78" s="83" t="s">
        <v>275</v>
      </c>
      <c r="T78" s="307"/>
      <c r="W78" s="8"/>
      <c r="X78" s="38"/>
      <c r="Y78" s="83" t="s">
        <v>275</v>
      </c>
      <c r="Z78" s="307"/>
      <c r="AC78" s="8"/>
      <c r="AD78" s="38"/>
      <c r="AE78" s="83" t="s">
        <v>174</v>
      </c>
    </row>
    <row r="79" spans="1:31" s="42" customFormat="1" ht="14">
      <c r="A79" s="83" t="s">
        <v>276</v>
      </c>
      <c r="B79" s="307">
        <v>110.92071899999998</v>
      </c>
      <c r="E79" s="8"/>
      <c r="F79" s="81" t="s">
        <v>276</v>
      </c>
      <c r="G79" s="83" t="s">
        <v>276</v>
      </c>
      <c r="H79" s="307">
        <v>109.58531999999995</v>
      </c>
      <c r="I79" s="8"/>
      <c r="J79" s="8"/>
      <c r="K79" s="8"/>
      <c r="L79" s="38"/>
      <c r="M79" s="83" t="s">
        <v>276</v>
      </c>
      <c r="N79" s="307"/>
      <c r="Q79" s="8"/>
      <c r="R79" s="38"/>
      <c r="S79" s="83" t="s">
        <v>276</v>
      </c>
      <c r="T79" s="307"/>
      <c r="W79" s="8"/>
      <c r="X79" s="38"/>
      <c r="Y79" s="83" t="s">
        <v>276</v>
      </c>
      <c r="Z79" s="307"/>
      <c r="AC79" s="8"/>
      <c r="AD79" s="38"/>
      <c r="AE79" s="83" t="s">
        <v>46</v>
      </c>
    </row>
    <row r="80" spans="1:31" s="42" customFormat="1" ht="14">
      <c r="A80" s="83" t="s">
        <v>277</v>
      </c>
      <c r="B80" s="307">
        <v>0.61</v>
      </c>
      <c r="E80" s="8"/>
      <c r="F80" s="81" t="s">
        <v>277</v>
      </c>
      <c r="G80" s="83" t="s">
        <v>277</v>
      </c>
      <c r="H80" s="307">
        <v>1.4</v>
      </c>
      <c r="I80" s="8"/>
      <c r="J80" s="8"/>
      <c r="K80" s="8"/>
      <c r="L80" s="38"/>
      <c r="M80" s="83" t="s">
        <v>277</v>
      </c>
      <c r="N80" s="307"/>
      <c r="Q80" s="8"/>
      <c r="R80" s="38"/>
      <c r="S80" s="83" t="s">
        <v>277</v>
      </c>
      <c r="T80" s="307"/>
      <c r="W80" s="8"/>
      <c r="X80" s="38"/>
      <c r="Y80" s="83" t="s">
        <v>277</v>
      </c>
      <c r="Z80" s="307"/>
      <c r="AC80" s="8"/>
      <c r="AD80" s="38"/>
      <c r="AE80" s="83" t="s">
        <v>175</v>
      </c>
    </row>
    <row r="81" spans="1:31" s="42" customFormat="1" ht="14">
      <c r="A81" s="83" t="s">
        <v>278</v>
      </c>
      <c r="B81" s="307"/>
      <c r="E81" s="8"/>
      <c r="F81" s="81" t="s">
        <v>278</v>
      </c>
      <c r="G81" s="83" t="s">
        <v>278</v>
      </c>
      <c r="H81" s="307">
        <v>0</v>
      </c>
      <c r="I81" s="8"/>
      <c r="J81" s="8"/>
      <c r="K81" s="8"/>
      <c r="L81" s="38"/>
      <c r="M81" s="83" t="s">
        <v>278</v>
      </c>
      <c r="N81" s="307"/>
      <c r="Q81" s="8"/>
      <c r="R81" s="38"/>
      <c r="S81" s="83" t="s">
        <v>278</v>
      </c>
      <c r="T81" s="307"/>
      <c r="W81" s="8"/>
      <c r="X81" s="38"/>
      <c r="Y81" s="83" t="s">
        <v>278</v>
      </c>
      <c r="Z81" s="307"/>
      <c r="AC81" s="8"/>
      <c r="AD81" s="38"/>
      <c r="AE81" s="83" t="s">
        <v>176</v>
      </c>
    </row>
    <row r="82" spans="1:31" s="42" customFormat="1" ht="14">
      <c r="A82" s="83" t="s">
        <v>279</v>
      </c>
      <c r="B82" s="307">
        <v>0.61</v>
      </c>
      <c r="E82" s="8"/>
      <c r="F82" s="81" t="s">
        <v>279</v>
      </c>
      <c r="G82" s="83" t="s">
        <v>279</v>
      </c>
      <c r="H82" s="307">
        <v>0</v>
      </c>
      <c r="I82" s="8"/>
      <c r="J82" s="8"/>
      <c r="K82" s="8"/>
      <c r="L82" s="38"/>
      <c r="M82" s="83" t="s">
        <v>279</v>
      </c>
      <c r="N82" s="307"/>
      <c r="Q82" s="8"/>
      <c r="R82" s="38"/>
      <c r="S82" s="83" t="s">
        <v>279</v>
      </c>
      <c r="T82" s="307"/>
      <c r="W82" s="8"/>
      <c r="X82" s="38"/>
      <c r="Y82" s="83" t="s">
        <v>279</v>
      </c>
      <c r="Z82" s="307"/>
      <c r="AC82" s="8"/>
      <c r="AD82" s="38"/>
      <c r="AE82" s="83" t="s">
        <v>177</v>
      </c>
    </row>
    <row r="83" spans="1:31" s="42" customFormat="1" ht="14">
      <c r="A83" s="83" t="s">
        <v>280</v>
      </c>
      <c r="B83" s="307">
        <v>15.249999999999993</v>
      </c>
      <c r="E83" s="8"/>
      <c r="F83" s="81" t="s">
        <v>280</v>
      </c>
      <c r="G83" s="83" t="s">
        <v>280</v>
      </c>
      <c r="H83" s="307">
        <v>76.429999999999993</v>
      </c>
      <c r="I83" s="8"/>
      <c r="J83" s="8"/>
      <c r="K83" s="8"/>
      <c r="L83" s="38"/>
      <c r="M83" s="83" t="s">
        <v>280</v>
      </c>
      <c r="N83" s="307"/>
      <c r="Q83" s="8"/>
      <c r="R83" s="38"/>
      <c r="S83" s="83" t="s">
        <v>280</v>
      </c>
      <c r="T83" s="307"/>
      <c r="W83" s="8"/>
      <c r="X83" s="38"/>
      <c r="Y83" s="83" t="s">
        <v>280</v>
      </c>
      <c r="Z83" s="307"/>
      <c r="AC83" s="8"/>
      <c r="AD83" s="38"/>
      <c r="AE83" s="83" t="s">
        <v>178</v>
      </c>
    </row>
    <row r="84" spans="1:31" s="42" customFormat="1" ht="14">
      <c r="A84" s="83" t="s">
        <v>281</v>
      </c>
      <c r="B84" s="307">
        <v>22.320000000000004</v>
      </c>
      <c r="E84" s="8"/>
      <c r="F84" s="81" t="s">
        <v>281</v>
      </c>
      <c r="G84" s="83" t="s">
        <v>281</v>
      </c>
      <c r="H84" s="307">
        <v>15.439999999999991</v>
      </c>
      <c r="I84" s="8"/>
      <c r="J84" s="8"/>
      <c r="K84" s="8"/>
      <c r="L84" s="38"/>
      <c r="M84" s="83" t="s">
        <v>281</v>
      </c>
      <c r="N84" s="307"/>
      <c r="Q84" s="8"/>
      <c r="R84" s="38"/>
      <c r="S84" s="83" t="s">
        <v>281</v>
      </c>
      <c r="T84" s="307"/>
      <c r="W84" s="8"/>
      <c r="X84" s="38"/>
      <c r="Y84" s="83" t="s">
        <v>281</v>
      </c>
      <c r="Z84" s="307"/>
      <c r="AC84" s="8"/>
      <c r="AD84" s="38"/>
      <c r="AE84" s="83" t="s">
        <v>179</v>
      </c>
    </row>
    <row r="85" spans="1:31" s="42" customFormat="1" ht="14">
      <c r="A85" s="83" t="s">
        <v>282</v>
      </c>
      <c r="B85" s="307">
        <v>22.77061800000001</v>
      </c>
      <c r="E85" s="8"/>
      <c r="F85" s="81" t="s">
        <v>282</v>
      </c>
      <c r="G85" s="83" t="s">
        <v>282</v>
      </c>
      <c r="H85" s="307">
        <v>22.082267999999999</v>
      </c>
      <c r="I85" s="8"/>
      <c r="J85" s="8"/>
      <c r="K85" s="8"/>
      <c r="L85" s="38"/>
      <c r="M85" s="83" t="s">
        <v>282</v>
      </c>
      <c r="N85" s="307"/>
      <c r="Q85" s="8"/>
      <c r="R85" s="38"/>
      <c r="S85" s="83" t="s">
        <v>282</v>
      </c>
      <c r="T85" s="307"/>
      <c r="W85" s="8"/>
      <c r="X85" s="38"/>
      <c r="Y85" s="83" t="s">
        <v>282</v>
      </c>
      <c r="Z85" s="307"/>
      <c r="AC85" s="8"/>
      <c r="AD85" s="38"/>
      <c r="AE85" s="83" t="s">
        <v>54</v>
      </c>
    </row>
    <row r="86" spans="1:31" s="42" customFormat="1" ht="14">
      <c r="A86" s="83" t="s">
        <v>283</v>
      </c>
      <c r="B86" s="307">
        <v>36.413715000000018</v>
      </c>
      <c r="E86" s="8"/>
      <c r="F86" s="81" t="s">
        <v>283</v>
      </c>
      <c r="G86" s="83" t="s">
        <v>283</v>
      </c>
      <c r="H86" s="307">
        <v>34.01825700000002</v>
      </c>
      <c r="I86" s="8"/>
      <c r="J86" s="8"/>
      <c r="K86" s="8"/>
      <c r="L86" s="38"/>
      <c r="M86" s="83" t="s">
        <v>283</v>
      </c>
      <c r="N86" s="307"/>
      <c r="Q86" s="8"/>
      <c r="R86" s="38"/>
      <c r="S86" s="83" t="s">
        <v>283</v>
      </c>
      <c r="T86" s="307"/>
      <c r="W86" s="8"/>
      <c r="X86" s="38"/>
      <c r="Y86" s="83" t="s">
        <v>283</v>
      </c>
      <c r="Z86" s="307"/>
      <c r="AC86" s="8"/>
      <c r="AD86" s="38"/>
      <c r="AE86" s="83" t="s">
        <v>47</v>
      </c>
    </row>
    <row r="87" spans="1:31" s="42" customFormat="1" ht="14">
      <c r="A87" s="83" t="s">
        <v>284</v>
      </c>
      <c r="B87" s="307">
        <v>41.755311000000006</v>
      </c>
      <c r="E87" s="8"/>
      <c r="F87" s="81" t="s">
        <v>284</v>
      </c>
      <c r="G87" s="83" t="s">
        <v>284</v>
      </c>
      <c r="H87" s="307">
        <v>0</v>
      </c>
      <c r="I87" s="8"/>
      <c r="J87" s="8"/>
      <c r="K87" s="8"/>
      <c r="L87" s="38"/>
      <c r="M87" s="83" t="s">
        <v>284</v>
      </c>
      <c r="N87" s="307"/>
      <c r="Q87" s="8"/>
      <c r="R87" s="38"/>
      <c r="S87" s="83" t="s">
        <v>284</v>
      </c>
      <c r="T87" s="307"/>
      <c r="W87" s="8"/>
      <c r="X87" s="38"/>
      <c r="Y87" s="83" t="s">
        <v>284</v>
      </c>
      <c r="Z87" s="307"/>
      <c r="AC87" s="8"/>
      <c r="AD87" s="38"/>
      <c r="AE87" s="83" t="s">
        <v>53</v>
      </c>
    </row>
    <row r="88" spans="1:31" s="42" customFormat="1" ht="14">
      <c r="A88" s="83" t="s">
        <v>309</v>
      </c>
      <c r="B88" s="307">
        <v>153.45859199999995</v>
      </c>
      <c r="E88" s="8"/>
      <c r="F88" s="134" t="s">
        <v>309</v>
      </c>
      <c r="G88" s="83" t="s">
        <v>309</v>
      </c>
      <c r="H88" s="307">
        <v>138.57765599999999</v>
      </c>
      <c r="I88" s="8"/>
      <c r="J88" s="8"/>
      <c r="K88" s="8"/>
      <c r="L88" s="38"/>
      <c r="M88" s="83" t="s">
        <v>309</v>
      </c>
      <c r="N88" s="307"/>
      <c r="Q88" s="8"/>
      <c r="R88" s="38"/>
      <c r="S88" s="83" t="s">
        <v>309</v>
      </c>
      <c r="T88" s="307"/>
      <c r="W88" s="8"/>
      <c r="X88" s="38"/>
      <c r="Y88" s="83" t="s">
        <v>309</v>
      </c>
      <c r="Z88" s="307"/>
      <c r="AC88" s="8"/>
      <c r="AD88" s="38"/>
      <c r="AE88" s="83" t="s">
        <v>180</v>
      </c>
    </row>
    <row r="89" spans="1:31" s="42" customFormat="1" ht="14">
      <c r="A89" s="83" t="s">
        <v>285</v>
      </c>
      <c r="B89" s="307"/>
      <c r="E89" s="8"/>
      <c r="F89" s="81" t="s">
        <v>285</v>
      </c>
      <c r="G89" s="83" t="s">
        <v>285</v>
      </c>
      <c r="H89" s="307">
        <v>0</v>
      </c>
      <c r="I89" s="8"/>
      <c r="J89" s="8"/>
      <c r="K89" s="8"/>
      <c r="L89" s="38"/>
      <c r="M89" s="83" t="s">
        <v>285</v>
      </c>
      <c r="N89" s="307"/>
      <c r="Q89" s="8"/>
      <c r="R89" s="38"/>
      <c r="S89" s="83" t="s">
        <v>285</v>
      </c>
      <c r="T89" s="307"/>
      <c r="W89" s="8"/>
      <c r="X89" s="38"/>
      <c r="Y89" s="83" t="s">
        <v>285</v>
      </c>
      <c r="Z89" s="307"/>
      <c r="AC89" s="8"/>
      <c r="AD89" s="38"/>
      <c r="AE89" s="83" t="s">
        <v>181</v>
      </c>
    </row>
    <row r="90" spans="1:31" s="42" customFormat="1" ht="14">
      <c r="A90" s="83" t="s">
        <v>286</v>
      </c>
      <c r="B90" s="307">
        <v>46.557227999999995</v>
      </c>
      <c r="E90" s="8"/>
      <c r="F90" s="81" t="s">
        <v>286</v>
      </c>
      <c r="G90" s="83" t="s">
        <v>286</v>
      </c>
      <c r="H90" s="307">
        <v>34.18748699999999</v>
      </c>
      <c r="I90" s="8"/>
      <c r="J90" s="8"/>
      <c r="K90" s="8"/>
      <c r="L90" s="38"/>
      <c r="M90" s="83" t="s">
        <v>286</v>
      </c>
      <c r="N90" s="307"/>
      <c r="Q90" s="8"/>
      <c r="R90" s="38"/>
      <c r="S90" s="83" t="s">
        <v>286</v>
      </c>
      <c r="T90" s="307"/>
      <c r="W90" s="8"/>
      <c r="X90" s="38"/>
      <c r="Y90" s="83" t="s">
        <v>286</v>
      </c>
      <c r="Z90" s="307"/>
      <c r="AC90" s="8"/>
      <c r="AD90" s="38"/>
      <c r="AE90" s="83" t="s">
        <v>182</v>
      </c>
    </row>
    <row r="91" spans="1:31" s="42" customFormat="1" ht="14">
      <c r="A91" s="83" t="s">
        <v>287</v>
      </c>
      <c r="B91" s="307">
        <v>14.193777000000001</v>
      </c>
      <c r="E91" s="8"/>
      <c r="F91" s="81" t="s">
        <v>287</v>
      </c>
      <c r="G91" s="83" t="s">
        <v>287</v>
      </c>
      <c r="H91" s="307">
        <v>2.9323709999999998</v>
      </c>
      <c r="I91" s="8"/>
      <c r="J91" s="8"/>
      <c r="K91" s="8"/>
      <c r="L91" s="38"/>
      <c r="M91" s="83" t="s">
        <v>287</v>
      </c>
      <c r="N91" s="307"/>
      <c r="Q91" s="8"/>
      <c r="R91" s="38"/>
      <c r="S91" s="83" t="s">
        <v>287</v>
      </c>
      <c r="T91" s="307"/>
      <c r="W91" s="8"/>
      <c r="X91" s="38"/>
      <c r="Y91" s="83" t="s">
        <v>287</v>
      </c>
      <c r="Z91" s="307"/>
      <c r="AC91" s="8"/>
      <c r="AD91" s="38"/>
      <c r="AE91" s="83" t="s">
        <v>52</v>
      </c>
    </row>
    <row r="92" spans="1:31" s="42" customFormat="1" ht="14">
      <c r="A92" s="83" t="s">
        <v>288</v>
      </c>
      <c r="B92" s="307">
        <v>0</v>
      </c>
      <c r="E92" s="8"/>
      <c r="F92" s="81" t="s">
        <v>288</v>
      </c>
      <c r="G92" s="83" t="s">
        <v>288</v>
      </c>
      <c r="H92" s="307">
        <v>9.3890940000000001</v>
      </c>
      <c r="I92" s="8"/>
      <c r="J92" s="8"/>
      <c r="K92" s="8"/>
      <c r="L92" s="38"/>
      <c r="M92" s="83" t="s">
        <v>288</v>
      </c>
      <c r="N92" s="307"/>
      <c r="Q92" s="8"/>
      <c r="R92" s="38"/>
      <c r="S92" s="83" t="s">
        <v>288</v>
      </c>
      <c r="T92" s="307"/>
      <c r="W92" s="8"/>
      <c r="X92" s="38"/>
      <c r="Y92" s="83" t="s">
        <v>288</v>
      </c>
      <c r="Z92" s="307"/>
      <c r="AC92" s="8"/>
      <c r="AD92" s="38"/>
      <c r="AE92" s="83" t="s">
        <v>90</v>
      </c>
    </row>
    <row r="93" spans="1:31" s="42" customFormat="1" ht="14">
      <c r="A93" s="83" t="s">
        <v>289</v>
      </c>
      <c r="B93" s="307">
        <v>273.32366380000076</v>
      </c>
      <c r="E93" s="8"/>
      <c r="F93" s="81" t="s">
        <v>289</v>
      </c>
      <c r="G93" s="83" t="s">
        <v>289</v>
      </c>
      <c r="H93" s="307">
        <v>157.18411499999991</v>
      </c>
      <c r="I93" s="8"/>
      <c r="J93" s="8"/>
      <c r="K93" s="8"/>
      <c r="L93" s="38"/>
      <c r="M93" s="83" t="s">
        <v>289</v>
      </c>
      <c r="N93" s="307"/>
      <c r="Q93" s="8"/>
      <c r="R93" s="38"/>
      <c r="S93" s="83" t="s">
        <v>289</v>
      </c>
      <c r="T93" s="307"/>
      <c r="W93" s="8"/>
      <c r="X93" s="38"/>
      <c r="Y93" s="83" t="s">
        <v>289</v>
      </c>
      <c r="Z93" s="307"/>
      <c r="AC93" s="8"/>
      <c r="AD93" s="38"/>
      <c r="AE93" s="83" t="s">
        <v>183</v>
      </c>
    </row>
    <row r="94" spans="1:31" s="42" customFormat="1" ht="14">
      <c r="A94" s="83" t="s">
        <v>290</v>
      </c>
      <c r="B94" s="307">
        <v>93.202589999999987</v>
      </c>
      <c r="E94" s="8"/>
      <c r="F94" s="81" t="s">
        <v>290</v>
      </c>
      <c r="G94" s="83" t="s">
        <v>290</v>
      </c>
      <c r="H94" s="307">
        <v>134.36591999999987</v>
      </c>
      <c r="I94" s="8"/>
      <c r="J94" s="8"/>
      <c r="K94" s="8"/>
      <c r="L94" s="38"/>
      <c r="M94" s="83" t="s">
        <v>290</v>
      </c>
      <c r="N94" s="307"/>
      <c r="Q94" s="8"/>
      <c r="R94" s="38"/>
      <c r="S94" s="83" t="s">
        <v>290</v>
      </c>
      <c r="T94" s="307"/>
      <c r="W94" s="8"/>
      <c r="X94" s="38"/>
      <c r="Y94" s="83" t="s">
        <v>290</v>
      </c>
      <c r="Z94" s="307"/>
      <c r="AC94" s="8"/>
      <c r="AD94" s="38"/>
      <c r="AE94" s="83" t="s">
        <v>48</v>
      </c>
    </row>
    <row r="95" spans="1:31" s="42" customFormat="1" ht="14">
      <c r="A95" s="83" t="s">
        <v>291</v>
      </c>
      <c r="B95" s="307">
        <v>0</v>
      </c>
      <c r="E95" s="8"/>
      <c r="F95" s="81" t="s">
        <v>291</v>
      </c>
      <c r="G95" s="83" t="s">
        <v>291</v>
      </c>
      <c r="H95" s="307">
        <v>0.62</v>
      </c>
      <c r="I95" s="8"/>
      <c r="J95" s="8"/>
      <c r="K95" s="8"/>
      <c r="L95" s="38"/>
      <c r="M95" s="83" t="s">
        <v>291</v>
      </c>
      <c r="N95" s="307"/>
      <c r="Q95" s="8"/>
      <c r="R95" s="38"/>
      <c r="S95" s="83" t="s">
        <v>291</v>
      </c>
      <c r="T95" s="307"/>
      <c r="W95" s="8"/>
      <c r="X95" s="38"/>
      <c r="Y95" s="83" t="s">
        <v>291</v>
      </c>
      <c r="Z95" s="307"/>
      <c r="AC95" s="8"/>
      <c r="AD95" s="38"/>
      <c r="AE95" s="83" t="s">
        <v>184</v>
      </c>
    </row>
    <row r="96" spans="1:31" s="42" customFormat="1" ht="14">
      <c r="A96" s="83" t="s">
        <v>292</v>
      </c>
      <c r="B96" s="307"/>
      <c r="E96" s="8"/>
      <c r="F96" s="81" t="s">
        <v>292</v>
      </c>
      <c r="G96" s="83" t="s">
        <v>292</v>
      </c>
      <c r="H96" s="307">
        <v>0</v>
      </c>
      <c r="I96" s="8"/>
      <c r="J96" s="8"/>
      <c r="K96" s="8"/>
      <c r="L96" s="38"/>
      <c r="M96" s="83" t="s">
        <v>292</v>
      </c>
      <c r="N96" s="307"/>
      <c r="Q96" s="8"/>
      <c r="R96" s="38"/>
      <c r="S96" s="83" t="s">
        <v>292</v>
      </c>
      <c r="T96" s="307"/>
      <c r="W96" s="8"/>
      <c r="X96" s="38"/>
      <c r="Y96" s="83" t="s">
        <v>292</v>
      </c>
      <c r="Z96" s="307"/>
      <c r="AC96" s="8"/>
      <c r="AD96" s="38"/>
      <c r="AE96" s="83" t="s">
        <v>185</v>
      </c>
    </row>
    <row r="97" spans="1:31" s="42" customFormat="1" ht="14">
      <c r="A97" s="83" t="s">
        <v>293</v>
      </c>
      <c r="B97" s="307">
        <v>135.57741599999994</v>
      </c>
      <c r="E97" s="8"/>
      <c r="F97" s="81" t="s">
        <v>293</v>
      </c>
      <c r="G97" s="83" t="s">
        <v>293</v>
      </c>
      <c r="H97" s="307">
        <v>76.847394000000037</v>
      </c>
      <c r="I97" s="8"/>
      <c r="J97" s="8"/>
      <c r="K97" s="8"/>
      <c r="L97" s="38"/>
      <c r="M97" s="83" t="s">
        <v>293</v>
      </c>
      <c r="N97" s="307"/>
      <c r="Q97" s="8"/>
      <c r="R97" s="38"/>
      <c r="S97" s="83" t="s">
        <v>293</v>
      </c>
      <c r="T97" s="307"/>
      <c r="W97" s="8"/>
      <c r="X97" s="38"/>
      <c r="Y97" s="83" t="s">
        <v>293</v>
      </c>
      <c r="Z97" s="307"/>
      <c r="AC97" s="8"/>
      <c r="AD97" s="38"/>
      <c r="AE97" s="83" t="s">
        <v>49</v>
      </c>
    </row>
    <row r="98" spans="1:31" s="42" customFormat="1" ht="14">
      <c r="A98" s="83" t="s">
        <v>294</v>
      </c>
      <c r="B98" s="307">
        <v>409.92619199999979</v>
      </c>
      <c r="E98" s="8"/>
      <c r="F98" s="81" t="s">
        <v>294</v>
      </c>
      <c r="G98" s="83" t="s">
        <v>294</v>
      </c>
      <c r="H98" s="307">
        <v>407.07642299999975</v>
      </c>
      <c r="I98" s="8"/>
      <c r="J98" s="8"/>
      <c r="K98" s="8"/>
      <c r="L98" s="38"/>
      <c r="M98" s="83" t="s">
        <v>294</v>
      </c>
      <c r="N98" s="307"/>
      <c r="Q98" s="8"/>
      <c r="R98" s="38"/>
      <c r="S98" s="83" t="s">
        <v>294</v>
      </c>
      <c r="T98" s="307"/>
      <c r="W98" s="8"/>
      <c r="X98" s="38"/>
      <c r="Y98" s="83" t="s">
        <v>294</v>
      </c>
      <c r="Z98" s="307"/>
      <c r="AC98" s="8"/>
      <c r="AD98" s="38"/>
      <c r="AE98" s="83" t="s">
        <v>50</v>
      </c>
    </row>
    <row r="99" spans="1:31" s="42" customFormat="1" ht="14">
      <c r="A99" s="83" t="s">
        <v>295</v>
      </c>
      <c r="B99" s="307">
        <v>14.47362</v>
      </c>
      <c r="E99" s="8"/>
      <c r="F99" s="81" t="s">
        <v>295</v>
      </c>
      <c r="G99" s="83" t="s">
        <v>295</v>
      </c>
      <c r="H99" s="307">
        <v>12.27468</v>
      </c>
      <c r="I99" s="8"/>
      <c r="J99" s="8"/>
      <c r="K99" s="8"/>
      <c r="L99" s="38"/>
      <c r="M99" s="83" t="s">
        <v>295</v>
      </c>
      <c r="N99" s="307"/>
      <c r="Q99" s="8"/>
      <c r="R99" s="38"/>
      <c r="S99" s="83" t="s">
        <v>295</v>
      </c>
      <c r="T99" s="307"/>
      <c r="W99" s="8"/>
      <c r="X99" s="38"/>
      <c r="Y99" s="83" t="s">
        <v>295</v>
      </c>
      <c r="Z99" s="307"/>
      <c r="AC99" s="8"/>
      <c r="AD99" s="38"/>
      <c r="AE99" s="83" t="s">
        <v>186</v>
      </c>
    </row>
    <row r="100" spans="1:31" s="42" customFormat="1" ht="14">
      <c r="A100" s="83" t="s">
        <v>296</v>
      </c>
      <c r="B100" s="307"/>
      <c r="E100" s="8"/>
      <c r="F100" s="81" t="s">
        <v>296</v>
      </c>
      <c r="G100" s="83" t="s">
        <v>296</v>
      </c>
      <c r="H100" s="307">
        <v>0</v>
      </c>
      <c r="I100" s="8"/>
      <c r="J100" s="8"/>
      <c r="K100" s="8"/>
      <c r="L100" s="38"/>
      <c r="M100" s="83" t="s">
        <v>296</v>
      </c>
      <c r="N100" s="307"/>
      <c r="Q100" s="8"/>
      <c r="R100" s="38"/>
      <c r="S100" s="83" t="s">
        <v>296</v>
      </c>
      <c r="T100" s="307"/>
      <c r="W100" s="8"/>
      <c r="X100" s="38"/>
      <c r="Y100" s="83" t="s">
        <v>296</v>
      </c>
      <c r="Z100" s="307"/>
      <c r="AC100" s="8"/>
      <c r="AD100" s="38"/>
      <c r="AE100" s="83" t="s">
        <v>187</v>
      </c>
    </row>
    <row r="101" spans="1:31" s="42" customFormat="1" ht="14">
      <c r="A101" s="83" t="s">
        <v>297</v>
      </c>
      <c r="B101" s="307">
        <v>3.1</v>
      </c>
      <c r="E101" s="8"/>
      <c r="F101" s="81" t="s">
        <v>297</v>
      </c>
      <c r="G101" s="83" t="s">
        <v>297</v>
      </c>
      <c r="H101" s="307">
        <v>11.78</v>
      </c>
      <c r="I101" s="8"/>
      <c r="J101" s="8"/>
      <c r="K101" s="8"/>
      <c r="L101" s="38"/>
      <c r="M101" s="83" t="s">
        <v>297</v>
      </c>
      <c r="N101" s="307"/>
      <c r="Q101" s="8"/>
      <c r="R101" s="38"/>
      <c r="S101" s="83" t="s">
        <v>297</v>
      </c>
      <c r="T101" s="307"/>
      <c r="W101" s="8"/>
      <c r="X101" s="38"/>
      <c r="Y101" s="83" t="s">
        <v>297</v>
      </c>
      <c r="Z101" s="307"/>
      <c r="AC101" s="8"/>
      <c r="AD101" s="38"/>
      <c r="AE101" s="83" t="s">
        <v>188</v>
      </c>
    </row>
    <row r="102" spans="1:31" s="42" customFormat="1" ht="14">
      <c r="A102" s="83" t="s">
        <v>298</v>
      </c>
      <c r="B102" s="307">
        <v>3.6599999999999997</v>
      </c>
      <c r="E102" s="8"/>
      <c r="F102" s="81" t="s">
        <v>298</v>
      </c>
      <c r="G102" s="83" t="s">
        <v>298</v>
      </c>
      <c r="H102" s="307">
        <v>1.22</v>
      </c>
      <c r="I102" s="8"/>
      <c r="J102" s="8"/>
      <c r="K102" s="8"/>
      <c r="L102" s="38"/>
      <c r="M102" s="83" t="s">
        <v>298</v>
      </c>
      <c r="N102" s="307"/>
      <c r="Q102" s="8"/>
      <c r="R102" s="38"/>
      <c r="S102" s="83" t="s">
        <v>298</v>
      </c>
      <c r="T102" s="307"/>
      <c r="W102" s="8"/>
      <c r="X102" s="38"/>
      <c r="Y102" s="83" t="s">
        <v>298</v>
      </c>
      <c r="Z102" s="307"/>
      <c r="AC102" s="8"/>
      <c r="AD102" s="38"/>
      <c r="AE102" s="83" t="s">
        <v>189</v>
      </c>
    </row>
    <row r="103" spans="1:31" s="42" customFormat="1" ht="14">
      <c r="A103" s="83" t="s">
        <v>299</v>
      </c>
      <c r="B103" s="307">
        <v>45.558325499999938</v>
      </c>
      <c r="E103" s="8"/>
      <c r="F103" s="81" t="s">
        <v>299</v>
      </c>
      <c r="G103" s="83" t="s">
        <v>299</v>
      </c>
      <c r="H103" s="307">
        <v>39.457962499999972</v>
      </c>
      <c r="I103" s="8"/>
      <c r="J103" s="8"/>
      <c r="K103" s="8"/>
      <c r="L103" s="38"/>
      <c r="M103" s="83" t="s">
        <v>299</v>
      </c>
      <c r="N103" s="307"/>
      <c r="Q103" s="8"/>
      <c r="R103" s="38"/>
      <c r="S103" s="83" t="s">
        <v>299</v>
      </c>
      <c r="T103" s="307"/>
      <c r="W103" s="8"/>
      <c r="X103" s="38"/>
      <c r="Y103" s="83" t="s">
        <v>299</v>
      </c>
      <c r="Z103" s="307"/>
      <c r="AC103" s="8"/>
      <c r="AD103" s="38"/>
      <c r="AE103" s="83" t="s">
        <v>190</v>
      </c>
    </row>
    <row r="104" spans="1:31" s="42" customFormat="1" ht="14">
      <c r="A104" s="83" t="s">
        <v>300</v>
      </c>
      <c r="B104" s="307"/>
      <c r="E104" s="8"/>
      <c r="F104" s="81" t="s">
        <v>300</v>
      </c>
      <c r="G104" s="83" t="s">
        <v>300</v>
      </c>
      <c r="H104" s="307">
        <v>0</v>
      </c>
      <c r="I104" s="8"/>
      <c r="J104" s="8"/>
      <c r="K104" s="8"/>
      <c r="L104" s="38"/>
      <c r="M104" s="83" t="s">
        <v>300</v>
      </c>
      <c r="N104" s="307"/>
      <c r="Q104" s="8"/>
      <c r="R104" s="38"/>
      <c r="S104" s="83" t="s">
        <v>300</v>
      </c>
      <c r="T104" s="307"/>
      <c r="W104" s="8"/>
      <c r="X104" s="38"/>
      <c r="Y104" s="83" t="s">
        <v>300</v>
      </c>
      <c r="Z104" s="307"/>
      <c r="AC104" s="8"/>
      <c r="AD104" s="38"/>
      <c r="AE104" s="83" t="s">
        <v>191</v>
      </c>
    </row>
    <row r="105" spans="1:31" s="42" customFormat="1" ht="14">
      <c r="A105" s="83" t="s">
        <v>301</v>
      </c>
      <c r="B105" s="307">
        <v>0</v>
      </c>
      <c r="E105" s="8"/>
      <c r="F105" s="81" t="s">
        <v>301</v>
      </c>
      <c r="G105" s="83" t="s">
        <v>301</v>
      </c>
      <c r="H105" s="307">
        <v>0</v>
      </c>
      <c r="I105" s="8"/>
      <c r="J105" s="8"/>
      <c r="K105" s="8"/>
      <c r="L105" s="38"/>
      <c r="M105" s="83" t="s">
        <v>301</v>
      </c>
      <c r="N105" s="307"/>
      <c r="Q105" s="8"/>
      <c r="R105" s="38"/>
      <c r="S105" s="83" t="s">
        <v>301</v>
      </c>
      <c r="T105" s="307"/>
      <c r="W105" s="8"/>
      <c r="X105" s="38"/>
      <c r="Y105" s="83" t="s">
        <v>301</v>
      </c>
      <c r="Z105" s="307"/>
      <c r="AC105" s="8"/>
      <c r="AD105" s="38"/>
      <c r="AE105" s="83" t="s">
        <v>192</v>
      </c>
    </row>
    <row r="106" spans="1:31" s="42" customFormat="1" ht="14">
      <c r="A106" s="83" t="s">
        <v>302</v>
      </c>
      <c r="B106" s="307">
        <v>0</v>
      </c>
      <c r="E106" s="8"/>
      <c r="F106" s="81" t="s">
        <v>302</v>
      </c>
      <c r="G106" s="83" t="s">
        <v>302</v>
      </c>
      <c r="H106" s="307">
        <v>0</v>
      </c>
      <c r="I106" s="8"/>
      <c r="J106" s="8"/>
      <c r="K106" s="8"/>
      <c r="L106" s="38"/>
      <c r="M106" s="83" t="s">
        <v>302</v>
      </c>
      <c r="N106" s="307"/>
      <c r="Q106" s="8"/>
      <c r="R106" s="38"/>
      <c r="S106" s="83" t="s">
        <v>302</v>
      </c>
      <c r="T106" s="307"/>
      <c r="W106" s="8"/>
      <c r="X106" s="38"/>
      <c r="Y106" s="83" t="s">
        <v>302</v>
      </c>
      <c r="Z106" s="307"/>
      <c r="AC106" s="8"/>
      <c r="AD106" s="38"/>
      <c r="AE106" s="83" t="s">
        <v>193</v>
      </c>
    </row>
    <row r="107" spans="1:31" s="42" customFormat="1" ht="14">
      <c r="A107" s="83" t="s">
        <v>303</v>
      </c>
      <c r="B107" s="307">
        <v>3611.5797120000543</v>
      </c>
      <c r="E107" s="8"/>
      <c r="F107" s="81" t="s">
        <v>303</v>
      </c>
      <c r="G107" s="83" t="s">
        <v>303</v>
      </c>
      <c r="H107" s="307">
        <v>2886.6783270000433</v>
      </c>
      <c r="I107" s="8"/>
      <c r="J107" s="8"/>
      <c r="K107" s="8"/>
      <c r="L107" s="38"/>
      <c r="M107" s="83" t="s">
        <v>303</v>
      </c>
      <c r="N107" s="307"/>
      <c r="Q107" s="8"/>
      <c r="R107" s="38"/>
      <c r="S107" s="83" t="s">
        <v>303</v>
      </c>
      <c r="T107" s="307"/>
      <c r="W107" s="8"/>
      <c r="X107" s="38"/>
      <c r="Y107" s="83" t="s">
        <v>303</v>
      </c>
      <c r="Z107" s="307"/>
      <c r="AC107" s="8"/>
      <c r="AD107" s="38"/>
      <c r="AE107" s="83" t="s">
        <v>72</v>
      </c>
    </row>
    <row r="108" spans="1:31" s="42" customFormat="1" ht="14">
      <c r="A108" s="83" t="s">
        <v>51</v>
      </c>
      <c r="B108" s="307">
        <v>21946.500000002448</v>
      </c>
      <c r="E108" s="8"/>
      <c r="F108" s="81" t="s">
        <v>51</v>
      </c>
      <c r="G108" s="83" t="s">
        <v>51</v>
      </c>
      <c r="H108" s="307">
        <v>21346.620000002466</v>
      </c>
      <c r="I108" s="8"/>
      <c r="J108" s="8"/>
      <c r="K108" s="8"/>
      <c r="L108" s="38"/>
      <c r="M108" s="83" t="s">
        <v>51</v>
      </c>
      <c r="N108" s="307"/>
      <c r="Q108" s="8"/>
      <c r="R108" s="38"/>
      <c r="S108" s="83" t="s">
        <v>51</v>
      </c>
      <c r="T108" s="307"/>
      <c r="W108" s="8"/>
      <c r="X108" s="38"/>
      <c r="Y108" s="83" t="s">
        <v>51</v>
      </c>
      <c r="Z108" s="307"/>
      <c r="AC108" s="8"/>
      <c r="AD108" s="38"/>
      <c r="AE108" s="83" t="s">
        <v>199</v>
      </c>
    </row>
    <row r="109" spans="1:31" s="42" customFormat="1" ht="14">
      <c r="A109" s="83" t="s">
        <v>304</v>
      </c>
      <c r="B109" s="307"/>
      <c r="E109" s="8"/>
      <c r="F109" s="81" t="s">
        <v>304</v>
      </c>
      <c r="G109" s="83" t="s">
        <v>304</v>
      </c>
      <c r="H109" s="307">
        <v>0</v>
      </c>
      <c r="I109" s="8"/>
      <c r="J109" s="8"/>
      <c r="K109" s="8"/>
      <c r="L109" s="38"/>
      <c r="M109" s="83" t="s">
        <v>304</v>
      </c>
      <c r="N109" s="307"/>
      <c r="Q109" s="8"/>
      <c r="R109" s="38"/>
      <c r="S109" s="83" t="s">
        <v>304</v>
      </c>
      <c r="T109" s="307"/>
      <c r="W109" s="8"/>
      <c r="X109" s="38"/>
      <c r="Y109" s="83" t="s">
        <v>304</v>
      </c>
      <c r="Z109" s="307"/>
      <c r="AC109" s="8"/>
      <c r="AD109" s="38"/>
      <c r="AE109" s="83" t="s">
        <v>194</v>
      </c>
    </row>
    <row r="110" spans="1:31" s="42" customFormat="1" ht="14">
      <c r="A110" s="83" t="s">
        <v>305</v>
      </c>
      <c r="B110" s="307">
        <v>6.1000000000000005</v>
      </c>
      <c r="E110" s="8"/>
      <c r="F110" s="81" t="s">
        <v>305</v>
      </c>
      <c r="G110" s="83" t="s">
        <v>305</v>
      </c>
      <c r="H110" s="307">
        <v>0</v>
      </c>
      <c r="I110" s="8"/>
      <c r="J110" s="8"/>
      <c r="K110" s="8"/>
      <c r="L110" s="38"/>
      <c r="M110" s="83" t="s">
        <v>305</v>
      </c>
      <c r="N110" s="307"/>
      <c r="Q110" s="8"/>
      <c r="R110" s="38"/>
      <c r="S110" s="83" t="s">
        <v>305</v>
      </c>
      <c r="T110" s="307"/>
      <c r="W110" s="8"/>
      <c r="X110" s="38"/>
      <c r="Y110" s="83" t="s">
        <v>305</v>
      </c>
      <c r="Z110" s="307"/>
      <c r="AC110" s="8"/>
      <c r="AD110" s="38"/>
      <c r="AE110" s="83" t="s">
        <v>195</v>
      </c>
    </row>
    <row r="111" spans="1:31" s="42" customFormat="1" ht="14">
      <c r="A111" s="83" t="s">
        <v>306</v>
      </c>
      <c r="B111" s="307">
        <v>0.62</v>
      </c>
      <c r="E111" s="8"/>
      <c r="F111" s="81" t="s">
        <v>306</v>
      </c>
      <c r="G111" s="83" t="s">
        <v>306</v>
      </c>
      <c r="H111" s="307">
        <v>0.62</v>
      </c>
      <c r="I111" s="8"/>
      <c r="J111" s="8"/>
      <c r="K111" s="8"/>
      <c r="L111" s="38"/>
      <c r="M111" s="83" t="s">
        <v>306</v>
      </c>
      <c r="N111" s="307"/>
      <c r="Q111" s="8"/>
      <c r="R111" s="38"/>
      <c r="S111" s="83" t="s">
        <v>306</v>
      </c>
      <c r="T111" s="307"/>
      <c r="W111" s="8"/>
      <c r="X111" s="38"/>
      <c r="Y111" s="83" t="s">
        <v>306</v>
      </c>
      <c r="Z111" s="307"/>
      <c r="AC111" s="8"/>
      <c r="AD111" s="38"/>
      <c r="AE111" s="83" t="s">
        <v>196</v>
      </c>
    </row>
    <row r="112" spans="1:31" s="42" customFormat="1" ht="14">
      <c r="A112" s="83" t="s">
        <v>308</v>
      </c>
      <c r="B112" s="307"/>
      <c r="E112" s="8"/>
      <c r="F112" s="42" t="s">
        <v>308</v>
      </c>
      <c r="G112" s="83" t="s">
        <v>308</v>
      </c>
      <c r="H112" s="307">
        <v>0</v>
      </c>
      <c r="I112" s="8"/>
      <c r="J112" s="8"/>
      <c r="K112" s="8"/>
      <c r="L112" s="38"/>
      <c r="M112" s="83" t="s">
        <v>308</v>
      </c>
      <c r="N112" s="307"/>
      <c r="Q112" s="8"/>
      <c r="R112" s="38"/>
      <c r="S112" s="83" t="s">
        <v>308</v>
      </c>
      <c r="T112" s="307"/>
      <c r="W112" s="8"/>
      <c r="X112" s="38"/>
      <c r="Y112" s="83" t="s">
        <v>308</v>
      </c>
      <c r="Z112" s="307"/>
      <c r="AC112" s="8"/>
      <c r="AD112" s="38"/>
      <c r="AE112" s="83" t="s">
        <v>197</v>
      </c>
    </row>
    <row r="113" spans="1:31" s="42" customFormat="1" ht="14">
      <c r="A113" s="83" t="s">
        <v>307</v>
      </c>
      <c r="B113" s="307">
        <v>0</v>
      </c>
      <c r="E113" s="8"/>
      <c r="F113" s="81" t="s">
        <v>307</v>
      </c>
      <c r="G113" s="83" t="s">
        <v>307</v>
      </c>
      <c r="H113" s="307">
        <v>0</v>
      </c>
      <c r="I113" s="8"/>
      <c r="J113" s="8"/>
      <c r="K113" s="8"/>
      <c r="L113" s="38"/>
      <c r="M113" s="83" t="s">
        <v>307</v>
      </c>
      <c r="N113" s="307"/>
      <c r="Q113" s="8"/>
      <c r="R113" s="38"/>
      <c r="S113" s="83" t="s">
        <v>307</v>
      </c>
      <c r="T113" s="307"/>
      <c r="W113" s="8"/>
      <c r="X113" s="38"/>
      <c r="Y113" s="83" t="s">
        <v>307</v>
      </c>
      <c r="Z113" s="307"/>
      <c r="AC113" s="8"/>
      <c r="AD113" s="38"/>
      <c r="AE113" s="83" t="s">
        <v>198</v>
      </c>
    </row>
    <row r="114" spans="1:31" s="42" customFormat="1" ht="14">
      <c r="A114" s="84" t="s">
        <v>21</v>
      </c>
      <c r="B114" s="113">
        <f>SUM(B2:B113)</f>
        <v>37906.337110102439</v>
      </c>
      <c r="C114" s="113">
        <f>SUM(C2:C113)</f>
        <v>0</v>
      </c>
      <c r="D114" s="113">
        <f>SUM(D2:D113)</f>
        <v>0</v>
      </c>
      <c r="E114" s="8">
        <f>IF(C114 &gt; 0, C114/B114, 0)</f>
        <v>0</v>
      </c>
      <c r="F114" s="38"/>
      <c r="G114" s="86" t="s">
        <v>21</v>
      </c>
      <c r="H114" s="113">
        <f>SUM(H2:H113)</f>
        <v>36336.563193702474</v>
      </c>
      <c r="I114" s="113">
        <f>SUM(I2:I113)</f>
        <v>0</v>
      </c>
      <c r="J114" s="113">
        <f>SUM(J2:J113)</f>
        <v>0</v>
      </c>
      <c r="K114" s="8">
        <f>IF(I114 &gt; 0, I114/H114, 0)</f>
        <v>0</v>
      </c>
      <c r="L114" s="38"/>
      <c r="M114" s="84" t="s">
        <v>21</v>
      </c>
      <c r="N114" s="113">
        <f>SUM(N2:N113)</f>
        <v>0</v>
      </c>
      <c r="O114" s="113">
        <f>SUM(O2:O113)</f>
        <v>0</v>
      </c>
      <c r="P114" s="113">
        <f>SUM(P2:P113)</f>
        <v>0</v>
      </c>
      <c r="Q114" s="8">
        <f>IF(O114 &gt; 0, O114/N114, 0)</f>
        <v>0</v>
      </c>
      <c r="R114" s="38"/>
      <c r="S114" s="84" t="s">
        <v>21</v>
      </c>
      <c r="T114" s="113">
        <f>SUM(T2:T113)</f>
        <v>0</v>
      </c>
      <c r="U114" s="113">
        <f>SUM(U2:U113)</f>
        <v>0</v>
      </c>
      <c r="V114" s="113">
        <f>SUM(V2:V113)</f>
        <v>0</v>
      </c>
      <c r="W114" s="8" t="e">
        <f>U114/T114</f>
        <v>#DIV/0!</v>
      </c>
      <c r="X114" s="38"/>
      <c r="Y114" s="14" t="s">
        <v>22</v>
      </c>
      <c r="Z114" s="113">
        <f>SUM(Z2:Z113)</f>
        <v>0</v>
      </c>
      <c r="AA114" s="113">
        <f>SUM(AA2:AA113)</f>
        <v>0</v>
      </c>
      <c r="AB114" s="113">
        <f>SUM(AB2:AB113)</f>
        <v>0</v>
      </c>
      <c r="AC114" s="8">
        <f>IF(AA114 &gt; 0, AA114/Z114, 0)</f>
        <v>0</v>
      </c>
      <c r="AD114" s="38"/>
    </row>
    <row r="115" spans="1:31" s="42" customFormat="1" ht="14">
      <c r="A115" s="8"/>
      <c r="B115" s="8"/>
      <c r="C115" s="8"/>
      <c r="D115" s="8"/>
      <c r="E115" s="8"/>
      <c r="F115" s="38"/>
      <c r="G115" s="8"/>
      <c r="H115" s="8"/>
      <c r="I115" s="8"/>
      <c r="J115" s="8"/>
      <c r="K115" s="8"/>
      <c r="L115" s="38"/>
      <c r="M115" s="8"/>
      <c r="N115" s="8"/>
      <c r="O115" s="8"/>
      <c r="P115" s="8"/>
      <c r="Q115" s="8"/>
      <c r="R115" s="38"/>
      <c r="S115" s="8"/>
      <c r="T115" s="8"/>
      <c r="U115" s="8"/>
      <c r="V115" s="8"/>
      <c r="W115" s="8"/>
      <c r="X115" s="38"/>
      <c r="Y115" s="8"/>
      <c r="Z115" s="8"/>
      <c r="AA115" s="8"/>
      <c r="AB115" s="8"/>
      <c r="AC115" s="8"/>
      <c r="AD115" s="38"/>
    </row>
    <row r="116" spans="1:31" s="42" customFormat="1" ht="14">
      <c r="A116" s="16" t="s">
        <v>9</v>
      </c>
      <c r="B116" s="17">
        <f>SUM(B22,B66,B108)</f>
        <v>24704.017657502442</v>
      </c>
      <c r="C116" s="17">
        <f>SUM(C22,C66,C108)</f>
        <v>0</v>
      </c>
      <c r="D116" s="17">
        <f>SUM(D22,D66,D108)</f>
        <v>0</v>
      </c>
      <c r="E116" s="18">
        <f>IF(C116 &gt; 0, C116/B116, 0)</f>
        <v>0</v>
      </c>
      <c r="F116" s="38"/>
      <c r="G116" s="16" t="s">
        <v>9</v>
      </c>
      <c r="H116" s="17">
        <f>SUM(H22,H66,H108)</f>
        <v>23964.451456902465</v>
      </c>
      <c r="I116" s="17">
        <f>SUM(I22,I66,I108)</f>
        <v>0</v>
      </c>
      <c r="J116" s="17">
        <f>SUM(J22,J66,J108)</f>
        <v>0</v>
      </c>
      <c r="K116" s="18">
        <f>IF(I116 &gt; 0, I116/H116, 0)</f>
        <v>0</v>
      </c>
      <c r="L116" s="38"/>
      <c r="M116" s="16" t="s">
        <v>9</v>
      </c>
      <c r="N116" s="17">
        <f>SUM(N22,N66,N108)</f>
        <v>0</v>
      </c>
      <c r="O116" s="17">
        <f>SUM(O22,O66,O108)</f>
        <v>0</v>
      </c>
      <c r="P116" s="17">
        <f>SUM(P22,P66,P108)</f>
        <v>0</v>
      </c>
      <c r="Q116" s="18">
        <f>IF(O116 &gt; 0, O116/N116, 0)</f>
        <v>0</v>
      </c>
      <c r="R116" s="38"/>
      <c r="S116" s="16" t="s">
        <v>9</v>
      </c>
      <c r="T116" s="17">
        <f>SUM(T22,T66,T108)</f>
        <v>0</v>
      </c>
      <c r="U116" s="17">
        <f>SUM(U22,U66,U108)</f>
        <v>0</v>
      </c>
      <c r="V116" s="17">
        <f>SUM(V22,V66,V108)</f>
        <v>0</v>
      </c>
      <c r="W116" s="18">
        <f>IF(U116 &gt; 0, U116/T116, 0)</f>
        <v>0</v>
      </c>
      <c r="X116" s="38"/>
      <c r="Y116" s="16" t="s">
        <v>9</v>
      </c>
      <c r="Z116" s="17">
        <f>SUM(Z22,Z66,Z108)</f>
        <v>0</v>
      </c>
      <c r="AA116" s="17">
        <f>SUM(AA22,AA66,AA108)</f>
        <v>0</v>
      </c>
      <c r="AB116" s="17">
        <f>SUM(AB22,AB66,AB108)</f>
        <v>0</v>
      </c>
      <c r="AC116" s="18">
        <f>IF(AA116 &gt; 0, AA116/Z116, 0)</f>
        <v>0</v>
      </c>
      <c r="AD116" s="38"/>
    </row>
    <row r="117" spans="1:31" s="42" customFormat="1" ht="14">
      <c r="A117" s="8"/>
      <c r="B117" s="8"/>
      <c r="C117" s="8"/>
      <c r="D117" s="8"/>
      <c r="E117" s="8" t="str">
        <f>IF(C117 &gt; 0, C117/B117, "")</f>
        <v/>
      </c>
      <c r="F117" s="38"/>
      <c r="G117" s="8"/>
      <c r="H117" s="8"/>
      <c r="I117" s="8"/>
      <c r="J117" s="8"/>
      <c r="K117" s="8" t="str">
        <f>IF(I117 &gt; 0, I117/H117, "")</f>
        <v/>
      </c>
      <c r="L117" s="38"/>
      <c r="M117" s="8"/>
      <c r="N117" s="8"/>
      <c r="O117" s="8"/>
      <c r="P117" s="8"/>
      <c r="Q117" s="8" t="str">
        <f>IF(O117 &gt; 0, O117/N117, "")</f>
        <v/>
      </c>
      <c r="R117" s="38"/>
      <c r="S117" s="8"/>
      <c r="T117" s="8"/>
      <c r="U117" s="8"/>
      <c r="V117" s="8"/>
      <c r="W117" s="8" t="str">
        <f>IF(U117 &gt; 0, U117/T117, "")</f>
        <v/>
      </c>
      <c r="X117" s="38"/>
      <c r="Y117" s="8"/>
      <c r="Z117" s="8"/>
      <c r="AA117" s="8"/>
      <c r="AB117" s="8"/>
      <c r="AC117" s="8" t="str">
        <f>IF(AA117 &gt; 0, AA117/Z117, "")</f>
        <v/>
      </c>
      <c r="AD117" s="38"/>
    </row>
    <row r="118" spans="1:31" s="42" customFormat="1" ht="14">
      <c r="A118" s="88" t="s">
        <v>23</v>
      </c>
      <c r="B118" s="20">
        <f>B107</f>
        <v>3611.5797120000543</v>
      </c>
      <c r="C118" s="20">
        <f>C107</f>
        <v>0</v>
      </c>
      <c r="D118" s="20">
        <f>D107</f>
        <v>0</v>
      </c>
      <c r="E118" s="8">
        <f t="shared" ref="E118:E125" si="5">IF(C118 &gt; 0, C118/B118, 0)</f>
        <v>0</v>
      </c>
      <c r="F118" s="38"/>
      <c r="G118" s="88" t="s">
        <v>23</v>
      </c>
      <c r="H118" s="20">
        <f>H107</f>
        <v>2886.6783270000433</v>
      </c>
      <c r="I118" s="20">
        <f>I107</f>
        <v>0</v>
      </c>
      <c r="J118" s="20">
        <f>J107</f>
        <v>0</v>
      </c>
      <c r="K118" s="8">
        <f t="shared" ref="K118:K125" si="6">IF(I118 &gt; 0, I118/H118, 0)</f>
        <v>0</v>
      </c>
      <c r="L118" s="38"/>
      <c r="M118" s="88" t="s">
        <v>23</v>
      </c>
      <c r="N118" s="20">
        <f>N107</f>
        <v>0</v>
      </c>
      <c r="O118" s="20">
        <f>O107</f>
        <v>0</v>
      </c>
      <c r="P118" s="20">
        <f>P107</f>
        <v>0</v>
      </c>
      <c r="Q118" s="8">
        <f t="shared" ref="Q118:Q125" si="7">IF(O118 &gt; 0, O118/N118, 0)</f>
        <v>0</v>
      </c>
      <c r="R118" s="38"/>
      <c r="S118" s="88" t="s">
        <v>23</v>
      </c>
      <c r="T118" s="20">
        <f>T107</f>
        <v>0</v>
      </c>
      <c r="U118" s="20">
        <f>U107</f>
        <v>0</v>
      </c>
      <c r="V118" s="20">
        <f>V107</f>
        <v>0</v>
      </c>
      <c r="W118" s="8">
        <f t="shared" ref="W118:W125" si="8">IF(U118 &gt; 0, U118/T118, 0)</f>
        <v>0</v>
      </c>
      <c r="X118" s="38"/>
      <c r="Y118" s="88" t="s">
        <v>23</v>
      </c>
      <c r="Z118" s="20">
        <f>Z107</f>
        <v>0</v>
      </c>
      <c r="AA118" s="20">
        <f>AA107</f>
        <v>0</v>
      </c>
      <c r="AB118" s="20">
        <f>AB107</f>
        <v>0</v>
      </c>
      <c r="AC118" s="8">
        <f t="shared" ref="AC118:AC125" si="9">IF(AA118 &gt; 0, AA118/Z118, 0)</f>
        <v>0</v>
      </c>
      <c r="AD118" s="38"/>
    </row>
    <row r="119" spans="1:31" s="42" customFormat="1" ht="14">
      <c r="A119" s="89" t="s">
        <v>93</v>
      </c>
      <c r="B119" s="20">
        <f>SUM(B12,B38,B61,B74)</f>
        <v>1126.4297069999957</v>
      </c>
      <c r="C119" s="20">
        <f>SUM(C12,C38,C61,C74)</f>
        <v>0</v>
      </c>
      <c r="D119" s="20">
        <f>SUM(D12,D38,D61,D74)</f>
        <v>0</v>
      </c>
      <c r="E119" s="8">
        <f t="shared" si="5"/>
        <v>0</v>
      </c>
      <c r="F119" s="38"/>
      <c r="G119" s="89" t="s">
        <v>93</v>
      </c>
      <c r="H119" s="20">
        <f>SUM(H12,H38,H61,H74)</f>
        <v>1244.7157709999979</v>
      </c>
      <c r="I119" s="20">
        <f>SUM(I12,I38,I61,I74)</f>
        <v>0</v>
      </c>
      <c r="J119" s="20">
        <f>SUM(J12,J38,J61,J74)</f>
        <v>0</v>
      </c>
      <c r="K119" s="8">
        <f t="shared" si="6"/>
        <v>0</v>
      </c>
      <c r="L119" s="38"/>
      <c r="M119" s="89" t="s">
        <v>93</v>
      </c>
      <c r="N119" s="20">
        <f>SUM(N12,N38,N61,N74)</f>
        <v>0</v>
      </c>
      <c r="O119" s="20">
        <f>SUM(O12,O38,O61,O74)</f>
        <v>0</v>
      </c>
      <c r="P119" s="20">
        <f>SUM(P12,P38,P61,P74)</f>
        <v>0</v>
      </c>
      <c r="Q119" s="8">
        <f t="shared" si="7"/>
        <v>0</v>
      </c>
      <c r="R119" s="38"/>
      <c r="S119" s="89" t="s">
        <v>93</v>
      </c>
      <c r="T119" s="20">
        <f>SUM(T12,T38,T61,T74)</f>
        <v>0</v>
      </c>
      <c r="U119" s="20">
        <f>SUM(U12,U38,U61,U74)</f>
        <v>0</v>
      </c>
      <c r="V119" s="20">
        <f>SUM(V12,V38,V61,V74)</f>
        <v>0</v>
      </c>
      <c r="W119" s="8">
        <f t="shared" si="8"/>
        <v>0</v>
      </c>
      <c r="X119" s="38"/>
      <c r="Y119" s="89" t="s">
        <v>93</v>
      </c>
      <c r="Z119" s="20">
        <f>SUM(Z12,Z38,Z61,Z74)</f>
        <v>0</v>
      </c>
      <c r="AA119" s="20">
        <f>SUM(AA12,AA38,AA61,AA74)</f>
        <v>0</v>
      </c>
      <c r="AB119" s="20">
        <f>SUM(AB12,AB38,AB61,AB74)</f>
        <v>0</v>
      </c>
      <c r="AC119" s="8">
        <f t="shared" si="9"/>
        <v>0</v>
      </c>
      <c r="AD119" s="38"/>
    </row>
    <row r="120" spans="1:31" s="42" customFormat="1" ht="14">
      <c r="A120" s="89" t="s">
        <v>87</v>
      </c>
      <c r="B120" s="20">
        <f>SUM(B7,B40,B98)</f>
        <v>1519.257285000002</v>
      </c>
      <c r="C120" s="20">
        <f>SUM(C7,C40,C98)</f>
        <v>0</v>
      </c>
      <c r="D120" s="20">
        <f>SUM(D7,D40,D98)</f>
        <v>0</v>
      </c>
      <c r="E120" s="8">
        <f t="shared" si="5"/>
        <v>0</v>
      </c>
      <c r="F120" s="38"/>
      <c r="G120" s="89" t="s">
        <v>87</v>
      </c>
      <c r="H120" s="20">
        <f>SUM(H7,H40,H98)</f>
        <v>1862.3997600000075</v>
      </c>
      <c r="I120" s="20">
        <f>SUM(I7,I40,I98)</f>
        <v>0</v>
      </c>
      <c r="J120" s="20">
        <f>SUM(J7,J40,J98)</f>
        <v>0</v>
      </c>
      <c r="K120" s="8">
        <f t="shared" si="6"/>
        <v>0</v>
      </c>
      <c r="L120" s="38"/>
      <c r="M120" s="89" t="s">
        <v>87</v>
      </c>
      <c r="N120" s="20">
        <f>SUM(N7,N40,N98)</f>
        <v>0</v>
      </c>
      <c r="O120" s="20">
        <f>SUM(O7,O40,O98)</f>
        <v>0</v>
      </c>
      <c r="P120" s="20">
        <f>SUM(P7,P40,P98)</f>
        <v>0</v>
      </c>
      <c r="Q120" s="8">
        <f t="shared" si="7"/>
        <v>0</v>
      </c>
      <c r="R120" s="38"/>
      <c r="S120" s="89" t="s">
        <v>87</v>
      </c>
      <c r="T120" s="20">
        <f>SUM(T7,T40,T98)</f>
        <v>0</v>
      </c>
      <c r="U120" s="20">
        <f>SUM(U7,U40,U98)</f>
        <v>0</v>
      </c>
      <c r="V120" s="20">
        <f>SUM(V7,V40,V98)</f>
        <v>0</v>
      </c>
      <c r="W120" s="8">
        <f t="shared" si="8"/>
        <v>0</v>
      </c>
      <c r="X120" s="38"/>
      <c r="Y120" s="89" t="s">
        <v>87</v>
      </c>
      <c r="Z120" s="20">
        <f>SUM(Z7,Z40,Z98)</f>
        <v>0</v>
      </c>
      <c r="AA120" s="20">
        <f>SUM(AA7,AA40,AA98)</f>
        <v>0</v>
      </c>
      <c r="AB120" s="20">
        <f>SUM(AB7,AB40,AB98)</f>
        <v>0</v>
      </c>
      <c r="AC120" s="8">
        <f t="shared" si="9"/>
        <v>0</v>
      </c>
      <c r="AD120" s="38"/>
    </row>
    <row r="121" spans="1:31" s="42" customFormat="1" ht="14">
      <c r="A121" s="89" t="s">
        <v>75</v>
      </c>
      <c r="B121" s="20">
        <f>SUM(B94,B86,B53)</f>
        <v>418.98487800000032</v>
      </c>
      <c r="C121" s="20">
        <f>SUM(C94,C86,C53)</f>
        <v>0</v>
      </c>
      <c r="D121" s="20">
        <f>SUM(D94,D86,D53)</f>
        <v>0</v>
      </c>
      <c r="E121" s="8">
        <f>IF(C121 &gt; 0, C121/B121, 0)</f>
        <v>0</v>
      </c>
      <c r="F121" s="38"/>
      <c r="G121" s="89" t="s">
        <v>75</v>
      </c>
      <c r="H121" s="20">
        <f>SUM(H94,H86,H53)</f>
        <v>457.93172100000004</v>
      </c>
      <c r="I121" s="20">
        <f>SUM(I94,I86,I53)</f>
        <v>0</v>
      </c>
      <c r="J121" s="20">
        <f>SUM(J94,J86,J53)</f>
        <v>0</v>
      </c>
      <c r="K121" s="8">
        <f t="shared" si="6"/>
        <v>0</v>
      </c>
      <c r="L121" s="38"/>
      <c r="M121" s="89" t="s">
        <v>75</v>
      </c>
      <c r="N121" s="20">
        <f>SUM(N94,N86,N53)</f>
        <v>0</v>
      </c>
      <c r="O121" s="20">
        <f>SUM(O94,O86,O53)</f>
        <v>0</v>
      </c>
      <c r="P121" s="20">
        <f>SUM(P94,P86,P53)</f>
        <v>0</v>
      </c>
      <c r="Q121" s="8">
        <f t="shared" si="7"/>
        <v>0</v>
      </c>
      <c r="R121" s="38"/>
      <c r="S121" s="89" t="s">
        <v>75</v>
      </c>
      <c r="T121" s="20">
        <f>SUM(T94,T86,T53)</f>
        <v>0</v>
      </c>
      <c r="U121" s="20">
        <f>SUM(U94,U86,U53)</f>
        <v>0</v>
      </c>
      <c r="V121" s="20">
        <f>SUM(V94,V86,V53)</f>
        <v>0</v>
      </c>
      <c r="W121" s="8">
        <f t="shared" si="8"/>
        <v>0</v>
      </c>
      <c r="X121" s="38"/>
      <c r="Y121" s="89" t="s">
        <v>75</v>
      </c>
      <c r="Z121" s="20">
        <f>SUM(Z94,Z86,Z53)</f>
        <v>0</v>
      </c>
      <c r="AA121" s="20">
        <f>SUM(AA94,AA86,AA53)</f>
        <v>0</v>
      </c>
      <c r="AB121" s="20">
        <f>SUM(AB94,AB86,AB53)</f>
        <v>0</v>
      </c>
      <c r="AC121" s="8">
        <f t="shared" si="9"/>
        <v>0</v>
      </c>
      <c r="AD121" s="38"/>
    </row>
    <row r="122" spans="1:31" s="42" customFormat="1" ht="14">
      <c r="A122" s="89" t="s">
        <v>97</v>
      </c>
      <c r="B122" s="20">
        <f>SUM(B97,B30,B37,B79)</f>
        <v>410.62830899999989</v>
      </c>
      <c r="C122" s="20">
        <f>SUM(C97,C30,C37,C79)</f>
        <v>0</v>
      </c>
      <c r="D122" s="20">
        <f>SUM(D97,D30,D37,D79)</f>
        <v>0</v>
      </c>
      <c r="E122" s="8"/>
      <c r="F122" s="38"/>
      <c r="G122" s="89" t="s">
        <v>97</v>
      </c>
      <c r="H122" s="20">
        <f>SUM(H97,H30,H37,H79)</f>
        <v>391.60231499999992</v>
      </c>
      <c r="I122" s="20">
        <f>SUM(I97,I30,I37,I79)</f>
        <v>0</v>
      </c>
      <c r="J122" s="20">
        <f>SUM(J97,J30,J37,J79)</f>
        <v>0</v>
      </c>
      <c r="K122" s="8"/>
      <c r="L122" s="38"/>
      <c r="M122" s="89" t="s">
        <v>97</v>
      </c>
      <c r="N122" s="20">
        <f>SUM(N97,N30,N37,N79)</f>
        <v>0</v>
      </c>
      <c r="O122" s="20">
        <f>SUM(O97,O30,O37,O79)</f>
        <v>0</v>
      </c>
      <c r="P122" s="20">
        <f>SUM(P97,P30,P37,P79)</f>
        <v>0</v>
      </c>
      <c r="Q122" s="8"/>
      <c r="R122" s="38"/>
      <c r="S122" s="89" t="s">
        <v>97</v>
      </c>
      <c r="T122" s="20">
        <f>SUM(T97,T30,T37,T79)</f>
        <v>0</v>
      </c>
      <c r="U122" s="20">
        <f>SUM(U97,U30,U37,U79)</f>
        <v>0</v>
      </c>
      <c r="V122" s="20">
        <f>SUM(V97,V30,V37,V79)</f>
        <v>0</v>
      </c>
      <c r="W122" s="8"/>
      <c r="X122" s="38"/>
      <c r="Y122" s="89" t="s">
        <v>97</v>
      </c>
      <c r="Z122" s="20">
        <f>SUM(Z97,Z30,Z37,Z79)</f>
        <v>0</v>
      </c>
      <c r="AA122" s="20">
        <f>SUM(AA97,AA30,AA37,AA79)</f>
        <v>0</v>
      </c>
      <c r="AB122" s="20">
        <f>SUM(AB97,AB30,AB37,AB79)</f>
        <v>0</v>
      </c>
      <c r="AC122" s="8"/>
      <c r="AD122" s="38"/>
    </row>
    <row r="123" spans="1:31" s="42" customFormat="1" ht="14">
      <c r="A123" s="89" t="s">
        <v>64</v>
      </c>
      <c r="B123" s="20">
        <f>SUM(B51,B42)</f>
        <v>228.4908989999999</v>
      </c>
      <c r="C123" s="20">
        <f>SUM(C51,C42)</f>
        <v>0</v>
      </c>
      <c r="D123" s="20">
        <f>SUM(D51,D42)</f>
        <v>0</v>
      </c>
      <c r="E123" s="8">
        <f t="shared" si="5"/>
        <v>0</v>
      </c>
      <c r="F123" s="38"/>
      <c r="G123" s="89" t="s">
        <v>64</v>
      </c>
      <c r="H123" s="20">
        <f>SUM(H51,H42)</f>
        <v>172.19763599999987</v>
      </c>
      <c r="I123" s="20">
        <f>SUM(I51,I42)</f>
        <v>0</v>
      </c>
      <c r="J123" s="20">
        <f>SUM(J51,J42)</f>
        <v>0</v>
      </c>
      <c r="K123" s="8">
        <f t="shared" si="6"/>
        <v>0</v>
      </c>
      <c r="L123" s="38"/>
      <c r="M123" s="89" t="s">
        <v>64</v>
      </c>
      <c r="N123" s="20">
        <f>SUM(N51,N42)</f>
        <v>0</v>
      </c>
      <c r="O123" s="20">
        <f>SUM(O51,O42)</f>
        <v>0</v>
      </c>
      <c r="P123" s="20">
        <f>SUM(P51,P42)</f>
        <v>0</v>
      </c>
      <c r="Q123" s="8">
        <f t="shared" si="7"/>
        <v>0</v>
      </c>
      <c r="R123" s="38"/>
      <c r="S123" s="89" t="s">
        <v>64</v>
      </c>
      <c r="T123" s="20">
        <f>SUM(T51,T42)</f>
        <v>0</v>
      </c>
      <c r="U123" s="20">
        <f>SUM(U51,U42)</f>
        <v>0</v>
      </c>
      <c r="V123" s="20">
        <f>SUM(V51,V42)</f>
        <v>0</v>
      </c>
      <c r="W123" s="8">
        <f t="shared" si="8"/>
        <v>0</v>
      </c>
      <c r="X123" s="38"/>
      <c r="Y123" s="89" t="s">
        <v>64</v>
      </c>
      <c r="Z123" s="20">
        <f>SUM(Z51,Z42)</f>
        <v>0</v>
      </c>
      <c r="AA123" s="20">
        <f>SUM(AA51,AA42)</f>
        <v>0</v>
      </c>
      <c r="AB123" s="20">
        <f>SUM(AB51,AB42)</f>
        <v>0</v>
      </c>
      <c r="AC123" s="8">
        <f t="shared" si="9"/>
        <v>0</v>
      </c>
      <c r="AD123" s="38"/>
    </row>
    <row r="124" spans="1:31" s="42" customFormat="1" ht="14">
      <c r="A124" s="89" t="s">
        <v>89</v>
      </c>
      <c r="B124" s="20">
        <f>SUM(B19,B28:B29,B35,B48,B59,B60,B64,B85,B87,B91:B92)</f>
        <v>134.28331800000004</v>
      </c>
      <c r="C124" s="20">
        <f>SUM(C19,C28:C29,C35,C48,C59,C60,C64,C85,C87,C91:C92)</f>
        <v>0</v>
      </c>
      <c r="D124" s="20">
        <f>SUM(D19,D28:D29,D35,D48,D59,D60,D64,D85,D87,D91:D92)</f>
        <v>0</v>
      </c>
      <c r="E124" s="8"/>
      <c r="F124" s="38"/>
      <c r="G124" s="89" t="s">
        <v>89</v>
      </c>
      <c r="H124" s="20">
        <f>SUM(H19,H28:H29,H35,H48,H59,H60,H64,H85,H87,H91:H92)</f>
        <v>140.93277899999998</v>
      </c>
      <c r="I124" s="20">
        <f>SUM(I19,I28:I29,I35,I48,I59,I60,I64,I85,I87,I91:I92)</f>
        <v>0</v>
      </c>
      <c r="J124" s="20">
        <f>SUM(J19,J28:J29,J35,J48,J59,J60,J64,J85,J87,J91:J92)</f>
        <v>0</v>
      </c>
      <c r="K124" s="8"/>
      <c r="L124" s="38"/>
      <c r="M124" s="89" t="s">
        <v>89</v>
      </c>
      <c r="N124" s="20">
        <f>SUM(N19,N28:N29,N35,N48,N59,N60,N64,N85,N87,N91:N92)</f>
        <v>0</v>
      </c>
      <c r="O124" s="20">
        <f>SUM(O19,O28:O29,O35,O48,O59,O60,O64,O85,O87,O91:O92)</f>
        <v>0</v>
      </c>
      <c r="P124" s="20">
        <f>SUM(P19,P28:P29,P35,P48,P59,P60,P64,P85,P87,P91:P92)</f>
        <v>0</v>
      </c>
      <c r="Q124" s="8"/>
      <c r="R124" s="38"/>
      <c r="S124" s="89" t="s">
        <v>89</v>
      </c>
      <c r="T124" s="20">
        <f>SUM(T19,T28:T29,T35,T48,T59,T60,T64,T85,T87,T91:T92)</f>
        <v>0</v>
      </c>
      <c r="U124" s="20">
        <f>SUM(U19,U28:U29,U35,U48,U59,U60,U64,U85,U87,U91:U92)</f>
        <v>0</v>
      </c>
      <c r="V124" s="20">
        <f>SUM(V19,V28:V29,V35,V48,V59,V60,V64,V85,V87,V91:V92)</f>
        <v>0</v>
      </c>
      <c r="W124" s="8"/>
      <c r="X124" s="38"/>
      <c r="Y124" s="89" t="s">
        <v>89</v>
      </c>
      <c r="Z124" s="20">
        <f>SUM(Z19,Z28:Z29,Z35,Z48,Z59,Z60,Z64,Z85,Z87,Z91:Z92)</f>
        <v>0</v>
      </c>
      <c r="AA124" s="20">
        <f>SUM(AA19,AA28:AA29,AA35,AA48,AA59,AA60,AA64,AA85,AA87,AA91:AA92)</f>
        <v>0</v>
      </c>
      <c r="AB124" s="20">
        <f>SUM(AB19,AB28:AB29,AB35,AB48,AB59,AB60,AB64,AB85,AB87,AB91:AB92)</f>
        <v>0</v>
      </c>
      <c r="AC124" s="8"/>
      <c r="AD124" s="38"/>
    </row>
    <row r="125" spans="1:31" s="42" customFormat="1" ht="14">
      <c r="A125" s="16" t="s">
        <v>24</v>
      </c>
      <c r="B125" s="87">
        <f>SUM(B118:B124)</f>
        <v>7449.6541080000516</v>
      </c>
      <c r="C125" s="87">
        <f>SUM(C118:C124)</f>
        <v>0</v>
      </c>
      <c r="D125" s="87">
        <f>SUM(D118:D124)</f>
        <v>0</v>
      </c>
      <c r="E125" s="18">
        <f t="shared" si="5"/>
        <v>0</v>
      </c>
      <c r="F125" s="38"/>
      <c r="G125" s="16" t="s">
        <v>24</v>
      </c>
      <c r="H125" s="87">
        <f>SUM(H118:H124)</f>
        <v>7156.4583090000478</v>
      </c>
      <c r="I125" s="87">
        <f>SUM(I118:I124)</f>
        <v>0</v>
      </c>
      <c r="J125" s="87">
        <f>SUM(J118:J124)</f>
        <v>0</v>
      </c>
      <c r="K125" s="18">
        <f t="shared" si="6"/>
        <v>0</v>
      </c>
      <c r="L125" s="38"/>
      <c r="M125" s="16" t="s">
        <v>24</v>
      </c>
      <c r="N125" s="87">
        <f>SUM(N118:N124)</f>
        <v>0</v>
      </c>
      <c r="O125" s="87">
        <f>SUM(O118:O124)</f>
        <v>0</v>
      </c>
      <c r="P125" s="87">
        <f>SUM(P118:P124)</f>
        <v>0</v>
      </c>
      <c r="Q125" s="18">
        <f t="shared" si="7"/>
        <v>0</v>
      </c>
      <c r="R125" s="38"/>
      <c r="S125" s="16" t="s">
        <v>24</v>
      </c>
      <c r="T125" s="87">
        <f>SUM(T118:T124)</f>
        <v>0</v>
      </c>
      <c r="U125" s="87">
        <f>SUM(U118:U124)</f>
        <v>0</v>
      </c>
      <c r="V125" s="87">
        <f>SUM(V118:V124)</f>
        <v>0</v>
      </c>
      <c r="W125" s="18">
        <f t="shared" si="8"/>
        <v>0</v>
      </c>
      <c r="X125" s="38"/>
      <c r="Y125" s="16" t="s">
        <v>24</v>
      </c>
      <c r="Z125" s="87">
        <f>SUM(Z118:Z124)</f>
        <v>0</v>
      </c>
      <c r="AA125" s="87">
        <f>SUM(AA118:AA124)</f>
        <v>0</v>
      </c>
      <c r="AB125" s="87">
        <f>SUM(AB118:AB124)</f>
        <v>0</v>
      </c>
      <c r="AC125" s="18">
        <f t="shared" si="9"/>
        <v>0</v>
      </c>
      <c r="AD125" s="38"/>
    </row>
    <row r="126" spans="1:31" s="42" customFormat="1" ht="14">
      <c r="A126" s="8"/>
      <c r="B126" s="8"/>
      <c r="C126" s="8"/>
      <c r="D126" s="8"/>
      <c r="E126" s="8" t="str">
        <f>IF(C126 &gt; 0, C126/B126, "")</f>
        <v/>
      </c>
      <c r="F126" s="38"/>
      <c r="G126" s="8"/>
      <c r="H126" s="8"/>
      <c r="I126" s="8"/>
      <c r="J126" s="8"/>
      <c r="K126" s="8" t="str">
        <f>IF(I126 &gt; 0, I126/H126, "")</f>
        <v/>
      </c>
      <c r="L126" s="38"/>
      <c r="M126" s="8"/>
      <c r="N126" s="8"/>
      <c r="O126" s="8"/>
      <c r="P126" s="8"/>
      <c r="Q126" s="8" t="str">
        <f>IF(O126 &gt; 0, O126/N126, "")</f>
        <v/>
      </c>
      <c r="R126" s="38"/>
      <c r="S126" s="8"/>
      <c r="T126" s="8"/>
      <c r="U126" s="8"/>
      <c r="V126" s="8"/>
      <c r="W126" s="8" t="str">
        <f>IF(U126 &gt; 0, U126/T126, "")</f>
        <v/>
      </c>
      <c r="X126" s="38"/>
      <c r="Y126" s="8"/>
      <c r="Z126" s="8"/>
      <c r="AA126" s="8"/>
      <c r="AB126" s="8"/>
      <c r="AC126" s="8" t="str">
        <f>IF(AA126 &gt; 0, AA126/Z126, "")</f>
        <v/>
      </c>
      <c r="AD126" s="38"/>
    </row>
    <row r="127" spans="1:31" s="42" customFormat="1" ht="14">
      <c r="A127" s="88" t="s">
        <v>65</v>
      </c>
      <c r="B127" s="20">
        <f>SUM(B75,B6)</f>
        <v>3739.2430392999408</v>
      </c>
      <c r="C127" s="20">
        <f>SUM(C75,C6)</f>
        <v>0</v>
      </c>
      <c r="D127" s="20">
        <f>SUM(D75,D6)</f>
        <v>0</v>
      </c>
      <c r="E127" s="8">
        <f>IF(C127 &gt; 0, C127/B127, 0)</f>
        <v>0</v>
      </c>
      <c r="F127" s="38"/>
      <c r="G127" s="88" t="s">
        <v>65</v>
      </c>
      <c r="H127" s="20">
        <f>SUM(H75,H6)</f>
        <v>3123.730162299953</v>
      </c>
      <c r="I127" s="20">
        <f>SUM(I75,I6)</f>
        <v>0</v>
      </c>
      <c r="J127" s="20">
        <f>SUM(J75,J6)</f>
        <v>0</v>
      </c>
      <c r="K127" s="8">
        <f>IF(I127 &gt; 0, I127/H127, 0)</f>
        <v>0</v>
      </c>
      <c r="L127" s="38"/>
      <c r="M127" s="88" t="s">
        <v>65</v>
      </c>
      <c r="N127" s="20">
        <f>SUM(N75,N6)</f>
        <v>0</v>
      </c>
      <c r="O127" s="20">
        <f>SUM(O75,O6)</f>
        <v>0</v>
      </c>
      <c r="P127" s="20">
        <f>SUM(P75,P6)</f>
        <v>0</v>
      </c>
      <c r="Q127" s="8">
        <f>IF(O127 &gt; 0, O127/N127, 0)</f>
        <v>0</v>
      </c>
      <c r="R127" s="38"/>
      <c r="S127" s="88" t="s">
        <v>65</v>
      </c>
      <c r="T127" s="20">
        <f>SUM(T75,T6)</f>
        <v>0</v>
      </c>
      <c r="U127" s="20">
        <f>SUM(U75,U6)</f>
        <v>0</v>
      </c>
      <c r="V127" s="20">
        <f>SUM(V75,V6)</f>
        <v>0</v>
      </c>
      <c r="W127" s="8">
        <f>IF(U127 &gt; 0, U127/T127, 0)</f>
        <v>0</v>
      </c>
      <c r="X127" s="38"/>
      <c r="Y127" s="88" t="s">
        <v>65</v>
      </c>
      <c r="Z127" s="20">
        <f>SUM(Z75,Z6)</f>
        <v>0</v>
      </c>
      <c r="AA127" s="20">
        <f>SUM(AA75,AA6)</f>
        <v>0</v>
      </c>
      <c r="AB127" s="20">
        <f>SUM(AB75,AB6)</f>
        <v>0</v>
      </c>
      <c r="AC127" s="8">
        <f>IF(AA127 &gt; 0, AA127/Z127, 0)</f>
        <v>0</v>
      </c>
      <c r="AD127" s="38"/>
    </row>
    <row r="128" spans="1:31" s="42" customFormat="1" ht="14">
      <c r="A128" s="88" t="s">
        <v>25</v>
      </c>
      <c r="B128" s="20">
        <f>B54</f>
        <v>1055.7092</v>
      </c>
      <c r="C128" s="20">
        <f>C54</f>
        <v>0</v>
      </c>
      <c r="D128" s="20">
        <f>D54</f>
        <v>0</v>
      </c>
      <c r="E128" s="8">
        <f>IF(C128 &gt; 0, C128/B128, 0)</f>
        <v>0</v>
      </c>
      <c r="F128" s="38"/>
      <c r="G128" s="88" t="s">
        <v>25</v>
      </c>
      <c r="H128" s="20">
        <f>H54</f>
        <v>1215.992</v>
      </c>
      <c r="I128" s="20">
        <f>I54</f>
        <v>0</v>
      </c>
      <c r="J128" s="20">
        <f>J54</f>
        <v>0</v>
      </c>
      <c r="K128" s="8">
        <f>IF(I128 &gt; 0, I128/H128, 0)</f>
        <v>0</v>
      </c>
      <c r="L128" s="38"/>
      <c r="M128" s="88" t="s">
        <v>25</v>
      </c>
      <c r="N128" s="20">
        <f>N54</f>
        <v>0</v>
      </c>
      <c r="O128" s="20">
        <f>O54</f>
        <v>0</v>
      </c>
      <c r="P128" s="20">
        <f>P54</f>
        <v>0</v>
      </c>
      <c r="Q128" s="8">
        <f>IF(O128 &gt; 0, O128/N128, 0)</f>
        <v>0</v>
      </c>
      <c r="R128" s="38"/>
      <c r="S128" s="88" t="s">
        <v>25</v>
      </c>
      <c r="T128" s="20">
        <f>T54</f>
        <v>0</v>
      </c>
      <c r="U128" s="20">
        <f>U54</f>
        <v>0</v>
      </c>
      <c r="V128" s="20">
        <f>V54</f>
        <v>0</v>
      </c>
      <c r="W128" s="8">
        <f>IF(U128 &gt; 0, U128/T128, 0)</f>
        <v>0</v>
      </c>
      <c r="X128" s="38"/>
      <c r="Y128" s="88" t="s">
        <v>25</v>
      </c>
      <c r="Z128" s="20">
        <f>Z54</f>
        <v>0</v>
      </c>
      <c r="AA128" s="20">
        <f>AA54</f>
        <v>0</v>
      </c>
      <c r="AB128" s="20">
        <f>AB54</f>
        <v>0</v>
      </c>
      <c r="AC128" s="8">
        <f>IF(AA128 &gt; 0, AA128/Z128, 0)</f>
        <v>0</v>
      </c>
      <c r="AD128" s="38"/>
    </row>
    <row r="129" spans="1:30" s="42" customFormat="1" ht="14">
      <c r="A129" s="88" t="s">
        <v>96</v>
      </c>
      <c r="B129" s="20">
        <f>SUM(B83,B82,B80,B76,B46,B44,B32,B34,B25,B26,B27,B17,B4,B15,B33,B110,B13)</f>
        <v>263.57000000000011</v>
      </c>
      <c r="C129" s="20">
        <f>SUM(C83,C82,C80,C76,C46,C44,C32,C34,C25,C26,C27,C17,C4,C15,C33,C110)</f>
        <v>0</v>
      </c>
      <c r="D129" s="20">
        <f>SUM(D83,D82,D80,D76,D46,D44,D32,D34,D25,D26,D27,D17,D4,D15,D33,D110)</f>
        <v>0</v>
      </c>
      <c r="E129" s="8"/>
      <c r="F129" s="38"/>
      <c r="G129" s="88" t="s">
        <v>96</v>
      </c>
      <c r="H129" s="20">
        <f>SUM(H83,H82,H80,H76,H46,H44,H32,H34,H25,H26,H27,H17,H4,H15,H33,H110,H13)</f>
        <v>317.20999999999992</v>
      </c>
      <c r="I129" s="20">
        <f>SUM(I83,I82,I80,I76,I46,I44,I32,I34,I25,I26,I27,I17,I4,I15,I33,I110)</f>
        <v>0</v>
      </c>
      <c r="J129" s="20">
        <f>SUM(J83,J82,J80,J76,J46,J44,J32,J34,J25,J26,J27,J17,J4,J15,J33,J110)</f>
        <v>0</v>
      </c>
      <c r="K129" s="8"/>
      <c r="L129" s="38"/>
      <c r="M129" s="88" t="s">
        <v>96</v>
      </c>
      <c r="N129" s="20">
        <f>SUM(N83,N82,N80,N76,N46,N44,N32,N34,N25,N26,N27,N17,N4,N15,N33,N110,N13)</f>
        <v>0</v>
      </c>
      <c r="O129" s="20">
        <f>SUM(O83,O82,O80,O76,O46,O44,O32,O34,O25,O26,O27,O17,O4,O15,O33,O110)</f>
        <v>0</v>
      </c>
      <c r="P129" s="20">
        <f>SUM(P83,P82,P80,P76,P46,P44,P32,P34,P25,P26,P27,P17,P4,P15,P33,P110)</f>
        <v>0</v>
      </c>
      <c r="Q129" s="8"/>
      <c r="R129" s="38"/>
      <c r="S129" s="88" t="s">
        <v>96</v>
      </c>
      <c r="T129" s="20">
        <f>SUM(T83,T82,T80,T76,T46,T44,T32,T34,T25,T26,T27,T17,T4,T15,T33,T110,T13)</f>
        <v>0</v>
      </c>
      <c r="U129" s="20">
        <f>SUM(U83,U82,U80,U76,U46,U44,U32,U34,U25,U26,U27,U17,U4,U15,U33,U110)</f>
        <v>0</v>
      </c>
      <c r="V129" s="20">
        <f>SUM(V83,V82,V80,V76,V46,V44,V32,V34,V25,V26,V27,V17,V4,V15,V33,V110)</f>
        <v>0</v>
      </c>
      <c r="W129" s="8"/>
      <c r="X129" s="38"/>
      <c r="Y129" s="88" t="s">
        <v>96</v>
      </c>
      <c r="Z129" s="20">
        <f>SUM(Z83,Z82,Z80,Z76,Z46,Z44,Z32,Z34,Z25,Z26,Z27,Z17,Z4,Z15,Z33,Z110,Z13)</f>
        <v>0</v>
      </c>
      <c r="AA129" s="20">
        <f>SUM(AA83,AA82,AA80,AA76,AA46,AA44,AA32,AA34,AA25,AA26,AA27,AA17,AA4,AA15,AA33,AA110)</f>
        <v>0</v>
      </c>
      <c r="AB129" s="20">
        <f>SUM(AB83,AB82,AB80,AB76,AB46,AB44,AB32,AB34,AB25,AB26,AB27,AB17,AB4,AB15,AB33,AB110)</f>
        <v>0</v>
      </c>
      <c r="AC129" s="8"/>
      <c r="AD129" s="38"/>
    </row>
    <row r="130" spans="1:30" s="42" customFormat="1" ht="14">
      <c r="A130" s="26" t="s">
        <v>99</v>
      </c>
      <c r="B130" s="20">
        <f>SUM(B18,B21,B47,B62,B63,B69,B84,B90,B99,B101,B111,B95,B58)</f>
        <v>132.216992</v>
      </c>
      <c r="C130" s="20">
        <f>SUM(C18,C21,C47,C62,C63,C69,C84,C90,C99,C101,C111,C95,C58)</f>
        <v>0</v>
      </c>
      <c r="D130" s="20">
        <f>SUM(D18,D21,D47,D62,D63,D69,D84,D90,D99,D101,D111,D95,D58)</f>
        <v>0</v>
      </c>
      <c r="E130" s="8"/>
      <c r="F130" s="38"/>
      <c r="G130" s="26" t="s">
        <v>99</v>
      </c>
      <c r="H130" s="20">
        <f>SUM(H18,H21,H47,H62,H63,H69,H84,H90,H99,H101,H111,H95,H58)</f>
        <v>130.22883099999999</v>
      </c>
      <c r="I130" s="20">
        <f>SUM(I18,I21,I47,I62,I63,I69,I84,I90,I99,I101,I111,I95,I58)</f>
        <v>0</v>
      </c>
      <c r="J130" s="20">
        <f>SUM(J18,J21,J47,J62,J63,J69,J84,J90,J99,J101,J111,J95,J58)</f>
        <v>0</v>
      </c>
      <c r="K130" s="8"/>
      <c r="L130" s="38"/>
      <c r="M130" s="26" t="s">
        <v>99</v>
      </c>
      <c r="N130" s="20">
        <f>SUM(N18,N21,N47,N62,N63,N69,N84,N90,N99,N101,N111,N95,N58)</f>
        <v>0</v>
      </c>
      <c r="O130" s="20">
        <f>SUM(O18,O21,O47,O62,O63,O69,O84,O90,O99,O101,O111,O95,O58)</f>
        <v>0</v>
      </c>
      <c r="P130" s="20">
        <f>SUM(P18,P21,P47,P62,P63,P69,P84,P90,P99,P101,P111,P95,P58)</f>
        <v>0</v>
      </c>
      <c r="Q130" s="8"/>
      <c r="R130" s="38"/>
      <c r="S130" s="26" t="s">
        <v>99</v>
      </c>
      <c r="T130" s="20">
        <f>SUM(T18,T21,T47,T62,T63,T69,T84,T90,T99,T101,T111,T95,T58)</f>
        <v>0</v>
      </c>
      <c r="U130" s="20">
        <f>SUM(U18,U21,U47,U62,U63,U69,U84,U90,U99,U101,U111,U95,U58)</f>
        <v>0</v>
      </c>
      <c r="V130" s="20">
        <f>SUM(V18,V21,V47,V62,V63,V69,V84,V90,V99,V101,V111,V95,V58)</f>
        <v>0</v>
      </c>
      <c r="W130" s="8"/>
      <c r="X130" s="38"/>
      <c r="Y130" s="26" t="s">
        <v>99</v>
      </c>
      <c r="Z130" s="20">
        <f>SUM(Z18,Z21,Z47,Z62,Z63,Z69,Z84,Z90,Z99,Z101,Z111,Z95,Z58)</f>
        <v>0</v>
      </c>
      <c r="AA130" s="20">
        <f>SUM(AA18,AA21,AA47,AA62,AA63,AA69,AA84,AA90,AA99,AA101,AA111,AA95,AA58)</f>
        <v>0</v>
      </c>
      <c r="AB130" s="20">
        <f>SUM(AB18,AB21,AB47,AB62,AB63,AB69,AB84,AB90,AB99,AB101,AB111,AB95,AB58)</f>
        <v>0</v>
      </c>
      <c r="AC130" s="8"/>
      <c r="AD130" s="38"/>
    </row>
    <row r="131" spans="1:30" s="42" customFormat="1" ht="14">
      <c r="A131" s="26" t="s">
        <v>200</v>
      </c>
      <c r="B131" s="20">
        <f>B112+B113+B109+B106+B105+B104+B102+B100+B96+B89+B81+B77+B78+B71+B72+B73+B67+B68+B65+B55+B56+B57+B52+B50+B49+B45+B43+B41+B39+B36+B31+B24+B23+B20+B16+B14+B11+B10+B9+B8+B5+B3+B2+B93+B70</f>
        <v>362.9091958000007</v>
      </c>
      <c r="C131" s="20">
        <f t="shared" ref="C131:D131" si="10">C112+C113+C109+C106+C105+C104+C102+C100+C96+C89+C81+C77+C78+C71+C72+C73+C67+C68+C65+C55+C56+C57+C52+C50+C49+C45+C43+C41+C39+C36+C31+C24+C23+C20+C16+C14+C11+C10+C9+C8+C5+C3+C2+C93+C13+C70</f>
        <v>0</v>
      </c>
      <c r="D131" s="20">
        <f t="shared" si="10"/>
        <v>0</v>
      </c>
      <c r="E131" s="8"/>
      <c r="F131" s="38"/>
      <c r="G131" s="26" t="s">
        <v>200</v>
      </c>
      <c r="H131" s="20">
        <f>H112+H113+H109+H106+H105+H104+H102+H100+H96+H89+H81+H77+H78+H71+H72+H73+H67+H68+H65+H55+H56+H57+H52+H50+H49+H45+H43+H41+H39+H36+H31+H24+H23+H20+H16+H14+H11+H10+H9+H8+H5+H3+H2+H93+H70</f>
        <v>250.45681599999989</v>
      </c>
      <c r="I131" s="20">
        <f t="shared" ref="I131:J131" si="11">I112+I113+I109+I106+I105+I104+I102+I100+I96+I89+I81+I77+I78+I71+I72+I73+I67+I68+I65+I55+I56+I57+I52+I50+I49+I45+I43+I41+I39+I36+I31+I24+I23+I20+I16+I14+I11+I10+I9+I8+I5+I3+I2+I93+I13+I70</f>
        <v>0</v>
      </c>
      <c r="J131" s="20">
        <f t="shared" si="11"/>
        <v>0</v>
      </c>
      <c r="K131" s="8"/>
      <c r="L131" s="38"/>
      <c r="M131" s="26" t="s">
        <v>200</v>
      </c>
      <c r="N131" s="20">
        <f>N112+N113+N109+N106+N105+N104+N102+N100+N96+N89+N81+N77+N78+N71+N72+N73+N67+N68+N65+N55+N56+N57+N52+N50+N49+N45+N43+N41+N39+N36+N31+N24+N23+N20+N16+N14+N11+N10+N9+N8+N5+N3+N2+N93+N70</f>
        <v>0</v>
      </c>
      <c r="O131" s="20">
        <f t="shared" ref="O131:P131" si="12">O112+O113+O109+O106+O105+O104+O102+O100+O96+O89+O81+O77+O78+O71+O72+O73+O67+O68+O65+O55+O56+O57+O52+O50+O49+O45+O43+O41+O39+O36+O31+O24+O23+O20+O16+O14+O11+O10+O9+O8+O5+O3+O2+O93+O13+O70</f>
        <v>0</v>
      </c>
      <c r="P131" s="20">
        <f t="shared" si="12"/>
        <v>0</v>
      </c>
      <c r="Q131" s="8"/>
      <c r="R131" s="38"/>
      <c r="S131" s="26" t="s">
        <v>200</v>
      </c>
      <c r="T131" s="20">
        <f>T112+T113+T109+T106+T105+T104+T102+T100+T96+T89+T81+T77+T78+T71+T72+T73+T67+T68+T65+T55+T56+T57+T52+T50+T49+T45+T43+T41+T39+T36+T31+T24+T23+T20+T16+T14+T11+T10+T9+T8+T5+T3+T2+T93+T70</f>
        <v>0</v>
      </c>
      <c r="U131" s="20">
        <f t="shared" ref="U131:V131" si="13">U112+U113+U109+U106+U105+U104+U102+U100+U96+U89+U81+U77+U78+U71+U72+U73+U67+U68+U65+U55+U56+U57+U52+U50+U49+U45+U43+U41+U39+U36+U31+U24+U23+U20+U16+U14+U11+U10+U9+U8+U5+U3+U2+U93+U13+U70</f>
        <v>0</v>
      </c>
      <c r="V131" s="20">
        <f t="shared" si="13"/>
        <v>0</v>
      </c>
      <c r="W131" s="8"/>
      <c r="X131" s="38"/>
      <c r="Y131" s="26" t="s">
        <v>200</v>
      </c>
      <c r="Z131" s="20">
        <f>Z112+Z113+Z109+Z106+Z105+Z104+Z102+Z100+Z96+Z89+Z81+Z77+Z78+Z71+Z72+Z73+Z67+Z68+Z65+Z55+Z56+Z57+Z52+Z50+Z49+Z45+Z43+Z41+Z39+Z36+Z31+Z24+Z23+Z20+Z16+Z14+Z11+Z10+Z9+Z8+Z5+Z3+Z2+Z93+Z70</f>
        <v>0</v>
      </c>
      <c r="AA131" s="20">
        <f t="shared" ref="AA131:AB131" si="14">AA112+AA113+AA109+AA106+AA105+AA104+AA102+AA100+AA96+AA89+AA81+AA77+AA78+AA71+AA72+AA73+AA67+AA68+AA65+AA55+AA56+AA57+AA52+AA50+AA49+AA45+AA43+AA41+AA39+AA36+AA31+AA24+AA23+AA20+AA16+AA14+AA11+AA10+AA9+AA8+AA5+AA3+AA2+AA93+AA13+AA70</f>
        <v>0</v>
      </c>
      <c r="AB131" s="20">
        <f t="shared" si="14"/>
        <v>0</v>
      </c>
      <c r="AC131" s="8"/>
      <c r="AD131" s="38"/>
    </row>
    <row r="132" spans="1:30" s="42" customFormat="1" ht="14">
      <c r="A132" s="26" t="s">
        <v>180</v>
      </c>
      <c r="B132" s="20">
        <f>B88</f>
        <v>153.45859199999995</v>
      </c>
      <c r="C132" s="20">
        <f t="shared" ref="C132:D132" si="15">C88</f>
        <v>0</v>
      </c>
      <c r="D132" s="20">
        <f t="shared" si="15"/>
        <v>0</v>
      </c>
      <c r="E132" s="8"/>
      <c r="F132" s="38"/>
      <c r="G132" s="26" t="s">
        <v>180</v>
      </c>
      <c r="H132" s="20">
        <f t="shared" ref="H132:J132" si="16">H88</f>
        <v>138.57765599999999</v>
      </c>
      <c r="I132" s="20">
        <f t="shared" si="16"/>
        <v>0</v>
      </c>
      <c r="J132" s="20">
        <f t="shared" si="16"/>
        <v>0</v>
      </c>
      <c r="K132" s="8"/>
      <c r="L132" s="38"/>
      <c r="M132" s="26" t="s">
        <v>180</v>
      </c>
      <c r="N132" s="20">
        <f t="shared" ref="N132:P132" si="17">N88</f>
        <v>0</v>
      </c>
      <c r="O132" s="20">
        <f t="shared" si="17"/>
        <v>0</v>
      </c>
      <c r="P132" s="20">
        <f t="shared" si="17"/>
        <v>0</v>
      </c>
      <c r="Q132" s="8"/>
      <c r="R132" s="38"/>
      <c r="S132" s="26" t="s">
        <v>180</v>
      </c>
      <c r="T132" s="20">
        <f t="shared" ref="T132:V132" si="18">T88</f>
        <v>0</v>
      </c>
      <c r="U132" s="20">
        <f t="shared" si="18"/>
        <v>0</v>
      </c>
      <c r="V132" s="20">
        <f t="shared" si="18"/>
        <v>0</v>
      </c>
      <c r="W132" s="8"/>
      <c r="X132" s="38"/>
      <c r="Y132" s="26" t="s">
        <v>180</v>
      </c>
      <c r="Z132" s="20">
        <f t="shared" ref="Z132:AB132" si="19">Z88</f>
        <v>0</v>
      </c>
      <c r="AA132" s="20">
        <f t="shared" si="19"/>
        <v>0</v>
      </c>
      <c r="AB132" s="20">
        <f t="shared" si="19"/>
        <v>0</v>
      </c>
      <c r="AC132" s="8"/>
      <c r="AD132" s="38"/>
    </row>
    <row r="133" spans="1:30" s="42" customFormat="1" ht="14">
      <c r="A133" s="26" t="s">
        <v>190</v>
      </c>
      <c r="B133" s="20">
        <f>B103</f>
        <v>45.558325499999938</v>
      </c>
      <c r="C133" s="20">
        <f t="shared" ref="C133:D133" si="20">C103</f>
        <v>0</v>
      </c>
      <c r="D133" s="20">
        <f t="shared" si="20"/>
        <v>0</v>
      </c>
      <c r="E133" s="8"/>
      <c r="F133" s="38"/>
      <c r="G133" s="26" t="s">
        <v>190</v>
      </c>
      <c r="H133" s="20">
        <f t="shared" ref="H133:J133" si="21">H103</f>
        <v>39.457962499999972</v>
      </c>
      <c r="I133" s="20">
        <f t="shared" si="21"/>
        <v>0</v>
      </c>
      <c r="J133" s="20">
        <f t="shared" si="21"/>
        <v>0</v>
      </c>
      <c r="K133" s="8"/>
      <c r="L133" s="38"/>
      <c r="M133" s="26" t="s">
        <v>190</v>
      </c>
      <c r="N133" s="20">
        <f t="shared" ref="N133:P133" si="22">N103</f>
        <v>0</v>
      </c>
      <c r="O133" s="20">
        <f t="shared" si="22"/>
        <v>0</v>
      </c>
      <c r="P133" s="20">
        <f t="shared" si="22"/>
        <v>0</v>
      </c>
      <c r="Q133" s="8"/>
      <c r="R133" s="38"/>
      <c r="S133" s="26" t="s">
        <v>190</v>
      </c>
      <c r="T133" s="20">
        <f t="shared" ref="T133:V133" si="23">T103</f>
        <v>0</v>
      </c>
      <c r="U133" s="20">
        <f t="shared" si="23"/>
        <v>0</v>
      </c>
      <c r="V133" s="20">
        <f t="shared" si="23"/>
        <v>0</v>
      </c>
      <c r="W133" s="8"/>
      <c r="X133" s="38"/>
      <c r="Y133" s="26" t="s">
        <v>190</v>
      </c>
      <c r="Z133" s="20">
        <f t="shared" ref="Z133:AB133" si="24">Z103</f>
        <v>0</v>
      </c>
      <c r="AA133" s="20">
        <f t="shared" si="24"/>
        <v>0</v>
      </c>
      <c r="AB133" s="20">
        <f t="shared" si="24"/>
        <v>0</v>
      </c>
      <c r="AC133" s="8"/>
      <c r="AD133" s="38"/>
    </row>
    <row r="134" spans="1:30" s="42" customFormat="1" ht="14">
      <c r="A134" s="16" t="s">
        <v>26</v>
      </c>
      <c r="B134" s="87">
        <f>SUM(B127:B131)</f>
        <v>5553.6484270999408</v>
      </c>
      <c r="C134" s="87">
        <f>SUM(C127:C131)</f>
        <v>0</v>
      </c>
      <c r="D134" s="87">
        <f>SUM(D127:D131)</f>
        <v>0</v>
      </c>
      <c r="E134" s="18">
        <f>IF(C134 &gt; 0, C134/B134, 0)</f>
        <v>0</v>
      </c>
      <c r="F134" s="38"/>
      <c r="G134" s="16" t="s">
        <v>26</v>
      </c>
      <c r="H134" s="87">
        <f>SUM(H127:H131)</f>
        <v>5037.6178092999535</v>
      </c>
      <c r="I134" s="87">
        <f>SUM(I127:I131)</f>
        <v>0</v>
      </c>
      <c r="J134" s="87">
        <f>SUM(J127:J131)</f>
        <v>0</v>
      </c>
      <c r="K134" s="18">
        <f>IF(I134 &gt; 0, I134/H134, 0)</f>
        <v>0</v>
      </c>
      <c r="L134" s="38"/>
      <c r="M134" s="16" t="s">
        <v>26</v>
      </c>
      <c r="N134" s="87">
        <f>SUM(N127:N131)</f>
        <v>0</v>
      </c>
      <c r="O134" s="87">
        <f>SUM(O127:O131)</f>
        <v>0</v>
      </c>
      <c r="P134" s="87">
        <f>SUM(P127:P131)</f>
        <v>0</v>
      </c>
      <c r="Q134" s="18">
        <f>IF(O134 &gt; 0, O134/N134, 0)</f>
        <v>0</v>
      </c>
      <c r="R134" s="38"/>
      <c r="S134" s="16" t="s">
        <v>26</v>
      </c>
      <c r="T134" s="87">
        <f>SUM(T127:T131)</f>
        <v>0</v>
      </c>
      <c r="U134" s="87">
        <f>SUM(U127:U131)</f>
        <v>0</v>
      </c>
      <c r="V134" s="87">
        <f>SUM(V127:V131)</f>
        <v>0</v>
      </c>
      <c r="W134" s="18">
        <f>IF(U134 &gt; 0, U134/T134, 0)</f>
        <v>0</v>
      </c>
      <c r="X134" s="38"/>
      <c r="Y134" s="16" t="s">
        <v>26</v>
      </c>
      <c r="Z134" s="87">
        <f>SUM(Z127:Z131)</f>
        <v>0</v>
      </c>
      <c r="AA134" s="87">
        <f>SUM(AA127:AA131)</f>
        <v>0</v>
      </c>
      <c r="AB134" s="87">
        <f>SUM(AB127:AB131)</f>
        <v>0</v>
      </c>
      <c r="AC134" s="18">
        <f>IF(AA134 &gt; 0, AA134/Z134, 0)</f>
        <v>0</v>
      </c>
      <c r="AD134" s="38"/>
    </row>
    <row r="135" spans="1:30" s="42" customFormat="1" ht="14">
      <c r="A135" s="8"/>
      <c r="B135" s="8"/>
      <c r="C135" s="8"/>
      <c r="D135" s="8"/>
      <c r="E135" s="8" t="str">
        <f>IF(C135 &gt; 0, C135/B135, "")</f>
        <v/>
      </c>
      <c r="F135" s="38"/>
      <c r="G135" s="8"/>
      <c r="H135" s="8"/>
      <c r="I135" s="8"/>
      <c r="J135" s="8"/>
      <c r="K135" s="8" t="str">
        <f>IF(I135 &gt; 0, I135/H135, "")</f>
        <v/>
      </c>
      <c r="L135" s="38"/>
      <c r="M135" s="8"/>
      <c r="N135" s="8"/>
      <c r="O135" s="8"/>
      <c r="P135" s="8"/>
      <c r="Q135" s="8" t="str">
        <f>IF(O135 &gt; 0, O135/N135, "")</f>
        <v/>
      </c>
      <c r="R135" s="38"/>
      <c r="S135" s="8"/>
      <c r="T135" s="8"/>
      <c r="U135" s="8"/>
      <c r="V135" s="8"/>
      <c r="W135" s="8" t="str">
        <f>IF(U135 &gt; 0, U135/T135, "")</f>
        <v/>
      </c>
      <c r="X135" s="38"/>
      <c r="Y135" s="8"/>
      <c r="Z135" s="8"/>
      <c r="AA135" s="8"/>
      <c r="AB135" s="8"/>
      <c r="AC135" s="8" t="str">
        <f>IF(AA135 &gt; 0, AA135/Z135, "")</f>
        <v/>
      </c>
      <c r="AD135" s="38"/>
    </row>
    <row r="136" spans="1:30" s="42" customFormat="1" ht="14">
      <c r="A136" s="21" t="s">
        <v>27</v>
      </c>
      <c r="B136" s="90">
        <f>B116+B125+B134</f>
        <v>37707.320192602434</v>
      </c>
      <c r="C136" s="90">
        <f>C116+C125+C134</f>
        <v>0</v>
      </c>
      <c r="D136" s="90">
        <f>D116+D125+D134</f>
        <v>0</v>
      </c>
      <c r="E136" s="23">
        <f>IF(C136 &gt; 0, C136/B136, 0)</f>
        <v>0</v>
      </c>
      <c r="F136" s="38"/>
      <c r="G136" s="21" t="s">
        <v>28</v>
      </c>
      <c r="H136" s="90">
        <f>H116+H125+H134</f>
        <v>36158.527575202468</v>
      </c>
      <c r="I136" s="90">
        <f>I116+I125+I134</f>
        <v>0</v>
      </c>
      <c r="J136" s="90">
        <f>J116+J125+J134</f>
        <v>0</v>
      </c>
      <c r="K136" s="23">
        <f>IF(I136 &gt; 0, I136/H136, 0)</f>
        <v>0</v>
      </c>
      <c r="L136" s="38"/>
      <c r="M136" s="21" t="s">
        <v>29</v>
      </c>
      <c r="N136" s="90">
        <f>N116+N125+N134</f>
        <v>0</v>
      </c>
      <c r="O136" s="90">
        <f>O116+O125+O134</f>
        <v>0</v>
      </c>
      <c r="P136" s="90">
        <f>P116+P125+P134</f>
        <v>0</v>
      </c>
      <c r="Q136" s="24">
        <f>IF(O136 &gt; 0, O136/N136, 0)</f>
        <v>0</v>
      </c>
      <c r="R136" s="38"/>
      <c r="S136" s="21" t="s">
        <v>30</v>
      </c>
      <c r="T136" s="90">
        <f>T116+T125+T134</f>
        <v>0</v>
      </c>
      <c r="U136" s="90">
        <f>U116+U125+U134</f>
        <v>0</v>
      </c>
      <c r="V136" s="90">
        <f>V116+V125+V134</f>
        <v>0</v>
      </c>
      <c r="W136" s="23">
        <f>IF(U136 &gt; 0, U136/T136, 0)</f>
        <v>0</v>
      </c>
      <c r="X136" s="38"/>
      <c r="Y136" s="21" t="s">
        <v>31</v>
      </c>
      <c r="Z136" s="90">
        <f>Z116+Z125+Z134</f>
        <v>0</v>
      </c>
      <c r="AA136" s="90">
        <f>AA116+AA125+AA134</f>
        <v>0</v>
      </c>
      <c r="AB136" s="90">
        <f>AB116+AB125+AB134</f>
        <v>0</v>
      </c>
      <c r="AC136" s="23">
        <f>IF(AA136 &gt; 0, AA136/Z136, 0)</f>
        <v>0</v>
      </c>
      <c r="AD136" s="38"/>
    </row>
    <row r="138" spans="1:30" ht="14">
      <c r="A138" s="82" t="s">
        <v>124</v>
      </c>
      <c r="B138">
        <f>B2</f>
        <v>0</v>
      </c>
      <c r="G138" s="82" t="s">
        <v>124</v>
      </c>
      <c r="H138">
        <f>H2</f>
        <v>0</v>
      </c>
      <c r="M138" s="82" t="s">
        <v>124</v>
      </c>
      <c r="N138">
        <f>N2</f>
        <v>0</v>
      </c>
      <c r="S138" s="82" t="s">
        <v>124</v>
      </c>
      <c r="T138">
        <f>T2</f>
        <v>0</v>
      </c>
      <c r="Y138" s="82" t="s">
        <v>124</v>
      </c>
      <c r="Z138">
        <f>Z2</f>
        <v>0</v>
      </c>
    </row>
    <row r="139" spans="1:30" ht="14">
      <c r="A139" s="56" t="s">
        <v>125</v>
      </c>
      <c r="B139">
        <f t="shared" ref="B139:B202" si="25">B3</f>
        <v>0</v>
      </c>
      <c r="G139" s="56" t="s">
        <v>125</v>
      </c>
      <c r="H139">
        <f t="shared" ref="H139:H202" si="26">H3</f>
        <v>0</v>
      </c>
      <c r="M139" s="56" t="s">
        <v>125</v>
      </c>
      <c r="N139">
        <f t="shared" ref="N139:N202" si="27">N3</f>
        <v>0</v>
      </c>
      <c r="S139" s="56" t="s">
        <v>125</v>
      </c>
      <c r="T139">
        <f t="shared" ref="T139:T202" si="28">T3</f>
        <v>0</v>
      </c>
      <c r="Y139" s="56" t="s">
        <v>125</v>
      </c>
      <c r="Z139">
        <f t="shared" ref="Z139:Z202" si="29">Z3</f>
        <v>0</v>
      </c>
    </row>
    <row r="140" spans="1:30" ht="14">
      <c r="A140" s="56" t="s">
        <v>126</v>
      </c>
      <c r="B140">
        <f t="shared" si="25"/>
        <v>25.619999999999987</v>
      </c>
      <c r="G140" s="56" t="s">
        <v>126</v>
      </c>
      <c r="H140">
        <f t="shared" si="26"/>
        <v>14.029999999999994</v>
      </c>
      <c r="M140" s="56" t="s">
        <v>126</v>
      </c>
      <c r="N140">
        <f t="shared" si="27"/>
        <v>0</v>
      </c>
      <c r="S140" s="56" t="s">
        <v>126</v>
      </c>
      <c r="T140">
        <f t="shared" si="28"/>
        <v>0</v>
      </c>
      <c r="Y140" s="56" t="s">
        <v>126</v>
      </c>
      <c r="Z140">
        <f t="shared" si="29"/>
        <v>0</v>
      </c>
    </row>
    <row r="141" spans="1:30" ht="14">
      <c r="A141" s="56" t="s">
        <v>127</v>
      </c>
      <c r="B141">
        <f t="shared" si="25"/>
        <v>0</v>
      </c>
      <c r="G141" s="56" t="s">
        <v>127</v>
      </c>
      <c r="H141">
        <f t="shared" si="26"/>
        <v>0</v>
      </c>
      <c r="M141" s="56" t="s">
        <v>127</v>
      </c>
      <c r="N141">
        <f t="shared" si="27"/>
        <v>0</v>
      </c>
      <c r="S141" s="56" t="s">
        <v>127</v>
      </c>
      <c r="T141">
        <f t="shared" si="28"/>
        <v>0</v>
      </c>
      <c r="Y141" s="56" t="s">
        <v>127</v>
      </c>
      <c r="Z141">
        <f t="shared" si="29"/>
        <v>0</v>
      </c>
    </row>
    <row r="142" spans="1:30" ht="14">
      <c r="A142" s="56" t="s">
        <v>33</v>
      </c>
      <c r="B142">
        <f t="shared" si="25"/>
        <v>3500.8323507999403</v>
      </c>
      <c r="G142" s="56" t="s">
        <v>33</v>
      </c>
      <c r="H142">
        <f t="shared" si="26"/>
        <v>2858.3948305999525</v>
      </c>
      <c r="M142" s="56" t="s">
        <v>33</v>
      </c>
      <c r="N142">
        <f t="shared" si="27"/>
        <v>0</v>
      </c>
      <c r="S142" s="56" t="s">
        <v>33</v>
      </c>
      <c r="T142">
        <f t="shared" si="28"/>
        <v>0</v>
      </c>
      <c r="Y142" s="56" t="s">
        <v>33</v>
      </c>
      <c r="Z142">
        <f t="shared" si="29"/>
        <v>0</v>
      </c>
    </row>
    <row r="143" spans="1:30" ht="14">
      <c r="A143" s="56" t="s">
        <v>34</v>
      </c>
      <c r="B143">
        <f t="shared" si="25"/>
        <v>90.917268000000007</v>
      </c>
      <c r="G143" s="56" t="s">
        <v>34</v>
      </c>
      <c r="H143">
        <f t="shared" si="26"/>
        <v>70.610943000000034</v>
      </c>
      <c r="M143" s="56" t="s">
        <v>34</v>
      </c>
      <c r="N143">
        <f t="shared" si="27"/>
        <v>0</v>
      </c>
      <c r="S143" s="56" t="s">
        <v>34</v>
      </c>
      <c r="T143">
        <f t="shared" si="28"/>
        <v>0</v>
      </c>
      <c r="Y143" s="56" t="s">
        <v>34</v>
      </c>
      <c r="Z143">
        <f t="shared" si="29"/>
        <v>0</v>
      </c>
    </row>
    <row r="144" spans="1:30" ht="14">
      <c r="A144" s="56" t="s">
        <v>128</v>
      </c>
      <c r="B144">
        <f t="shared" si="25"/>
        <v>0.6</v>
      </c>
      <c r="G144" s="56" t="s">
        <v>128</v>
      </c>
      <c r="H144">
        <f t="shared" si="26"/>
        <v>0.6</v>
      </c>
      <c r="M144" s="56" t="s">
        <v>128</v>
      </c>
      <c r="N144">
        <f t="shared" si="27"/>
        <v>0</v>
      </c>
      <c r="S144" s="56" t="s">
        <v>128</v>
      </c>
      <c r="T144">
        <f t="shared" si="28"/>
        <v>0</v>
      </c>
      <c r="Y144" s="56" t="s">
        <v>128</v>
      </c>
      <c r="Z144">
        <f t="shared" si="29"/>
        <v>0</v>
      </c>
    </row>
    <row r="145" spans="1:26" ht="14">
      <c r="A145" s="56" t="s">
        <v>129</v>
      </c>
      <c r="B145">
        <f t="shared" si="25"/>
        <v>0</v>
      </c>
      <c r="G145" s="56" t="s">
        <v>129</v>
      </c>
      <c r="H145">
        <f t="shared" si="26"/>
        <v>0.61</v>
      </c>
      <c r="M145" s="56" t="s">
        <v>129</v>
      </c>
      <c r="N145">
        <f t="shared" si="27"/>
        <v>0</v>
      </c>
      <c r="S145" s="56" t="s">
        <v>129</v>
      </c>
      <c r="T145">
        <f t="shared" si="28"/>
        <v>0</v>
      </c>
      <c r="Y145" s="56" t="s">
        <v>129</v>
      </c>
      <c r="Z145">
        <f t="shared" si="29"/>
        <v>0</v>
      </c>
    </row>
    <row r="146" spans="1:26" ht="14">
      <c r="A146" s="56" t="s">
        <v>130</v>
      </c>
      <c r="B146">
        <f t="shared" si="25"/>
        <v>0</v>
      </c>
      <c r="G146" s="56" t="s">
        <v>130</v>
      </c>
      <c r="H146">
        <f t="shared" si="26"/>
        <v>0.61</v>
      </c>
      <c r="M146" s="56" t="s">
        <v>130</v>
      </c>
      <c r="N146">
        <f t="shared" si="27"/>
        <v>0</v>
      </c>
      <c r="S146" s="56" t="s">
        <v>130</v>
      </c>
      <c r="T146">
        <f t="shared" si="28"/>
        <v>0</v>
      </c>
      <c r="Y146" s="56" t="s">
        <v>130</v>
      </c>
      <c r="Z146">
        <f t="shared" si="29"/>
        <v>0</v>
      </c>
    </row>
    <row r="147" spans="1:26" ht="14">
      <c r="A147" s="56" t="s">
        <v>131</v>
      </c>
      <c r="B147">
        <f t="shared" si="25"/>
        <v>0</v>
      </c>
      <c r="G147" s="56" t="s">
        <v>131</v>
      </c>
      <c r="H147">
        <f t="shared" si="26"/>
        <v>0</v>
      </c>
      <c r="M147" s="56" t="s">
        <v>131</v>
      </c>
      <c r="N147">
        <f t="shared" si="27"/>
        <v>0</v>
      </c>
      <c r="S147" s="56" t="s">
        <v>131</v>
      </c>
      <c r="T147">
        <f t="shared" si="28"/>
        <v>0</v>
      </c>
      <c r="Y147" s="56" t="s">
        <v>131</v>
      </c>
      <c r="Z147">
        <f t="shared" si="29"/>
        <v>0</v>
      </c>
    </row>
    <row r="148" spans="1:26" ht="14">
      <c r="A148" s="56" t="s">
        <v>35</v>
      </c>
      <c r="B148">
        <f t="shared" si="25"/>
        <v>210.19455599999978</v>
      </c>
      <c r="G148" s="56" t="s">
        <v>35</v>
      </c>
      <c r="H148">
        <f t="shared" si="26"/>
        <v>305.39336100000031</v>
      </c>
      <c r="M148" s="56" t="s">
        <v>35</v>
      </c>
      <c r="N148">
        <f t="shared" si="27"/>
        <v>0</v>
      </c>
      <c r="S148" s="56" t="s">
        <v>35</v>
      </c>
      <c r="T148">
        <f t="shared" si="28"/>
        <v>0</v>
      </c>
      <c r="Y148" s="56" t="s">
        <v>35</v>
      </c>
      <c r="Z148">
        <f t="shared" si="29"/>
        <v>0</v>
      </c>
    </row>
    <row r="149" spans="1:26" ht="14">
      <c r="A149" s="56" t="s">
        <v>132</v>
      </c>
      <c r="B149">
        <f t="shared" si="25"/>
        <v>0</v>
      </c>
      <c r="G149" s="56" t="s">
        <v>132</v>
      </c>
      <c r="H149">
        <f t="shared" si="26"/>
        <v>0</v>
      </c>
      <c r="M149" s="56" t="s">
        <v>132</v>
      </c>
      <c r="N149">
        <f t="shared" si="27"/>
        <v>0</v>
      </c>
      <c r="S149" s="56" t="s">
        <v>132</v>
      </c>
      <c r="T149">
        <f t="shared" si="28"/>
        <v>0</v>
      </c>
      <c r="Y149" s="56" t="s">
        <v>132</v>
      </c>
      <c r="Z149">
        <f t="shared" si="29"/>
        <v>0</v>
      </c>
    </row>
    <row r="150" spans="1:26" ht="14">
      <c r="A150" s="56" t="s">
        <v>133</v>
      </c>
      <c r="B150">
        <f t="shared" si="25"/>
        <v>0.61</v>
      </c>
      <c r="G150" s="56" t="s">
        <v>133</v>
      </c>
      <c r="H150">
        <f t="shared" si="26"/>
        <v>0.61</v>
      </c>
      <c r="M150" s="56" t="s">
        <v>133</v>
      </c>
      <c r="N150">
        <f t="shared" si="27"/>
        <v>0</v>
      </c>
      <c r="S150" s="56" t="s">
        <v>133</v>
      </c>
      <c r="T150">
        <f t="shared" si="28"/>
        <v>0</v>
      </c>
      <c r="Y150" s="56" t="s">
        <v>133</v>
      </c>
      <c r="Z150">
        <f t="shared" si="29"/>
        <v>0</v>
      </c>
    </row>
    <row r="151" spans="1:26" ht="14">
      <c r="A151" s="56" t="s">
        <v>134</v>
      </c>
      <c r="B151">
        <f t="shared" si="25"/>
        <v>8.5400000000000009</v>
      </c>
      <c r="G151" s="56" t="s">
        <v>134</v>
      </c>
      <c r="H151">
        <f t="shared" si="26"/>
        <v>0</v>
      </c>
      <c r="M151" s="56" t="s">
        <v>134</v>
      </c>
      <c r="N151">
        <f t="shared" si="27"/>
        <v>0</v>
      </c>
      <c r="S151" s="56" t="s">
        <v>134</v>
      </c>
      <c r="T151">
        <f t="shared" si="28"/>
        <v>0</v>
      </c>
      <c r="Y151" s="56" t="s">
        <v>134</v>
      </c>
      <c r="Z151">
        <f t="shared" si="29"/>
        <v>0</v>
      </c>
    </row>
    <row r="152" spans="1:26" ht="14">
      <c r="A152" s="56" t="s">
        <v>135</v>
      </c>
      <c r="B152">
        <f t="shared" si="25"/>
        <v>1.83</v>
      </c>
      <c r="G152" s="56" t="s">
        <v>135</v>
      </c>
      <c r="H152">
        <f t="shared" si="26"/>
        <v>0</v>
      </c>
      <c r="M152" s="56" t="s">
        <v>135</v>
      </c>
      <c r="N152">
        <f t="shared" si="27"/>
        <v>0</v>
      </c>
      <c r="S152" s="56" t="s">
        <v>135</v>
      </c>
      <c r="T152">
        <f t="shared" si="28"/>
        <v>0</v>
      </c>
      <c r="Y152" s="56" t="s">
        <v>135</v>
      </c>
      <c r="Z152">
        <f t="shared" si="29"/>
        <v>0</v>
      </c>
    </row>
    <row r="153" spans="1:26" ht="14">
      <c r="A153" s="56" t="s">
        <v>136</v>
      </c>
      <c r="B153">
        <f t="shared" si="25"/>
        <v>164.62000000000015</v>
      </c>
      <c r="G153" s="56" t="s">
        <v>136</v>
      </c>
      <c r="H153">
        <f t="shared" si="26"/>
        <v>97.79999999999994</v>
      </c>
      <c r="M153" s="56" t="s">
        <v>136</v>
      </c>
      <c r="N153">
        <f t="shared" si="27"/>
        <v>0</v>
      </c>
      <c r="S153" s="56" t="s">
        <v>136</v>
      </c>
      <c r="T153">
        <f t="shared" si="28"/>
        <v>0</v>
      </c>
      <c r="Y153" s="56" t="s">
        <v>136</v>
      </c>
      <c r="Z153">
        <f t="shared" si="29"/>
        <v>0</v>
      </c>
    </row>
    <row r="154" spans="1:26" ht="14">
      <c r="A154" s="56" t="s">
        <v>137</v>
      </c>
      <c r="B154">
        <f t="shared" si="25"/>
        <v>0</v>
      </c>
      <c r="G154" s="56" t="s">
        <v>137</v>
      </c>
      <c r="H154">
        <f t="shared" si="26"/>
        <v>1.24</v>
      </c>
      <c r="M154" s="56" t="s">
        <v>137</v>
      </c>
      <c r="N154">
        <f t="shared" si="27"/>
        <v>0</v>
      </c>
      <c r="S154" s="56" t="s">
        <v>137</v>
      </c>
      <c r="T154">
        <f t="shared" si="28"/>
        <v>0</v>
      </c>
      <c r="Y154" s="56" t="s">
        <v>137</v>
      </c>
      <c r="Z154">
        <f t="shared" si="29"/>
        <v>0</v>
      </c>
    </row>
    <row r="155" spans="1:26" ht="14">
      <c r="A155" s="56" t="s">
        <v>62</v>
      </c>
      <c r="B155">
        <f t="shared" si="25"/>
        <v>0</v>
      </c>
      <c r="G155" s="56" t="s">
        <v>62</v>
      </c>
      <c r="H155">
        <f t="shared" si="26"/>
        <v>11.302707000000002</v>
      </c>
      <c r="M155" s="56" t="s">
        <v>62</v>
      </c>
      <c r="N155">
        <f t="shared" si="27"/>
        <v>0</v>
      </c>
      <c r="S155" s="56" t="s">
        <v>62</v>
      </c>
      <c r="T155">
        <f t="shared" si="28"/>
        <v>0</v>
      </c>
      <c r="Y155" s="56" t="s">
        <v>62</v>
      </c>
      <c r="Z155">
        <f t="shared" si="29"/>
        <v>0</v>
      </c>
    </row>
    <row r="156" spans="1:26" ht="14">
      <c r="A156" s="56" t="s">
        <v>138</v>
      </c>
      <c r="B156">
        <f t="shared" si="25"/>
        <v>0</v>
      </c>
      <c r="G156" s="56" t="s">
        <v>138</v>
      </c>
      <c r="H156">
        <f t="shared" si="26"/>
        <v>0</v>
      </c>
      <c r="M156" s="56" t="s">
        <v>138</v>
      </c>
      <c r="N156">
        <f t="shared" si="27"/>
        <v>0</v>
      </c>
      <c r="S156" s="56" t="s">
        <v>138</v>
      </c>
      <c r="T156">
        <f t="shared" si="28"/>
        <v>0</v>
      </c>
      <c r="Y156" s="56" t="s">
        <v>138</v>
      </c>
      <c r="Z156">
        <f t="shared" si="29"/>
        <v>0</v>
      </c>
    </row>
    <row r="157" spans="1:26" ht="14">
      <c r="A157" s="56" t="s">
        <v>139</v>
      </c>
      <c r="B157">
        <f t="shared" si="25"/>
        <v>0</v>
      </c>
      <c r="G157" s="56" t="s">
        <v>139</v>
      </c>
      <c r="H157">
        <f t="shared" si="26"/>
        <v>0</v>
      </c>
      <c r="M157" s="56" t="s">
        <v>139</v>
      </c>
      <c r="N157">
        <f t="shared" si="27"/>
        <v>0</v>
      </c>
      <c r="S157" s="56" t="s">
        <v>139</v>
      </c>
      <c r="T157">
        <f t="shared" si="28"/>
        <v>0</v>
      </c>
      <c r="Y157" s="56" t="s">
        <v>139</v>
      </c>
      <c r="Z157">
        <f t="shared" si="29"/>
        <v>0</v>
      </c>
    </row>
    <row r="158" spans="1:26" ht="14">
      <c r="A158" s="56" t="s">
        <v>36</v>
      </c>
      <c r="B158">
        <f t="shared" si="25"/>
        <v>2446.3237184999907</v>
      </c>
      <c r="G158" s="56" t="s">
        <v>36</v>
      </c>
      <c r="H158">
        <f t="shared" si="26"/>
        <v>2287.6427718999998</v>
      </c>
      <c r="M158" s="56" t="s">
        <v>36</v>
      </c>
      <c r="N158">
        <f t="shared" si="27"/>
        <v>0</v>
      </c>
      <c r="S158" s="56" t="s">
        <v>36</v>
      </c>
      <c r="T158">
        <f t="shared" si="28"/>
        <v>0</v>
      </c>
      <c r="Y158" s="56" t="s">
        <v>36</v>
      </c>
      <c r="Z158">
        <f t="shared" si="29"/>
        <v>0</v>
      </c>
    </row>
    <row r="159" spans="1:26" ht="14">
      <c r="A159" s="56" t="s">
        <v>140</v>
      </c>
      <c r="B159">
        <f t="shared" si="25"/>
        <v>0</v>
      </c>
      <c r="G159" s="56" t="s">
        <v>140</v>
      </c>
      <c r="H159">
        <f t="shared" si="26"/>
        <v>0</v>
      </c>
      <c r="M159" s="56" t="s">
        <v>140</v>
      </c>
      <c r="N159">
        <f t="shared" si="27"/>
        <v>0</v>
      </c>
      <c r="S159" s="56" t="s">
        <v>140</v>
      </c>
      <c r="T159">
        <f t="shared" si="28"/>
        <v>0</v>
      </c>
      <c r="Y159" s="56" t="s">
        <v>140</v>
      </c>
      <c r="Z159">
        <f t="shared" si="29"/>
        <v>0</v>
      </c>
    </row>
    <row r="160" spans="1:26" ht="14">
      <c r="A160" s="56" t="s">
        <v>141</v>
      </c>
      <c r="B160">
        <f t="shared" si="25"/>
        <v>5.49</v>
      </c>
      <c r="G160" s="56" t="s">
        <v>141</v>
      </c>
      <c r="H160">
        <f t="shared" si="26"/>
        <v>0</v>
      </c>
      <c r="M160" s="56" t="s">
        <v>141</v>
      </c>
      <c r="N160">
        <f t="shared" si="27"/>
        <v>0</v>
      </c>
      <c r="S160" s="56" t="s">
        <v>141</v>
      </c>
      <c r="T160">
        <f t="shared" si="28"/>
        <v>0</v>
      </c>
      <c r="Y160" s="56" t="s">
        <v>141</v>
      </c>
      <c r="Z160">
        <f t="shared" si="29"/>
        <v>0</v>
      </c>
    </row>
    <row r="161" spans="1:26" ht="14">
      <c r="A161" s="56" t="s">
        <v>142</v>
      </c>
      <c r="B161">
        <f t="shared" si="25"/>
        <v>24.329999999999988</v>
      </c>
      <c r="G161" s="56" t="s">
        <v>142</v>
      </c>
      <c r="H161">
        <f t="shared" si="26"/>
        <v>33.389999999999979</v>
      </c>
      <c r="M161" s="56" t="s">
        <v>142</v>
      </c>
      <c r="N161">
        <f t="shared" si="27"/>
        <v>0</v>
      </c>
      <c r="S161" s="56" t="s">
        <v>142</v>
      </c>
      <c r="T161">
        <f t="shared" si="28"/>
        <v>0</v>
      </c>
      <c r="Y161" s="56" t="s">
        <v>142</v>
      </c>
      <c r="Z161">
        <f t="shared" si="29"/>
        <v>0</v>
      </c>
    </row>
    <row r="162" spans="1:26" ht="14">
      <c r="A162" s="56" t="s">
        <v>143</v>
      </c>
      <c r="B162">
        <f t="shared" si="25"/>
        <v>8.2000000000000011</v>
      </c>
      <c r="G162" s="56" t="s">
        <v>143</v>
      </c>
      <c r="H162">
        <f t="shared" si="26"/>
        <v>79.22999999999999</v>
      </c>
      <c r="M162" s="56" t="s">
        <v>143</v>
      </c>
      <c r="N162">
        <f t="shared" si="27"/>
        <v>0</v>
      </c>
      <c r="S162" s="56" t="s">
        <v>143</v>
      </c>
      <c r="T162">
        <f t="shared" si="28"/>
        <v>0</v>
      </c>
      <c r="Y162" s="56" t="s">
        <v>143</v>
      </c>
      <c r="Z162">
        <f t="shared" si="29"/>
        <v>0</v>
      </c>
    </row>
    <row r="163" spans="1:26" ht="14">
      <c r="A163" s="56" t="s">
        <v>144</v>
      </c>
      <c r="B163">
        <f t="shared" si="25"/>
        <v>5.49</v>
      </c>
      <c r="G163" s="56" t="s">
        <v>144</v>
      </c>
      <c r="H163">
        <f t="shared" si="26"/>
        <v>1.22</v>
      </c>
      <c r="M163" s="56" t="s">
        <v>144</v>
      </c>
      <c r="N163">
        <f t="shared" si="27"/>
        <v>0</v>
      </c>
      <c r="S163" s="56" t="s">
        <v>144</v>
      </c>
      <c r="T163">
        <f t="shared" si="28"/>
        <v>0</v>
      </c>
      <c r="Y163" s="56" t="s">
        <v>144</v>
      </c>
      <c r="Z163">
        <f t="shared" si="29"/>
        <v>0</v>
      </c>
    </row>
    <row r="164" spans="1:26" ht="14">
      <c r="A164" s="83" t="s">
        <v>61</v>
      </c>
      <c r="B164">
        <f t="shared" si="25"/>
        <v>0</v>
      </c>
      <c r="G164" s="83" t="s">
        <v>61</v>
      </c>
      <c r="H164">
        <f t="shared" si="26"/>
        <v>1.266564</v>
      </c>
      <c r="M164" s="83" t="s">
        <v>61</v>
      </c>
      <c r="N164">
        <f t="shared" si="27"/>
        <v>0</v>
      </c>
      <c r="S164" s="83" t="s">
        <v>61</v>
      </c>
      <c r="T164">
        <f t="shared" si="28"/>
        <v>0</v>
      </c>
      <c r="Y164" s="83" t="s">
        <v>61</v>
      </c>
      <c r="Z164">
        <f t="shared" si="29"/>
        <v>0</v>
      </c>
    </row>
    <row r="165" spans="1:26" ht="14">
      <c r="A165" s="56" t="s">
        <v>60</v>
      </c>
      <c r="B165">
        <f t="shared" si="25"/>
        <v>23.954580000000007</v>
      </c>
      <c r="G165" s="56" t="s">
        <v>60</v>
      </c>
      <c r="H165">
        <f t="shared" si="26"/>
        <v>8.4116370000000007</v>
      </c>
      <c r="M165" s="56" t="s">
        <v>60</v>
      </c>
      <c r="N165">
        <f t="shared" si="27"/>
        <v>0</v>
      </c>
      <c r="S165" s="56" t="s">
        <v>60</v>
      </c>
      <c r="T165">
        <f t="shared" si="28"/>
        <v>0</v>
      </c>
      <c r="Y165" s="56" t="s">
        <v>60</v>
      </c>
      <c r="Z165">
        <f t="shared" si="29"/>
        <v>0</v>
      </c>
    </row>
    <row r="166" spans="1:26" ht="14">
      <c r="A166" s="56" t="s">
        <v>37</v>
      </c>
      <c r="B166">
        <f t="shared" si="25"/>
        <v>107.50650299999997</v>
      </c>
      <c r="G166" s="56" t="s">
        <v>37</v>
      </c>
      <c r="H166">
        <f t="shared" si="26"/>
        <v>188.64920099999989</v>
      </c>
      <c r="M166" s="56" t="s">
        <v>37</v>
      </c>
      <c r="N166">
        <f t="shared" si="27"/>
        <v>0</v>
      </c>
      <c r="S166" s="56" t="s">
        <v>37</v>
      </c>
      <c r="T166">
        <f t="shared" si="28"/>
        <v>0</v>
      </c>
      <c r="Y166" s="56" t="s">
        <v>37</v>
      </c>
      <c r="Z166">
        <f t="shared" si="29"/>
        <v>0</v>
      </c>
    </row>
    <row r="167" spans="1:26" ht="14">
      <c r="A167" s="56" t="s">
        <v>145</v>
      </c>
      <c r="B167">
        <f t="shared" si="25"/>
        <v>0</v>
      </c>
      <c r="G167" s="56" t="s">
        <v>145</v>
      </c>
      <c r="H167">
        <f t="shared" si="26"/>
        <v>0</v>
      </c>
      <c r="M167" s="56" t="s">
        <v>145</v>
      </c>
      <c r="N167">
        <f t="shared" si="27"/>
        <v>0</v>
      </c>
      <c r="S167" s="56" t="s">
        <v>145</v>
      </c>
      <c r="T167">
        <f t="shared" si="28"/>
        <v>0</v>
      </c>
      <c r="Y167" s="56" t="s">
        <v>145</v>
      </c>
      <c r="Z167">
        <f t="shared" si="29"/>
        <v>0</v>
      </c>
    </row>
    <row r="168" spans="1:26" ht="14">
      <c r="A168" s="56" t="s">
        <v>146</v>
      </c>
      <c r="B168">
        <f t="shared" si="25"/>
        <v>0</v>
      </c>
      <c r="G168" s="56" t="s">
        <v>146</v>
      </c>
      <c r="H168">
        <f t="shared" si="26"/>
        <v>1.22</v>
      </c>
      <c r="M168" s="56" t="s">
        <v>146</v>
      </c>
      <c r="N168">
        <f t="shared" si="27"/>
        <v>0</v>
      </c>
      <c r="S168" s="56" t="s">
        <v>146</v>
      </c>
      <c r="T168">
        <f t="shared" si="28"/>
        <v>0</v>
      </c>
      <c r="Y168" s="56" t="s">
        <v>146</v>
      </c>
      <c r="Z168">
        <f t="shared" si="29"/>
        <v>0</v>
      </c>
    </row>
    <row r="169" spans="1:26" ht="14">
      <c r="A169" s="83" t="s">
        <v>147</v>
      </c>
      <c r="B169">
        <f t="shared" si="25"/>
        <v>2.98</v>
      </c>
      <c r="G169" s="83" t="s">
        <v>147</v>
      </c>
      <c r="H169">
        <f t="shared" si="26"/>
        <v>10.66</v>
      </c>
      <c r="M169" s="83" t="s">
        <v>147</v>
      </c>
      <c r="N169">
        <f t="shared" si="27"/>
        <v>0</v>
      </c>
      <c r="S169" s="83" t="s">
        <v>147</v>
      </c>
      <c r="T169">
        <f t="shared" si="28"/>
        <v>0</v>
      </c>
      <c r="Y169" s="83" t="s">
        <v>147</v>
      </c>
      <c r="Z169">
        <f t="shared" si="29"/>
        <v>0</v>
      </c>
    </row>
    <row r="170" spans="1:26" ht="14">
      <c r="A170" s="56" t="s">
        <v>148</v>
      </c>
      <c r="B170">
        <f t="shared" si="25"/>
        <v>0.61</v>
      </c>
      <c r="G170" s="56" t="s">
        <v>148</v>
      </c>
      <c r="H170">
        <f t="shared" si="26"/>
        <v>0</v>
      </c>
      <c r="M170" s="56" t="s">
        <v>148</v>
      </c>
      <c r="N170">
        <f t="shared" si="27"/>
        <v>0</v>
      </c>
      <c r="S170" s="56" t="s">
        <v>148</v>
      </c>
      <c r="T170">
        <f t="shared" si="28"/>
        <v>0</v>
      </c>
      <c r="Y170" s="56" t="s">
        <v>148</v>
      </c>
      <c r="Z170">
        <f t="shared" si="29"/>
        <v>0</v>
      </c>
    </row>
    <row r="171" spans="1:26" ht="14">
      <c r="A171" s="56" t="s">
        <v>59</v>
      </c>
      <c r="B171">
        <f t="shared" si="25"/>
        <v>19.301334000000001</v>
      </c>
      <c r="G171" s="56" t="s">
        <v>59</v>
      </c>
      <c r="H171">
        <f t="shared" si="26"/>
        <v>50.538656999999994</v>
      </c>
      <c r="M171" s="56" t="s">
        <v>59</v>
      </c>
      <c r="N171">
        <f t="shared" si="27"/>
        <v>0</v>
      </c>
      <c r="S171" s="56" t="s">
        <v>59</v>
      </c>
      <c r="T171">
        <f t="shared" si="28"/>
        <v>0</v>
      </c>
      <c r="Y171" s="56" t="s">
        <v>59</v>
      </c>
      <c r="Z171">
        <f t="shared" si="29"/>
        <v>0</v>
      </c>
    </row>
    <row r="172" spans="1:26" ht="14">
      <c r="A172" s="56" t="s">
        <v>149</v>
      </c>
      <c r="B172">
        <f t="shared" si="25"/>
        <v>0</v>
      </c>
      <c r="G172" s="56" t="s">
        <v>149</v>
      </c>
      <c r="H172">
        <f t="shared" si="26"/>
        <v>0</v>
      </c>
      <c r="M172" s="56" t="s">
        <v>149</v>
      </c>
      <c r="N172">
        <f t="shared" si="27"/>
        <v>0</v>
      </c>
      <c r="S172" s="56" t="s">
        <v>149</v>
      </c>
      <c r="T172">
        <f t="shared" si="28"/>
        <v>0</v>
      </c>
      <c r="Y172" s="56" t="s">
        <v>149</v>
      </c>
      <c r="Z172">
        <f t="shared" si="29"/>
        <v>0</v>
      </c>
    </row>
    <row r="173" spans="1:26" ht="14">
      <c r="A173" s="56" t="s">
        <v>38</v>
      </c>
      <c r="B173">
        <f t="shared" si="25"/>
        <v>56.623671000000016</v>
      </c>
      <c r="G173" s="56" t="s">
        <v>38</v>
      </c>
      <c r="H173">
        <f t="shared" si="26"/>
        <v>16.520400000000006</v>
      </c>
      <c r="M173" s="56" t="s">
        <v>38</v>
      </c>
      <c r="N173">
        <f t="shared" si="27"/>
        <v>0</v>
      </c>
      <c r="S173" s="56" t="s">
        <v>38</v>
      </c>
      <c r="T173">
        <f t="shared" si="28"/>
        <v>0</v>
      </c>
      <c r="Y173" s="56" t="s">
        <v>38</v>
      </c>
      <c r="Z173">
        <f t="shared" si="29"/>
        <v>0</v>
      </c>
    </row>
    <row r="174" spans="1:26" ht="14">
      <c r="A174" s="83" t="s">
        <v>39</v>
      </c>
      <c r="B174">
        <f t="shared" si="25"/>
        <v>630.18442499999583</v>
      </c>
      <c r="G174" s="83" t="s">
        <v>39</v>
      </c>
      <c r="H174">
        <f t="shared" si="26"/>
        <v>673.78451399999744</v>
      </c>
      <c r="M174" s="83" t="s">
        <v>39</v>
      </c>
      <c r="N174">
        <f t="shared" si="27"/>
        <v>0</v>
      </c>
      <c r="S174" s="83" t="s">
        <v>39</v>
      </c>
      <c r="T174">
        <f t="shared" si="28"/>
        <v>0</v>
      </c>
      <c r="Y174" s="83" t="s">
        <v>39</v>
      </c>
      <c r="Z174">
        <f t="shared" si="29"/>
        <v>0</v>
      </c>
    </row>
    <row r="175" spans="1:26" ht="14">
      <c r="A175" s="56" t="s">
        <v>150</v>
      </c>
      <c r="B175">
        <f t="shared" si="25"/>
        <v>0</v>
      </c>
      <c r="G175" s="56" t="s">
        <v>150</v>
      </c>
      <c r="H175">
        <f t="shared" si="26"/>
        <v>0</v>
      </c>
      <c r="M175" s="56" t="s">
        <v>150</v>
      </c>
      <c r="N175">
        <f t="shared" si="27"/>
        <v>0</v>
      </c>
      <c r="S175" s="56" t="s">
        <v>150</v>
      </c>
      <c r="T175">
        <f t="shared" si="28"/>
        <v>0</v>
      </c>
      <c r="Y175" s="56" t="s">
        <v>150</v>
      </c>
      <c r="Z175">
        <f t="shared" si="29"/>
        <v>0</v>
      </c>
    </row>
    <row r="176" spans="1:26" ht="14">
      <c r="A176" s="83" t="s">
        <v>40</v>
      </c>
      <c r="B176">
        <f t="shared" si="25"/>
        <v>1018.4138250000022</v>
      </c>
      <c r="G176" s="83" t="s">
        <v>40</v>
      </c>
      <c r="H176">
        <f t="shared" si="26"/>
        <v>1384.7123940000076</v>
      </c>
      <c r="M176" s="83" t="s">
        <v>40</v>
      </c>
      <c r="N176">
        <f t="shared" si="27"/>
        <v>0</v>
      </c>
      <c r="S176" s="83" t="s">
        <v>40</v>
      </c>
      <c r="T176">
        <f t="shared" si="28"/>
        <v>0</v>
      </c>
      <c r="Y176" s="83" t="s">
        <v>40</v>
      </c>
      <c r="Z176">
        <f t="shared" si="29"/>
        <v>0</v>
      </c>
    </row>
    <row r="177" spans="1:26" ht="14">
      <c r="A177" s="56" t="s">
        <v>151</v>
      </c>
      <c r="B177">
        <f t="shared" si="25"/>
        <v>0.79</v>
      </c>
      <c r="G177" s="56" t="s">
        <v>151</v>
      </c>
      <c r="H177">
        <f t="shared" si="26"/>
        <v>0</v>
      </c>
      <c r="M177" s="56" t="s">
        <v>151</v>
      </c>
      <c r="N177">
        <f t="shared" si="27"/>
        <v>0</v>
      </c>
      <c r="S177" s="56" t="s">
        <v>151</v>
      </c>
      <c r="T177">
        <f t="shared" si="28"/>
        <v>0</v>
      </c>
      <c r="Y177" s="56" t="s">
        <v>151</v>
      </c>
      <c r="Z177">
        <f t="shared" si="29"/>
        <v>0</v>
      </c>
    </row>
    <row r="178" spans="1:26" ht="14">
      <c r="A178" s="56" t="s">
        <v>41</v>
      </c>
      <c r="B178">
        <f t="shared" si="25"/>
        <v>22.385142000000009</v>
      </c>
      <c r="G178" s="56" t="s">
        <v>41</v>
      </c>
      <c r="H178">
        <f t="shared" si="26"/>
        <v>18.186207000000007</v>
      </c>
      <c r="M178" s="56" t="s">
        <v>41</v>
      </c>
      <c r="N178">
        <f t="shared" si="27"/>
        <v>0</v>
      </c>
      <c r="S178" s="56" t="s">
        <v>41</v>
      </c>
      <c r="T178">
        <f t="shared" si="28"/>
        <v>0</v>
      </c>
      <c r="Y178" s="56" t="s">
        <v>41</v>
      </c>
      <c r="Z178">
        <f t="shared" si="29"/>
        <v>0</v>
      </c>
    </row>
    <row r="179" spans="1:26" ht="14">
      <c r="A179" s="56" t="s">
        <v>152</v>
      </c>
      <c r="B179">
        <f t="shared" si="25"/>
        <v>0</v>
      </c>
      <c r="G179" s="56" t="s">
        <v>152</v>
      </c>
      <c r="H179">
        <f t="shared" si="26"/>
        <v>0</v>
      </c>
      <c r="M179" s="56" t="s">
        <v>152</v>
      </c>
      <c r="N179">
        <f t="shared" si="27"/>
        <v>0</v>
      </c>
      <c r="S179" s="56" t="s">
        <v>152</v>
      </c>
      <c r="T179">
        <f t="shared" si="28"/>
        <v>0</v>
      </c>
      <c r="Y179" s="56" t="s">
        <v>152</v>
      </c>
      <c r="Z179">
        <f t="shared" si="29"/>
        <v>0</v>
      </c>
    </row>
    <row r="180" spans="1:26" ht="14">
      <c r="A180" s="56" t="s">
        <v>153</v>
      </c>
      <c r="B180">
        <f t="shared" si="25"/>
        <v>0</v>
      </c>
      <c r="G180" s="56" t="s">
        <v>153</v>
      </c>
      <c r="H180">
        <f t="shared" si="26"/>
        <v>1.22</v>
      </c>
      <c r="M180" s="56" t="s">
        <v>153</v>
      </c>
      <c r="N180">
        <f t="shared" si="27"/>
        <v>0</v>
      </c>
      <c r="S180" s="56" t="s">
        <v>153</v>
      </c>
      <c r="T180">
        <f t="shared" si="28"/>
        <v>0</v>
      </c>
      <c r="Y180" s="56" t="s">
        <v>153</v>
      </c>
      <c r="Z180">
        <f t="shared" si="29"/>
        <v>0</v>
      </c>
    </row>
    <row r="181" spans="1:26" ht="14">
      <c r="A181" s="56" t="s">
        <v>154</v>
      </c>
      <c r="B181">
        <f t="shared" si="25"/>
        <v>0</v>
      </c>
      <c r="G181" s="56" t="s">
        <v>154</v>
      </c>
      <c r="H181">
        <f t="shared" si="26"/>
        <v>0</v>
      </c>
      <c r="M181" s="56" t="s">
        <v>154</v>
      </c>
      <c r="N181">
        <f t="shared" si="27"/>
        <v>0</v>
      </c>
      <c r="S181" s="56" t="s">
        <v>154</v>
      </c>
      <c r="T181">
        <f t="shared" si="28"/>
        <v>0</v>
      </c>
      <c r="Y181" s="56" t="s">
        <v>154</v>
      </c>
      <c r="Z181">
        <f t="shared" si="29"/>
        <v>0</v>
      </c>
    </row>
    <row r="182" spans="1:26" ht="14">
      <c r="A182" s="56" t="s">
        <v>155</v>
      </c>
      <c r="B182">
        <f t="shared" si="25"/>
        <v>0.61</v>
      </c>
      <c r="G182" s="56" t="s">
        <v>155</v>
      </c>
      <c r="H182">
        <f t="shared" si="26"/>
        <v>0</v>
      </c>
      <c r="M182" s="56" t="s">
        <v>155</v>
      </c>
      <c r="N182">
        <f t="shared" si="27"/>
        <v>0</v>
      </c>
      <c r="S182" s="56" t="s">
        <v>155</v>
      </c>
      <c r="T182">
        <f t="shared" si="28"/>
        <v>0</v>
      </c>
      <c r="Y182" s="56" t="s">
        <v>155</v>
      </c>
      <c r="Z182">
        <f t="shared" si="29"/>
        <v>0</v>
      </c>
    </row>
    <row r="183" spans="1:26" ht="14">
      <c r="A183" s="56" t="s">
        <v>156</v>
      </c>
      <c r="B183">
        <f t="shared" si="25"/>
        <v>27.966143999999993</v>
      </c>
      <c r="G183" s="56" t="s">
        <v>156</v>
      </c>
      <c r="H183">
        <f t="shared" si="26"/>
        <v>23.686663999999997</v>
      </c>
      <c r="M183" s="56" t="s">
        <v>156</v>
      </c>
      <c r="N183">
        <f t="shared" si="27"/>
        <v>0</v>
      </c>
      <c r="S183" s="56" t="s">
        <v>156</v>
      </c>
      <c r="T183">
        <f t="shared" si="28"/>
        <v>0</v>
      </c>
      <c r="Y183" s="56" t="s">
        <v>156</v>
      </c>
      <c r="Z183">
        <f t="shared" si="29"/>
        <v>0</v>
      </c>
    </row>
    <row r="184" spans="1:26" ht="14">
      <c r="A184" s="83" t="s">
        <v>58</v>
      </c>
      <c r="B184">
        <f t="shared" si="25"/>
        <v>6.1538490000000001</v>
      </c>
      <c r="G184" s="83" t="s">
        <v>58</v>
      </c>
      <c r="H184">
        <f t="shared" si="26"/>
        <v>18.778188000000007</v>
      </c>
      <c r="M184" s="83" t="s">
        <v>58</v>
      </c>
      <c r="N184">
        <f t="shared" si="27"/>
        <v>0</v>
      </c>
      <c r="S184" s="83" t="s">
        <v>58</v>
      </c>
      <c r="T184">
        <f t="shared" si="28"/>
        <v>0</v>
      </c>
      <c r="Y184" s="83" t="s">
        <v>58</v>
      </c>
      <c r="Z184">
        <f t="shared" si="29"/>
        <v>0</v>
      </c>
    </row>
    <row r="185" spans="1:26" ht="14">
      <c r="A185" s="56" t="s">
        <v>157</v>
      </c>
      <c r="B185">
        <f t="shared" si="25"/>
        <v>10.642127999999987</v>
      </c>
      <c r="G185" s="56" t="s">
        <v>157</v>
      </c>
      <c r="H185">
        <f t="shared" si="26"/>
        <v>23.758084000000011</v>
      </c>
      <c r="M185" s="56" t="s">
        <v>157</v>
      </c>
      <c r="N185">
        <f t="shared" si="27"/>
        <v>0</v>
      </c>
      <c r="S185" s="56" t="s">
        <v>157</v>
      </c>
      <c r="T185">
        <f t="shared" si="28"/>
        <v>0</v>
      </c>
      <c r="Y185" s="56" t="s">
        <v>157</v>
      </c>
      <c r="Z185">
        <f t="shared" si="29"/>
        <v>0</v>
      </c>
    </row>
    <row r="186" spans="1:26" ht="14">
      <c r="A186" s="56" t="s">
        <v>158</v>
      </c>
      <c r="B186">
        <f t="shared" si="25"/>
        <v>24.656400000000001</v>
      </c>
      <c r="G186" s="56" t="s">
        <v>158</v>
      </c>
      <c r="H186">
        <f t="shared" si="26"/>
        <v>9.6012000000000004</v>
      </c>
      <c r="M186" s="56" t="s">
        <v>158</v>
      </c>
      <c r="N186">
        <f t="shared" si="27"/>
        <v>0</v>
      </c>
      <c r="S186" s="56" t="s">
        <v>158</v>
      </c>
      <c r="T186">
        <f t="shared" si="28"/>
        <v>0</v>
      </c>
      <c r="Y186" s="56" t="s">
        <v>158</v>
      </c>
      <c r="Z186">
        <f t="shared" si="29"/>
        <v>0</v>
      </c>
    </row>
    <row r="187" spans="1:26" ht="14">
      <c r="A187" s="56" t="s">
        <v>42</v>
      </c>
      <c r="B187">
        <f t="shared" si="25"/>
        <v>206.1057569999999</v>
      </c>
      <c r="G187" s="56" t="s">
        <v>42</v>
      </c>
      <c r="H187">
        <f t="shared" si="26"/>
        <v>154.01142899999988</v>
      </c>
      <c r="M187" s="56" t="s">
        <v>42</v>
      </c>
      <c r="N187">
        <f t="shared" si="27"/>
        <v>0</v>
      </c>
      <c r="S187" s="56" t="s">
        <v>42</v>
      </c>
      <c r="T187">
        <f t="shared" si="28"/>
        <v>0</v>
      </c>
      <c r="Y187" s="56" t="s">
        <v>42</v>
      </c>
      <c r="Z187">
        <f t="shared" si="29"/>
        <v>0</v>
      </c>
    </row>
    <row r="188" spans="1:26" ht="14">
      <c r="A188" s="83" t="s">
        <v>159</v>
      </c>
      <c r="B188">
        <f t="shared" si="25"/>
        <v>28.507003999999984</v>
      </c>
      <c r="G188" s="83" t="s">
        <v>159</v>
      </c>
      <c r="H188">
        <f t="shared" si="26"/>
        <v>34.323416999999971</v>
      </c>
      <c r="M188" s="83" t="s">
        <v>159</v>
      </c>
      <c r="N188">
        <f t="shared" si="27"/>
        <v>0</v>
      </c>
      <c r="S188" s="83" t="s">
        <v>159</v>
      </c>
      <c r="T188">
        <f t="shared" si="28"/>
        <v>0</v>
      </c>
      <c r="Y188" s="83" t="s">
        <v>159</v>
      </c>
      <c r="Z188">
        <f t="shared" si="29"/>
        <v>0</v>
      </c>
    </row>
    <row r="189" spans="1:26" ht="14">
      <c r="A189" s="56" t="s">
        <v>11</v>
      </c>
      <c r="B189">
        <f t="shared" si="25"/>
        <v>289.36857300000031</v>
      </c>
      <c r="G189" s="56" t="s">
        <v>11</v>
      </c>
      <c r="H189">
        <f t="shared" si="26"/>
        <v>289.54754400000013</v>
      </c>
      <c r="M189" s="56" t="s">
        <v>11</v>
      </c>
      <c r="N189">
        <f t="shared" si="27"/>
        <v>0</v>
      </c>
      <c r="S189" s="56" t="s">
        <v>11</v>
      </c>
      <c r="T189">
        <f t="shared" si="28"/>
        <v>0</v>
      </c>
      <c r="Y189" s="56" t="s">
        <v>11</v>
      </c>
      <c r="Z189">
        <f t="shared" si="29"/>
        <v>0</v>
      </c>
    </row>
    <row r="190" spans="1:26" ht="14">
      <c r="A190" s="56" t="s">
        <v>13</v>
      </c>
      <c r="B190">
        <f t="shared" si="25"/>
        <v>1055.7092</v>
      </c>
      <c r="G190" s="56" t="s">
        <v>13</v>
      </c>
      <c r="H190">
        <f t="shared" si="26"/>
        <v>1215.992</v>
      </c>
      <c r="M190" s="56" t="s">
        <v>13</v>
      </c>
      <c r="N190">
        <f t="shared" si="27"/>
        <v>0</v>
      </c>
      <c r="S190" s="56" t="s">
        <v>13</v>
      </c>
      <c r="T190">
        <f t="shared" si="28"/>
        <v>0</v>
      </c>
      <c r="Y190" s="56" t="s">
        <v>13</v>
      </c>
      <c r="Z190">
        <f t="shared" si="29"/>
        <v>0</v>
      </c>
    </row>
    <row r="191" spans="1:26" ht="14">
      <c r="A191" s="56" t="s">
        <v>160</v>
      </c>
      <c r="B191">
        <f t="shared" si="25"/>
        <v>0.6</v>
      </c>
      <c r="G191" s="56" t="s">
        <v>160</v>
      </c>
      <c r="H191">
        <f t="shared" si="26"/>
        <v>1.2</v>
      </c>
      <c r="M191" s="56" t="s">
        <v>160</v>
      </c>
      <c r="N191">
        <f t="shared" si="27"/>
        <v>0</v>
      </c>
      <c r="S191" s="56" t="s">
        <v>160</v>
      </c>
      <c r="T191">
        <f t="shared" si="28"/>
        <v>0</v>
      </c>
      <c r="Y191" s="56" t="s">
        <v>160</v>
      </c>
      <c r="Z191">
        <f t="shared" si="29"/>
        <v>0</v>
      </c>
    </row>
    <row r="192" spans="1:26" ht="14">
      <c r="A192" s="56" t="s">
        <v>161</v>
      </c>
      <c r="B192">
        <f t="shared" si="25"/>
        <v>1.22</v>
      </c>
      <c r="G192" s="56" t="s">
        <v>161</v>
      </c>
      <c r="H192">
        <f t="shared" si="26"/>
        <v>18.3</v>
      </c>
      <c r="M192" s="56" t="s">
        <v>161</v>
      </c>
      <c r="N192">
        <f t="shared" si="27"/>
        <v>0</v>
      </c>
      <c r="S192" s="56" t="s">
        <v>161</v>
      </c>
      <c r="T192">
        <f t="shared" si="28"/>
        <v>0</v>
      </c>
      <c r="Y192" s="56" t="s">
        <v>161</v>
      </c>
      <c r="Z192">
        <f t="shared" si="29"/>
        <v>0</v>
      </c>
    </row>
    <row r="193" spans="1:26" ht="14">
      <c r="A193" s="56" t="s">
        <v>162</v>
      </c>
      <c r="B193">
        <f t="shared" si="25"/>
        <v>0</v>
      </c>
      <c r="G193" s="56" t="s">
        <v>162</v>
      </c>
      <c r="H193">
        <f t="shared" si="26"/>
        <v>0</v>
      </c>
      <c r="M193" s="56" t="s">
        <v>162</v>
      </c>
      <c r="N193">
        <f t="shared" si="27"/>
        <v>0</v>
      </c>
      <c r="S193" s="56" t="s">
        <v>162</v>
      </c>
      <c r="T193">
        <f t="shared" si="28"/>
        <v>0</v>
      </c>
      <c r="Y193" s="56" t="s">
        <v>162</v>
      </c>
      <c r="Z193">
        <f t="shared" si="29"/>
        <v>0</v>
      </c>
    </row>
    <row r="194" spans="1:26" ht="14">
      <c r="A194" s="83" t="s">
        <v>201</v>
      </c>
      <c r="B194">
        <f t="shared" si="25"/>
        <v>0</v>
      </c>
      <c r="G194" s="83" t="s">
        <v>201</v>
      </c>
      <c r="H194">
        <f t="shared" si="26"/>
        <v>0</v>
      </c>
      <c r="M194" s="83" t="s">
        <v>201</v>
      </c>
      <c r="N194">
        <f t="shared" si="27"/>
        <v>0</v>
      </c>
      <c r="S194" s="83" t="s">
        <v>201</v>
      </c>
      <c r="T194">
        <f t="shared" si="28"/>
        <v>0</v>
      </c>
      <c r="Y194" s="83" t="s">
        <v>201</v>
      </c>
      <c r="Z194">
        <f t="shared" si="29"/>
        <v>0</v>
      </c>
    </row>
    <row r="195" spans="1:26" ht="14">
      <c r="A195" s="56" t="s">
        <v>57</v>
      </c>
      <c r="B195">
        <f t="shared" si="25"/>
        <v>2.244021</v>
      </c>
      <c r="G195" s="56" t="s">
        <v>57</v>
      </c>
      <c r="H195">
        <f t="shared" si="26"/>
        <v>15.253836000000003</v>
      </c>
      <c r="M195" s="56" t="s">
        <v>57</v>
      </c>
      <c r="N195">
        <f t="shared" si="27"/>
        <v>0</v>
      </c>
      <c r="S195" s="56" t="s">
        <v>57</v>
      </c>
      <c r="T195">
        <f t="shared" si="28"/>
        <v>0</v>
      </c>
      <c r="Y195" s="56" t="s">
        <v>57</v>
      </c>
      <c r="Z195">
        <f t="shared" si="29"/>
        <v>0</v>
      </c>
    </row>
    <row r="196" spans="1:26" ht="14">
      <c r="A196" s="83" t="s">
        <v>56</v>
      </c>
      <c r="B196">
        <f t="shared" si="25"/>
        <v>0.97745700000000002</v>
      </c>
      <c r="G196" s="83" t="s">
        <v>56</v>
      </c>
      <c r="H196">
        <f t="shared" si="26"/>
        <v>0</v>
      </c>
      <c r="M196" s="83" t="s">
        <v>56</v>
      </c>
      <c r="N196">
        <f t="shared" si="27"/>
        <v>0</v>
      </c>
      <c r="S196" s="83" t="s">
        <v>56</v>
      </c>
      <c r="T196">
        <f t="shared" si="28"/>
        <v>0</v>
      </c>
      <c r="Y196" s="83" t="s">
        <v>56</v>
      </c>
      <c r="Z196">
        <f t="shared" si="29"/>
        <v>0</v>
      </c>
    </row>
    <row r="197" spans="1:26" ht="14">
      <c r="A197" s="83" t="s">
        <v>43</v>
      </c>
      <c r="B197">
        <f t="shared" si="25"/>
        <v>64.801269000000019</v>
      </c>
      <c r="G197" s="83" t="s">
        <v>43</v>
      </c>
      <c r="H197">
        <f t="shared" si="26"/>
        <v>20.361393000000003</v>
      </c>
      <c r="M197" s="83" t="s">
        <v>43</v>
      </c>
      <c r="N197">
        <f t="shared" si="27"/>
        <v>0</v>
      </c>
      <c r="S197" s="83" t="s">
        <v>43</v>
      </c>
      <c r="T197">
        <f t="shared" si="28"/>
        <v>0</v>
      </c>
      <c r="Y197" s="83" t="s">
        <v>43</v>
      </c>
      <c r="Z197">
        <f t="shared" si="29"/>
        <v>0</v>
      </c>
    </row>
    <row r="198" spans="1:26" ht="14">
      <c r="A198" s="56" t="s">
        <v>163</v>
      </c>
      <c r="B198">
        <f t="shared" si="25"/>
        <v>6.2</v>
      </c>
      <c r="G198" s="56" t="s">
        <v>163</v>
      </c>
      <c r="H198">
        <f t="shared" si="26"/>
        <v>12.399999999999995</v>
      </c>
      <c r="M198" s="56" t="s">
        <v>163</v>
      </c>
      <c r="N198">
        <f t="shared" si="27"/>
        <v>0</v>
      </c>
      <c r="S198" s="56" t="s">
        <v>163</v>
      </c>
      <c r="T198">
        <f t="shared" si="28"/>
        <v>0</v>
      </c>
      <c r="Y198" s="56" t="s">
        <v>163</v>
      </c>
      <c r="Z198">
        <f t="shared" si="29"/>
        <v>0</v>
      </c>
    </row>
    <row r="199" spans="1:26" ht="14">
      <c r="A199" s="56" t="s">
        <v>164</v>
      </c>
      <c r="B199">
        <f t="shared" si="25"/>
        <v>10.98</v>
      </c>
      <c r="G199" s="56" t="s">
        <v>164</v>
      </c>
      <c r="H199">
        <f t="shared" si="26"/>
        <v>17.979999999999997</v>
      </c>
      <c r="M199" s="56" t="s">
        <v>164</v>
      </c>
      <c r="N199">
        <f t="shared" si="27"/>
        <v>0</v>
      </c>
      <c r="S199" s="56" t="s">
        <v>164</v>
      </c>
      <c r="T199">
        <f t="shared" si="28"/>
        <v>0</v>
      </c>
      <c r="Y199" s="56" t="s">
        <v>164</v>
      </c>
      <c r="Z199">
        <f t="shared" si="29"/>
        <v>0</v>
      </c>
    </row>
    <row r="200" spans="1:26" ht="14">
      <c r="A200" s="56" t="s">
        <v>55</v>
      </c>
      <c r="B200">
        <f t="shared" si="25"/>
        <v>2.9323709999999998</v>
      </c>
      <c r="G200" s="56" t="s">
        <v>55</v>
      </c>
      <c r="H200">
        <f t="shared" si="26"/>
        <v>0.97745700000000002</v>
      </c>
      <c r="M200" s="56" t="s">
        <v>55</v>
      </c>
      <c r="N200">
        <f t="shared" si="27"/>
        <v>0</v>
      </c>
      <c r="S200" s="56" t="s">
        <v>55</v>
      </c>
      <c r="T200">
        <f t="shared" si="28"/>
        <v>0</v>
      </c>
      <c r="Y200" s="56" t="s">
        <v>55</v>
      </c>
      <c r="Z200">
        <f t="shared" si="29"/>
        <v>0</v>
      </c>
    </row>
    <row r="201" spans="1:26" ht="14">
      <c r="A201" s="83" t="s">
        <v>165</v>
      </c>
      <c r="B201">
        <f t="shared" si="25"/>
        <v>0</v>
      </c>
      <c r="G201" s="83" t="s">
        <v>165</v>
      </c>
      <c r="H201">
        <f t="shared" si="26"/>
        <v>0</v>
      </c>
      <c r="M201" s="83" t="s">
        <v>165</v>
      </c>
      <c r="N201">
        <f t="shared" si="27"/>
        <v>0</v>
      </c>
      <c r="S201" s="83" t="s">
        <v>165</v>
      </c>
      <c r="T201">
        <f t="shared" si="28"/>
        <v>0</v>
      </c>
      <c r="Y201" s="83" t="s">
        <v>165</v>
      </c>
      <c r="Z201">
        <f t="shared" si="29"/>
        <v>0</v>
      </c>
    </row>
    <row r="202" spans="1:26" ht="14">
      <c r="A202" s="83" t="s">
        <v>73</v>
      </c>
      <c r="B202">
        <f t="shared" si="25"/>
        <v>311.19393900000108</v>
      </c>
      <c r="G202" s="83" t="s">
        <v>73</v>
      </c>
      <c r="H202">
        <f t="shared" si="26"/>
        <v>330.18868500000042</v>
      </c>
      <c r="M202" s="83" t="s">
        <v>73</v>
      </c>
      <c r="N202">
        <f t="shared" si="27"/>
        <v>0</v>
      </c>
      <c r="S202" s="83" t="s">
        <v>73</v>
      </c>
      <c r="T202">
        <f t="shared" si="28"/>
        <v>0</v>
      </c>
      <c r="Y202" s="83" t="s">
        <v>73</v>
      </c>
      <c r="Z202">
        <f t="shared" si="29"/>
        <v>0</v>
      </c>
    </row>
    <row r="203" spans="1:26" ht="14">
      <c r="A203" s="83" t="s">
        <v>166</v>
      </c>
      <c r="B203">
        <f t="shared" ref="B203:B249" si="30">B67</f>
        <v>0</v>
      </c>
      <c r="G203" s="83" t="s">
        <v>166</v>
      </c>
      <c r="H203">
        <f t="shared" ref="H203:H249" si="31">H67</f>
        <v>0</v>
      </c>
      <c r="M203" s="83" t="s">
        <v>166</v>
      </c>
      <c r="N203">
        <f t="shared" ref="N203:N249" si="32">N67</f>
        <v>0</v>
      </c>
      <c r="S203" s="83" t="s">
        <v>166</v>
      </c>
      <c r="T203">
        <f t="shared" ref="T203:T249" si="33">T67</f>
        <v>0</v>
      </c>
      <c r="Y203" s="83" t="s">
        <v>166</v>
      </c>
      <c r="Z203">
        <f t="shared" ref="Z203:Z249" si="34">Z67</f>
        <v>0</v>
      </c>
    </row>
    <row r="204" spans="1:26" ht="14">
      <c r="A204" s="83" t="s">
        <v>167</v>
      </c>
      <c r="B204">
        <f t="shared" si="30"/>
        <v>0</v>
      </c>
      <c r="G204" s="83" t="s">
        <v>167</v>
      </c>
      <c r="H204">
        <f t="shared" si="31"/>
        <v>0</v>
      </c>
      <c r="M204" s="83" t="s">
        <v>167</v>
      </c>
      <c r="N204">
        <f t="shared" si="32"/>
        <v>0</v>
      </c>
      <c r="S204" s="83" t="s">
        <v>167</v>
      </c>
      <c r="T204">
        <f t="shared" si="33"/>
        <v>0</v>
      </c>
      <c r="Y204" s="83" t="s">
        <v>167</v>
      </c>
      <c r="Z204">
        <f t="shared" si="34"/>
        <v>0</v>
      </c>
    </row>
    <row r="205" spans="1:26" ht="14">
      <c r="A205" s="83" t="s">
        <v>168</v>
      </c>
      <c r="B205">
        <f t="shared" si="30"/>
        <v>0</v>
      </c>
      <c r="G205" s="83" t="s">
        <v>168</v>
      </c>
      <c r="H205">
        <f t="shared" si="31"/>
        <v>0</v>
      </c>
      <c r="M205" s="83" t="s">
        <v>168</v>
      </c>
      <c r="N205">
        <f t="shared" si="32"/>
        <v>0</v>
      </c>
      <c r="S205" s="83" t="s">
        <v>168</v>
      </c>
      <c r="T205">
        <f t="shared" si="33"/>
        <v>0</v>
      </c>
      <c r="Y205" s="83" t="s">
        <v>168</v>
      </c>
      <c r="Z205">
        <f t="shared" si="34"/>
        <v>0</v>
      </c>
    </row>
    <row r="206" spans="1:26" ht="14">
      <c r="A206" s="83" t="s">
        <v>202</v>
      </c>
      <c r="B206">
        <f t="shared" si="30"/>
        <v>0</v>
      </c>
      <c r="G206" s="83" t="s">
        <v>202</v>
      </c>
      <c r="H206">
        <f t="shared" si="31"/>
        <v>0</v>
      </c>
      <c r="M206" s="83" t="s">
        <v>202</v>
      </c>
      <c r="N206">
        <f t="shared" si="32"/>
        <v>0</v>
      </c>
      <c r="S206" s="83" t="s">
        <v>202</v>
      </c>
      <c r="T206">
        <f t="shared" si="33"/>
        <v>0</v>
      </c>
      <c r="Y206" s="83" t="s">
        <v>202</v>
      </c>
      <c r="Z206">
        <f t="shared" si="34"/>
        <v>0</v>
      </c>
    </row>
    <row r="207" spans="1:26" ht="14">
      <c r="A207" s="83" t="s">
        <v>169</v>
      </c>
      <c r="B207">
        <f t="shared" si="30"/>
        <v>0</v>
      </c>
      <c r="G207" s="83" t="s">
        <v>169</v>
      </c>
      <c r="H207">
        <f t="shared" si="31"/>
        <v>0</v>
      </c>
      <c r="M207" s="83" t="s">
        <v>169</v>
      </c>
      <c r="N207">
        <f t="shared" si="32"/>
        <v>0</v>
      </c>
      <c r="S207" s="83" t="s">
        <v>169</v>
      </c>
      <c r="T207">
        <f t="shared" si="33"/>
        <v>0</v>
      </c>
      <c r="Y207" s="83" t="s">
        <v>169</v>
      </c>
      <c r="Z207">
        <f t="shared" si="34"/>
        <v>0</v>
      </c>
    </row>
    <row r="208" spans="1:26" ht="14">
      <c r="A208" s="83" t="s">
        <v>170</v>
      </c>
      <c r="B208">
        <f t="shared" si="30"/>
        <v>0.61</v>
      </c>
      <c r="G208" s="83" t="s">
        <v>170</v>
      </c>
      <c r="H208">
        <f t="shared" si="31"/>
        <v>0</v>
      </c>
      <c r="M208" s="83" t="s">
        <v>170</v>
      </c>
      <c r="N208">
        <f t="shared" si="32"/>
        <v>0</v>
      </c>
      <c r="S208" s="83" t="s">
        <v>170</v>
      </c>
      <c r="T208">
        <f t="shared" si="33"/>
        <v>0</v>
      </c>
      <c r="Y208" s="83" t="s">
        <v>170</v>
      </c>
      <c r="Z208">
        <f t="shared" si="34"/>
        <v>0</v>
      </c>
    </row>
    <row r="209" spans="1:26" ht="14">
      <c r="A209" s="83" t="s">
        <v>171</v>
      </c>
      <c r="B209">
        <f t="shared" si="30"/>
        <v>0</v>
      </c>
      <c r="G209" s="83" t="s">
        <v>171</v>
      </c>
      <c r="H209">
        <f t="shared" si="31"/>
        <v>0</v>
      </c>
      <c r="M209" s="83" t="s">
        <v>171</v>
      </c>
      <c r="N209">
        <f t="shared" si="32"/>
        <v>0</v>
      </c>
      <c r="S209" s="83" t="s">
        <v>171</v>
      </c>
      <c r="T209">
        <f t="shared" si="33"/>
        <v>0</v>
      </c>
      <c r="Y209" s="83" t="s">
        <v>171</v>
      </c>
      <c r="Z209">
        <f t="shared" si="34"/>
        <v>0</v>
      </c>
    </row>
    <row r="210" spans="1:26" ht="14">
      <c r="A210" s="83" t="s">
        <v>44</v>
      </c>
      <c r="B210">
        <f t="shared" si="30"/>
        <v>221.24945699999995</v>
      </c>
      <c r="G210" s="83" t="s">
        <v>44</v>
      </c>
      <c r="H210">
        <f t="shared" si="31"/>
        <v>245.17650300000014</v>
      </c>
      <c r="M210" s="83" t="s">
        <v>44</v>
      </c>
      <c r="N210">
        <f t="shared" si="32"/>
        <v>0</v>
      </c>
      <c r="S210" s="83" t="s">
        <v>44</v>
      </c>
      <c r="T210">
        <f t="shared" si="33"/>
        <v>0</v>
      </c>
      <c r="Y210" s="83" t="s">
        <v>44</v>
      </c>
      <c r="Z210">
        <f t="shared" si="34"/>
        <v>0</v>
      </c>
    </row>
    <row r="211" spans="1:26" ht="14">
      <c r="A211" s="83" t="s">
        <v>45</v>
      </c>
      <c r="B211">
        <f t="shared" si="30"/>
        <v>238.41068850000036</v>
      </c>
      <c r="G211" s="83" t="s">
        <v>45</v>
      </c>
      <c r="H211">
        <f t="shared" si="31"/>
        <v>265.33533170000044</v>
      </c>
      <c r="M211" s="83" t="s">
        <v>45</v>
      </c>
      <c r="N211">
        <f t="shared" si="32"/>
        <v>0</v>
      </c>
      <c r="S211" s="83" t="s">
        <v>45</v>
      </c>
      <c r="T211">
        <f t="shared" si="33"/>
        <v>0</v>
      </c>
      <c r="Y211" s="83" t="s">
        <v>45</v>
      </c>
      <c r="Z211">
        <f t="shared" si="34"/>
        <v>0</v>
      </c>
    </row>
    <row r="212" spans="1:26" ht="14">
      <c r="A212" s="83" t="s">
        <v>172</v>
      </c>
      <c r="B212">
        <f t="shared" si="30"/>
        <v>0</v>
      </c>
      <c r="G212" s="83" t="s">
        <v>172</v>
      </c>
      <c r="H212">
        <f t="shared" si="31"/>
        <v>0.61</v>
      </c>
      <c r="M212" s="83" t="s">
        <v>172</v>
      </c>
      <c r="N212">
        <f t="shared" si="32"/>
        <v>0</v>
      </c>
      <c r="S212" s="83" t="s">
        <v>172</v>
      </c>
      <c r="T212">
        <f t="shared" si="33"/>
        <v>0</v>
      </c>
      <c r="Y212" s="83" t="s">
        <v>172</v>
      </c>
      <c r="Z212">
        <f t="shared" si="34"/>
        <v>0</v>
      </c>
    </row>
    <row r="213" spans="1:26" ht="14">
      <c r="A213" s="83" t="s">
        <v>173</v>
      </c>
      <c r="B213">
        <f t="shared" si="30"/>
        <v>0</v>
      </c>
      <c r="G213" s="83" t="s">
        <v>173</v>
      </c>
      <c r="H213">
        <f t="shared" si="31"/>
        <v>0</v>
      </c>
      <c r="M213" s="83" t="s">
        <v>173</v>
      </c>
      <c r="N213">
        <f t="shared" si="32"/>
        <v>0</v>
      </c>
      <c r="S213" s="83" t="s">
        <v>173</v>
      </c>
      <c r="T213">
        <f t="shared" si="33"/>
        <v>0</v>
      </c>
      <c r="Y213" s="83" t="s">
        <v>173</v>
      </c>
      <c r="Z213">
        <f t="shared" si="34"/>
        <v>0</v>
      </c>
    </row>
    <row r="214" spans="1:26" ht="14">
      <c r="A214" s="83" t="s">
        <v>174</v>
      </c>
      <c r="B214">
        <f t="shared" si="30"/>
        <v>10.37</v>
      </c>
      <c r="G214" s="83" t="s">
        <v>174</v>
      </c>
      <c r="H214">
        <f t="shared" si="31"/>
        <v>2.44</v>
      </c>
      <c r="M214" s="83" t="s">
        <v>174</v>
      </c>
      <c r="N214">
        <f t="shared" si="32"/>
        <v>0</v>
      </c>
      <c r="S214" s="83" t="s">
        <v>174</v>
      </c>
      <c r="T214">
        <f t="shared" si="33"/>
        <v>0</v>
      </c>
      <c r="Y214" s="83" t="s">
        <v>174</v>
      </c>
      <c r="Z214">
        <f t="shared" si="34"/>
        <v>0</v>
      </c>
    </row>
    <row r="215" spans="1:26" ht="14">
      <c r="A215" s="83" t="s">
        <v>46</v>
      </c>
      <c r="B215">
        <f t="shared" si="30"/>
        <v>110.92071899999998</v>
      </c>
      <c r="G215" s="83" t="s">
        <v>46</v>
      </c>
      <c r="H215">
        <f t="shared" si="31"/>
        <v>109.58531999999995</v>
      </c>
      <c r="M215" s="83" t="s">
        <v>46</v>
      </c>
      <c r="N215">
        <f t="shared" si="32"/>
        <v>0</v>
      </c>
      <c r="S215" s="83" t="s">
        <v>46</v>
      </c>
      <c r="T215">
        <f t="shared" si="33"/>
        <v>0</v>
      </c>
      <c r="Y215" s="83" t="s">
        <v>46</v>
      </c>
      <c r="Z215">
        <f t="shared" si="34"/>
        <v>0</v>
      </c>
    </row>
    <row r="216" spans="1:26" ht="14">
      <c r="A216" s="83" t="s">
        <v>175</v>
      </c>
      <c r="B216">
        <f t="shared" si="30"/>
        <v>0.61</v>
      </c>
      <c r="G216" s="83" t="s">
        <v>175</v>
      </c>
      <c r="H216">
        <f t="shared" si="31"/>
        <v>1.4</v>
      </c>
      <c r="M216" s="83" t="s">
        <v>175</v>
      </c>
      <c r="N216">
        <f t="shared" si="32"/>
        <v>0</v>
      </c>
      <c r="S216" s="83" t="s">
        <v>175</v>
      </c>
      <c r="T216">
        <f t="shared" si="33"/>
        <v>0</v>
      </c>
      <c r="Y216" s="83" t="s">
        <v>175</v>
      </c>
      <c r="Z216">
        <f t="shared" si="34"/>
        <v>0</v>
      </c>
    </row>
    <row r="217" spans="1:26" ht="14">
      <c r="A217" s="83" t="s">
        <v>176</v>
      </c>
      <c r="B217">
        <f t="shared" si="30"/>
        <v>0</v>
      </c>
      <c r="G217" s="83" t="s">
        <v>176</v>
      </c>
      <c r="H217">
        <f t="shared" si="31"/>
        <v>0</v>
      </c>
      <c r="M217" s="83" t="s">
        <v>176</v>
      </c>
      <c r="N217">
        <f t="shared" si="32"/>
        <v>0</v>
      </c>
      <c r="S217" s="83" t="s">
        <v>176</v>
      </c>
      <c r="T217">
        <f t="shared" si="33"/>
        <v>0</v>
      </c>
      <c r="Y217" s="83" t="s">
        <v>176</v>
      </c>
      <c r="Z217">
        <f t="shared" si="34"/>
        <v>0</v>
      </c>
    </row>
    <row r="218" spans="1:26" ht="14">
      <c r="A218" s="83" t="s">
        <v>177</v>
      </c>
      <c r="B218">
        <f t="shared" si="30"/>
        <v>0.61</v>
      </c>
      <c r="G218" s="83" t="s">
        <v>177</v>
      </c>
      <c r="H218">
        <f t="shared" si="31"/>
        <v>0</v>
      </c>
      <c r="M218" s="83" t="s">
        <v>177</v>
      </c>
      <c r="N218">
        <f t="shared" si="32"/>
        <v>0</v>
      </c>
      <c r="S218" s="83" t="s">
        <v>177</v>
      </c>
      <c r="T218">
        <f t="shared" si="33"/>
        <v>0</v>
      </c>
      <c r="Y218" s="83" t="s">
        <v>177</v>
      </c>
      <c r="Z218">
        <f t="shared" si="34"/>
        <v>0</v>
      </c>
    </row>
    <row r="219" spans="1:26" ht="14">
      <c r="A219" s="83" t="s">
        <v>178</v>
      </c>
      <c r="B219">
        <f t="shared" si="30"/>
        <v>15.249999999999993</v>
      </c>
      <c r="G219" s="83" t="s">
        <v>178</v>
      </c>
      <c r="H219">
        <f t="shared" si="31"/>
        <v>76.429999999999993</v>
      </c>
      <c r="M219" s="83" t="s">
        <v>178</v>
      </c>
      <c r="N219">
        <f t="shared" si="32"/>
        <v>0</v>
      </c>
      <c r="S219" s="83" t="s">
        <v>178</v>
      </c>
      <c r="T219">
        <f t="shared" si="33"/>
        <v>0</v>
      </c>
      <c r="Y219" s="83" t="s">
        <v>178</v>
      </c>
      <c r="Z219">
        <f t="shared" si="34"/>
        <v>0</v>
      </c>
    </row>
    <row r="220" spans="1:26" ht="14">
      <c r="A220" s="83" t="s">
        <v>179</v>
      </c>
      <c r="B220">
        <f t="shared" si="30"/>
        <v>22.320000000000004</v>
      </c>
      <c r="G220" s="83" t="s">
        <v>179</v>
      </c>
      <c r="H220">
        <f t="shared" si="31"/>
        <v>15.439999999999991</v>
      </c>
      <c r="M220" s="83" t="s">
        <v>179</v>
      </c>
      <c r="N220">
        <f t="shared" si="32"/>
        <v>0</v>
      </c>
      <c r="S220" s="83" t="s">
        <v>179</v>
      </c>
      <c r="T220">
        <f t="shared" si="33"/>
        <v>0</v>
      </c>
      <c r="Y220" s="83" t="s">
        <v>179</v>
      </c>
      <c r="Z220">
        <f t="shared" si="34"/>
        <v>0</v>
      </c>
    </row>
    <row r="221" spans="1:26" ht="14">
      <c r="A221" s="83" t="s">
        <v>54</v>
      </c>
      <c r="B221">
        <f t="shared" si="30"/>
        <v>22.77061800000001</v>
      </c>
      <c r="G221" s="83" t="s">
        <v>54</v>
      </c>
      <c r="H221">
        <f t="shared" si="31"/>
        <v>22.082267999999999</v>
      </c>
      <c r="M221" s="83" t="s">
        <v>54</v>
      </c>
      <c r="N221">
        <f t="shared" si="32"/>
        <v>0</v>
      </c>
      <c r="S221" s="83" t="s">
        <v>54</v>
      </c>
      <c r="T221">
        <f t="shared" si="33"/>
        <v>0</v>
      </c>
      <c r="Y221" s="83" t="s">
        <v>54</v>
      </c>
      <c r="Z221">
        <f t="shared" si="34"/>
        <v>0</v>
      </c>
    </row>
    <row r="222" spans="1:26" ht="14">
      <c r="A222" s="83" t="s">
        <v>47</v>
      </c>
      <c r="B222">
        <f t="shared" si="30"/>
        <v>36.413715000000018</v>
      </c>
      <c r="G222" s="83" t="s">
        <v>47</v>
      </c>
      <c r="H222">
        <f t="shared" si="31"/>
        <v>34.01825700000002</v>
      </c>
      <c r="M222" s="83" t="s">
        <v>47</v>
      </c>
      <c r="N222">
        <f t="shared" si="32"/>
        <v>0</v>
      </c>
      <c r="S222" s="83" t="s">
        <v>47</v>
      </c>
      <c r="T222">
        <f t="shared" si="33"/>
        <v>0</v>
      </c>
      <c r="Y222" s="83" t="s">
        <v>47</v>
      </c>
      <c r="Z222">
        <f t="shared" si="34"/>
        <v>0</v>
      </c>
    </row>
    <row r="223" spans="1:26" ht="14">
      <c r="A223" s="83" t="s">
        <v>53</v>
      </c>
      <c r="B223">
        <f t="shared" si="30"/>
        <v>41.755311000000006</v>
      </c>
      <c r="G223" s="83" t="s">
        <v>53</v>
      </c>
      <c r="H223">
        <f t="shared" si="31"/>
        <v>0</v>
      </c>
      <c r="M223" s="83" t="s">
        <v>53</v>
      </c>
      <c r="N223">
        <f t="shared" si="32"/>
        <v>0</v>
      </c>
      <c r="S223" s="83" t="s">
        <v>53</v>
      </c>
      <c r="T223">
        <f t="shared" si="33"/>
        <v>0</v>
      </c>
      <c r="Y223" s="83" t="s">
        <v>53</v>
      </c>
      <c r="Z223">
        <f t="shared" si="34"/>
        <v>0</v>
      </c>
    </row>
    <row r="224" spans="1:26" ht="14">
      <c r="A224" s="83" t="s">
        <v>180</v>
      </c>
      <c r="B224">
        <f t="shared" si="30"/>
        <v>153.45859199999995</v>
      </c>
      <c r="G224" s="83" t="s">
        <v>180</v>
      </c>
      <c r="H224">
        <f t="shared" si="31"/>
        <v>138.57765599999999</v>
      </c>
      <c r="M224" s="83" t="s">
        <v>180</v>
      </c>
      <c r="N224">
        <f t="shared" si="32"/>
        <v>0</v>
      </c>
      <c r="S224" s="83" t="s">
        <v>180</v>
      </c>
      <c r="T224">
        <f t="shared" si="33"/>
        <v>0</v>
      </c>
      <c r="Y224" s="83" t="s">
        <v>180</v>
      </c>
      <c r="Z224">
        <f t="shared" si="34"/>
        <v>0</v>
      </c>
    </row>
    <row r="225" spans="1:26" ht="14">
      <c r="A225" s="83" t="s">
        <v>181</v>
      </c>
      <c r="B225">
        <f t="shared" si="30"/>
        <v>0</v>
      </c>
      <c r="G225" s="83" t="s">
        <v>181</v>
      </c>
      <c r="H225">
        <f t="shared" si="31"/>
        <v>0</v>
      </c>
      <c r="M225" s="83" t="s">
        <v>181</v>
      </c>
      <c r="N225">
        <f t="shared" si="32"/>
        <v>0</v>
      </c>
      <c r="S225" s="83" t="s">
        <v>181</v>
      </c>
      <c r="T225">
        <f t="shared" si="33"/>
        <v>0</v>
      </c>
      <c r="Y225" s="83" t="s">
        <v>181</v>
      </c>
      <c r="Z225">
        <f t="shared" si="34"/>
        <v>0</v>
      </c>
    </row>
    <row r="226" spans="1:26" ht="14">
      <c r="A226" s="83" t="s">
        <v>182</v>
      </c>
      <c r="B226">
        <f t="shared" si="30"/>
        <v>46.557227999999995</v>
      </c>
      <c r="G226" s="83" t="s">
        <v>182</v>
      </c>
      <c r="H226">
        <f t="shared" si="31"/>
        <v>34.18748699999999</v>
      </c>
      <c r="M226" s="83" t="s">
        <v>182</v>
      </c>
      <c r="N226">
        <f t="shared" si="32"/>
        <v>0</v>
      </c>
      <c r="S226" s="83" t="s">
        <v>182</v>
      </c>
      <c r="T226">
        <f t="shared" si="33"/>
        <v>0</v>
      </c>
      <c r="Y226" s="83" t="s">
        <v>182</v>
      </c>
      <c r="Z226">
        <f t="shared" si="34"/>
        <v>0</v>
      </c>
    </row>
    <row r="227" spans="1:26" ht="14">
      <c r="A227" s="83" t="s">
        <v>52</v>
      </c>
      <c r="B227">
        <f t="shared" si="30"/>
        <v>14.193777000000001</v>
      </c>
      <c r="G227" s="83" t="s">
        <v>52</v>
      </c>
      <c r="H227">
        <f t="shared" si="31"/>
        <v>2.9323709999999998</v>
      </c>
      <c r="M227" s="83" t="s">
        <v>52</v>
      </c>
      <c r="N227">
        <f t="shared" si="32"/>
        <v>0</v>
      </c>
      <c r="S227" s="83" t="s">
        <v>52</v>
      </c>
      <c r="T227">
        <f t="shared" si="33"/>
        <v>0</v>
      </c>
      <c r="Y227" s="83" t="s">
        <v>52</v>
      </c>
      <c r="Z227">
        <f t="shared" si="34"/>
        <v>0</v>
      </c>
    </row>
    <row r="228" spans="1:26" ht="14">
      <c r="A228" s="83" t="s">
        <v>90</v>
      </c>
      <c r="B228">
        <f t="shared" si="30"/>
        <v>0</v>
      </c>
      <c r="G228" s="83" t="s">
        <v>90</v>
      </c>
      <c r="H228">
        <f t="shared" si="31"/>
        <v>9.3890940000000001</v>
      </c>
      <c r="M228" s="83" t="s">
        <v>90</v>
      </c>
      <c r="N228">
        <f t="shared" si="32"/>
        <v>0</v>
      </c>
      <c r="S228" s="83" t="s">
        <v>90</v>
      </c>
      <c r="T228">
        <f t="shared" si="33"/>
        <v>0</v>
      </c>
      <c r="Y228" s="83" t="s">
        <v>90</v>
      </c>
      <c r="Z228">
        <f t="shared" si="34"/>
        <v>0</v>
      </c>
    </row>
    <row r="229" spans="1:26" ht="14">
      <c r="A229" s="83" t="s">
        <v>183</v>
      </c>
      <c r="B229">
        <f t="shared" si="30"/>
        <v>273.32366380000076</v>
      </c>
      <c r="G229" s="83" t="s">
        <v>183</v>
      </c>
      <c r="H229">
        <f t="shared" si="31"/>
        <v>157.18411499999991</v>
      </c>
      <c r="M229" s="83" t="s">
        <v>183</v>
      </c>
      <c r="N229">
        <f t="shared" si="32"/>
        <v>0</v>
      </c>
      <c r="S229" s="83" t="s">
        <v>183</v>
      </c>
      <c r="T229">
        <f t="shared" si="33"/>
        <v>0</v>
      </c>
      <c r="Y229" s="83" t="s">
        <v>183</v>
      </c>
      <c r="Z229">
        <f t="shared" si="34"/>
        <v>0</v>
      </c>
    </row>
    <row r="230" spans="1:26" ht="14">
      <c r="A230" s="83" t="s">
        <v>48</v>
      </c>
      <c r="B230">
        <f t="shared" si="30"/>
        <v>93.202589999999987</v>
      </c>
      <c r="G230" s="83" t="s">
        <v>48</v>
      </c>
      <c r="H230">
        <f t="shared" si="31"/>
        <v>134.36591999999987</v>
      </c>
      <c r="M230" s="83" t="s">
        <v>48</v>
      </c>
      <c r="N230">
        <f t="shared" si="32"/>
        <v>0</v>
      </c>
      <c r="S230" s="83" t="s">
        <v>48</v>
      </c>
      <c r="T230">
        <f t="shared" si="33"/>
        <v>0</v>
      </c>
      <c r="Y230" s="83" t="s">
        <v>48</v>
      </c>
      <c r="Z230">
        <f t="shared" si="34"/>
        <v>0</v>
      </c>
    </row>
    <row r="231" spans="1:26" ht="14">
      <c r="A231" s="83" t="s">
        <v>184</v>
      </c>
      <c r="B231">
        <f t="shared" si="30"/>
        <v>0</v>
      </c>
      <c r="G231" s="83" t="s">
        <v>184</v>
      </c>
      <c r="H231">
        <f t="shared" si="31"/>
        <v>0.62</v>
      </c>
      <c r="M231" s="83" t="s">
        <v>184</v>
      </c>
      <c r="N231">
        <f t="shared" si="32"/>
        <v>0</v>
      </c>
      <c r="S231" s="83" t="s">
        <v>184</v>
      </c>
      <c r="T231">
        <f t="shared" si="33"/>
        <v>0</v>
      </c>
      <c r="Y231" s="83" t="s">
        <v>184</v>
      </c>
      <c r="Z231">
        <f t="shared" si="34"/>
        <v>0</v>
      </c>
    </row>
    <row r="232" spans="1:26" ht="14">
      <c r="A232" s="83" t="s">
        <v>185</v>
      </c>
      <c r="B232">
        <f t="shared" si="30"/>
        <v>0</v>
      </c>
      <c r="G232" s="83" t="s">
        <v>185</v>
      </c>
      <c r="H232">
        <f t="shared" si="31"/>
        <v>0</v>
      </c>
      <c r="M232" s="83" t="s">
        <v>185</v>
      </c>
      <c r="N232">
        <f t="shared" si="32"/>
        <v>0</v>
      </c>
      <c r="S232" s="83" t="s">
        <v>185</v>
      </c>
      <c r="T232">
        <f t="shared" si="33"/>
        <v>0</v>
      </c>
      <c r="Y232" s="83" t="s">
        <v>185</v>
      </c>
      <c r="Z232">
        <f t="shared" si="34"/>
        <v>0</v>
      </c>
    </row>
    <row r="233" spans="1:26" ht="14">
      <c r="A233" s="83" t="s">
        <v>49</v>
      </c>
      <c r="B233">
        <f t="shared" si="30"/>
        <v>135.57741599999994</v>
      </c>
      <c r="G233" s="83" t="s">
        <v>49</v>
      </c>
      <c r="H233">
        <f t="shared" si="31"/>
        <v>76.847394000000037</v>
      </c>
      <c r="M233" s="83" t="s">
        <v>49</v>
      </c>
      <c r="N233">
        <f t="shared" si="32"/>
        <v>0</v>
      </c>
      <c r="S233" s="83" t="s">
        <v>49</v>
      </c>
      <c r="T233">
        <f t="shared" si="33"/>
        <v>0</v>
      </c>
      <c r="Y233" s="83" t="s">
        <v>49</v>
      </c>
      <c r="Z233">
        <f t="shared" si="34"/>
        <v>0</v>
      </c>
    </row>
    <row r="234" spans="1:26" ht="14">
      <c r="A234" s="83" t="s">
        <v>50</v>
      </c>
      <c r="B234">
        <f t="shared" si="30"/>
        <v>409.92619199999979</v>
      </c>
      <c r="G234" s="83" t="s">
        <v>50</v>
      </c>
      <c r="H234">
        <f t="shared" si="31"/>
        <v>407.07642299999975</v>
      </c>
      <c r="M234" s="83" t="s">
        <v>50</v>
      </c>
      <c r="N234">
        <f t="shared" si="32"/>
        <v>0</v>
      </c>
      <c r="S234" s="83" t="s">
        <v>50</v>
      </c>
      <c r="T234">
        <f t="shared" si="33"/>
        <v>0</v>
      </c>
      <c r="Y234" s="83" t="s">
        <v>50</v>
      </c>
      <c r="Z234">
        <f t="shared" si="34"/>
        <v>0</v>
      </c>
    </row>
    <row r="235" spans="1:26" ht="14">
      <c r="A235" s="83" t="s">
        <v>186</v>
      </c>
      <c r="B235">
        <f t="shared" si="30"/>
        <v>14.47362</v>
      </c>
      <c r="G235" s="83" t="s">
        <v>186</v>
      </c>
      <c r="H235">
        <f t="shared" si="31"/>
        <v>12.27468</v>
      </c>
      <c r="M235" s="83" t="s">
        <v>186</v>
      </c>
      <c r="N235">
        <f t="shared" si="32"/>
        <v>0</v>
      </c>
      <c r="S235" s="83" t="s">
        <v>186</v>
      </c>
      <c r="T235">
        <f t="shared" si="33"/>
        <v>0</v>
      </c>
      <c r="Y235" s="83" t="s">
        <v>186</v>
      </c>
      <c r="Z235">
        <f t="shared" si="34"/>
        <v>0</v>
      </c>
    </row>
    <row r="236" spans="1:26" ht="14">
      <c r="A236" s="83" t="s">
        <v>187</v>
      </c>
      <c r="B236">
        <f t="shared" si="30"/>
        <v>0</v>
      </c>
      <c r="G236" s="83" t="s">
        <v>187</v>
      </c>
      <c r="H236">
        <f t="shared" si="31"/>
        <v>0</v>
      </c>
      <c r="M236" s="83" t="s">
        <v>187</v>
      </c>
      <c r="N236">
        <f t="shared" si="32"/>
        <v>0</v>
      </c>
      <c r="S236" s="83" t="s">
        <v>187</v>
      </c>
      <c r="T236">
        <f t="shared" si="33"/>
        <v>0</v>
      </c>
      <c r="Y236" s="83" t="s">
        <v>187</v>
      </c>
      <c r="Z236">
        <f t="shared" si="34"/>
        <v>0</v>
      </c>
    </row>
    <row r="237" spans="1:26" ht="14">
      <c r="A237" s="83" t="s">
        <v>188</v>
      </c>
      <c r="B237">
        <f t="shared" si="30"/>
        <v>3.1</v>
      </c>
      <c r="G237" s="83" t="s">
        <v>188</v>
      </c>
      <c r="H237">
        <f t="shared" si="31"/>
        <v>11.78</v>
      </c>
      <c r="M237" s="83" t="s">
        <v>188</v>
      </c>
      <c r="N237">
        <f t="shared" si="32"/>
        <v>0</v>
      </c>
      <c r="S237" s="83" t="s">
        <v>188</v>
      </c>
      <c r="T237">
        <f t="shared" si="33"/>
        <v>0</v>
      </c>
      <c r="Y237" s="83" t="s">
        <v>188</v>
      </c>
      <c r="Z237">
        <f t="shared" si="34"/>
        <v>0</v>
      </c>
    </row>
    <row r="238" spans="1:26" ht="14">
      <c r="A238" s="83" t="s">
        <v>189</v>
      </c>
      <c r="B238">
        <f t="shared" si="30"/>
        <v>3.6599999999999997</v>
      </c>
      <c r="G238" s="83" t="s">
        <v>189</v>
      </c>
      <c r="H238">
        <f t="shared" si="31"/>
        <v>1.22</v>
      </c>
      <c r="M238" s="83" t="s">
        <v>189</v>
      </c>
      <c r="N238">
        <f t="shared" si="32"/>
        <v>0</v>
      </c>
      <c r="S238" s="83" t="s">
        <v>189</v>
      </c>
      <c r="T238">
        <f t="shared" si="33"/>
        <v>0</v>
      </c>
      <c r="Y238" s="83" t="s">
        <v>189</v>
      </c>
      <c r="Z238">
        <f t="shared" si="34"/>
        <v>0</v>
      </c>
    </row>
    <row r="239" spans="1:26" ht="14">
      <c r="A239" s="83" t="s">
        <v>190</v>
      </c>
      <c r="B239">
        <f t="shared" si="30"/>
        <v>45.558325499999938</v>
      </c>
      <c r="G239" s="83" t="s">
        <v>190</v>
      </c>
      <c r="H239">
        <f t="shared" si="31"/>
        <v>39.457962499999972</v>
      </c>
      <c r="M239" s="83" t="s">
        <v>190</v>
      </c>
      <c r="N239">
        <f t="shared" si="32"/>
        <v>0</v>
      </c>
      <c r="S239" s="83" t="s">
        <v>190</v>
      </c>
      <c r="T239">
        <f t="shared" si="33"/>
        <v>0</v>
      </c>
      <c r="Y239" s="83" t="s">
        <v>190</v>
      </c>
      <c r="Z239">
        <f t="shared" si="34"/>
        <v>0</v>
      </c>
    </row>
    <row r="240" spans="1:26" ht="14">
      <c r="A240" s="83" t="s">
        <v>191</v>
      </c>
      <c r="B240">
        <f t="shared" si="30"/>
        <v>0</v>
      </c>
      <c r="G240" s="83" t="s">
        <v>191</v>
      </c>
      <c r="H240">
        <f t="shared" si="31"/>
        <v>0</v>
      </c>
      <c r="M240" s="83" t="s">
        <v>191</v>
      </c>
      <c r="N240">
        <f t="shared" si="32"/>
        <v>0</v>
      </c>
      <c r="S240" s="83" t="s">
        <v>191</v>
      </c>
      <c r="T240">
        <f t="shared" si="33"/>
        <v>0</v>
      </c>
      <c r="Y240" s="83" t="s">
        <v>191</v>
      </c>
      <c r="Z240">
        <f t="shared" si="34"/>
        <v>0</v>
      </c>
    </row>
    <row r="241" spans="1:26" ht="14">
      <c r="A241" s="83" t="s">
        <v>192</v>
      </c>
      <c r="B241">
        <f t="shared" si="30"/>
        <v>0</v>
      </c>
      <c r="G241" s="83" t="s">
        <v>192</v>
      </c>
      <c r="H241">
        <f t="shared" si="31"/>
        <v>0</v>
      </c>
      <c r="M241" s="83" t="s">
        <v>192</v>
      </c>
      <c r="N241">
        <f t="shared" si="32"/>
        <v>0</v>
      </c>
      <c r="S241" s="83" t="s">
        <v>192</v>
      </c>
      <c r="T241">
        <f t="shared" si="33"/>
        <v>0</v>
      </c>
      <c r="Y241" s="83" t="s">
        <v>192</v>
      </c>
      <c r="Z241">
        <f t="shared" si="34"/>
        <v>0</v>
      </c>
    </row>
    <row r="242" spans="1:26" ht="14">
      <c r="A242" s="83" t="s">
        <v>193</v>
      </c>
      <c r="B242">
        <f t="shared" si="30"/>
        <v>0</v>
      </c>
      <c r="G242" s="83" t="s">
        <v>193</v>
      </c>
      <c r="H242">
        <f t="shared" si="31"/>
        <v>0</v>
      </c>
      <c r="M242" s="83" t="s">
        <v>193</v>
      </c>
      <c r="N242">
        <f t="shared" si="32"/>
        <v>0</v>
      </c>
      <c r="S242" s="83" t="s">
        <v>193</v>
      </c>
      <c r="T242">
        <f t="shared" si="33"/>
        <v>0</v>
      </c>
      <c r="Y242" s="83" t="s">
        <v>193</v>
      </c>
      <c r="Z242">
        <f t="shared" si="34"/>
        <v>0</v>
      </c>
    </row>
    <row r="243" spans="1:26" ht="14">
      <c r="A243" s="83" t="s">
        <v>72</v>
      </c>
      <c r="B243">
        <f t="shared" si="30"/>
        <v>3611.5797120000543</v>
      </c>
      <c r="G243" s="83" t="s">
        <v>72</v>
      </c>
      <c r="H243">
        <f t="shared" si="31"/>
        <v>2886.6783270000433</v>
      </c>
      <c r="M243" s="83" t="s">
        <v>72</v>
      </c>
      <c r="N243">
        <f t="shared" si="32"/>
        <v>0</v>
      </c>
      <c r="S243" s="83" t="s">
        <v>72</v>
      </c>
      <c r="T243">
        <f t="shared" si="33"/>
        <v>0</v>
      </c>
      <c r="Y243" s="83" t="s">
        <v>72</v>
      </c>
      <c r="Z243">
        <f t="shared" si="34"/>
        <v>0</v>
      </c>
    </row>
    <row r="244" spans="1:26" ht="14">
      <c r="A244" s="83" t="s">
        <v>199</v>
      </c>
      <c r="B244">
        <f t="shared" si="30"/>
        <v>21946.500000002448</v>
      </c>
      <c r="G244" s="83" t="s">
        <v>199</v>
      </c>
      <c r="H244">
        <f t="shared" si="31"/>
        <v>21346.620000002466</v>
      </c>
      <c r="M244" s="83" t="s">
        <v>199</v>
      </c>
      <c r="N244">
        <f t="shared" si="32"/>
        <v>0</v>
      </c>
      <c r="S244" s="83" t="s">
        <v>199</v>
      </c>
      <c r="T244">
        <f t="shared" si="33"/>
        <v>0</v>
      </c>
      <c r="Y244" s="83" t="s">
        <v>199</v>
      </c>
      <c r="Z244">
        <f t="shared" si="34"/>
        <v>0</v>
      </c>
    </row>
    <row r="245" spans="1:26" ht="14">
      <c r="A245" s="83" t="s">
        <v>194</v>
      </c>
      <c r="B245">
        <f t="shared" si="30"/>
        <v>0</v>
      </c>
      <c r="G245" s="83" t="s">
        <v>194</v>
      </c>
      <c r="H245">
        <f t="shared" si="31"/>
        <v>0</v>
      </c>
      <c r="M245" s="83" t="s">
        <v>194</v>
      </c>
      <c r="N245">
        <f t="shared" si="32"/>
        <v>0</v>
      </c>
      <c r="S245" s="83" t="s">
        <v>194</v>
      </c>
      <c r="T245">
        <f t="shared" si="33"/>
        <v>0</v>
      </c>
      <c r="Y245" s="83" t="s">
        <v>194</v>
      </c>
      <c r="Z245">
        <f t="shared" si="34"/>
        <v>0</v>
      </c>
    </row>
    <row r="246" spans="1:26" ht="14">
      <c r="A246" s="83" t="s">
        <v>195</v>
      </c>
      <c r="B246">
        <f t="shared" si="30"/>
        <v>6.1000000000000005</v>
      </c>
      <c r="G246" s="83" t="s">
        <v>195</v>
      </c>
      <c r="H246">
        <f t="shared" si="31"/>
        <v>0</v>
      </c>
      <c r="M246" s="83" t="s">
        <v>195</v>
      </c>
      <c r="N246">
        <f t="shared" si="32"/>
        <v>0</v>
      </c>
      <c r="S246" s="83" t="s">
        <v>195</v>
      </c>
      <c r="T246">
        <f t="shared" si="33"/>
        <v>0</v>
      </c>
      <c r="Y246" s="83" t="s">
        <v>195</v>
      </c>
      <c r="Z246">
        <f t="shared" si="34"/>
        <v>0</v>
      </c>
    </row>
    <row r="247" spans="1:26" ht="14">
      <c r="A247" s="83" t="s">
        <v>196</v>
      </c>
      <c r="B247">
        <f t="shared" si="30"/>
        <v>0.62</v>
      </c>
      <c r="G247" s="83" t="s">
        <v>196</v>
      </c>
      <c r="H247">
        <f t="shared" si="31"/>
        <v>0.62</v>
      </c>
      <c r="M247" s="83" t="s">
        <v>196</v>
      </c>
      <c r="N247">
        <f t="shared" si="32"/>
        <v>0</v>
      </c>
      <c r="S247" s="83" t="s">
        <v>196</v>
      </c>
      <c r="T247">
        <f t="shared" si="33"/>
        <v>0</v>
      </c>
      <c r="Y247" s="83" t="s">
        <v>196</v>
      </c>
      <c r="Z247">
        <f t="shared" si="34"/>
        <v>0</v>
      </c>
    </row>
    <row r="248" spans="1:26" ht="14">
      <c r="A248" s="83" t="s">
        <v>197</v>
      </c>
      <c r="B248">
        <f t="shared" si="30"/>
        <v>0</v>
      </c>
      <c r="G248" s="83" t="s">
        <v>197</v>
      </c>
      <c r="H248">
        <f t="shared" si="31"/>
        <v>0</v>
      </c>
      <c r="M248" s="83" t="s">
        <v>197</v>
      </c>
      <c r="N248">
        <f t="shared" si="32"/>
        <v>0</v>
      </c>
      <c r="S248" s="83" t="s">
        <v>197</v>
      </c>
      <c r="T248">
        <f t="shared" si="33"/>
        <v>0</v>
      </c>
      <c r="Y248" s="83" t="s">
        <v>197</v>
      </c>
      <c r="Z248">
        <f t="shared" si="34"/>
        <v>0</v>
      </c>
    </row>
    <row r="249" spans="1:26" ht="14">
      <c r="A249" s="83" t="s">
        <v>198</v>
      </c>
      <c r="B249">
        <f t="shared" si="30"/>
        <v>0</v>
      </c>
      <c r="G249" s="83" t="s">
        <v>198</v>
      </c>
      <c r="H249">
        <f t="shared" si="31"/>
        <v>0</v>
      </c>
      <c r="M249" s="83" t="s">
        <v>198</v>
      </c>
      <c r="N249">
        <f t="shared" si="32"/>
        <v>0</v>
      </c>
      <c r="S249" s="83" t="s">
        <v>198</v>
      </c>
      <c r="T249">
        <f t="shared" si="33"/>
        <v>0</v>
      </c>
      <c r="Y249" s="83" t="s">
        <v>198</v>
      </c>
      <c r="Z249">
        <f t="shared" si="34"/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249977111117893"/>
  </sheetPr>
  <dimension ref="A1:X48"/>
  <sheetViews>
    <sheetView zoomScale="85" zoomScaleNormal="85" zoomScalePageLayoutView="85" workbookViewId="0">
      <selection activeCell="B21" sqref="B21"/>
    </sheetView>
  </sheetViews>
  <sheetFormatPr baseColWidth="10" defaultColWidth="8.83203125" defaultRowHeight="14" x14ac:dyDescent="0"/>
  <cols>
    <col min="1" max="1" width="28.1640625" style="10" bestFit="1" customWidth="1"/>
    <col min="2" max="2" width="13.5" style="10" bestFit="1" customWidth="1"/>
    <col min="3" max="3" width="11.5" style="10" bestFit="1" customWidth="1"/>
    <col min="4" max="4" width="3.1640625" style="9" customWidth="1"/>
    <col min="5" max="5" width="21.5" style="10" bestFit="1" customWidth="1"/>
    <col min="6" max="6" width="13.5" style="10" bestFit="1" customWidth="1"/>
    <col min="7" max="7" width="11.5" style="10" bestFit="1" customWidth="1"/>
    <col min="8" max="8" width="3.1640625" style="9" customWidth="1"/>
    <col min="9" max="9" width="22" style="10" bestFit="1" customWidth="1"/>
    <col min="10" max="10" width="13.5" style="10" bestFit="1" customWidth="1"/>
    <col min="11" max="11" width="11.5" style="10" bestFit="1" customWidth="1"/>
    <col min="12" max="12" width="3.1640625" style="9" customWidth="1"/>
    <col min="13" max="13" width="20.5" style="10" customWidth="1"/>
    <col min="14" max="14" width="13.5" style="10" bestFit="1" customWidth="1"/>
    <col min="15" max="15" width="12.5" style="10" bestFit="1" customWidth="1"/>
    <col min="16" max="16" width="3.1640625" style="9" customWidth="1"/>
    <col min="17" max="17" width="19.1640625" style="10" bestFit="1" customWidth="1"/>
    <col min="18" max="18" width="13.5" style="10" bestFit="1" customWidth="1"/>
    <col min="19" max="19" width="11.5" style="10" bestFit="1" customWidth="1"/>
    <col min="20" max="20" width="3.1640625" style="9" customWidth="1"/>
    <col min="23" max="24" width="10.83203125" bestFit="1" customWidth="1"/>
  </cols>
  <sheetData>
    <row r="1" spans="1:24">
      <c r="A1" s="4" t="s">
        <v>16</v>
      </c>
      <c r="B1" s="264" t="s">
        <v>320</v>
      </c>
      <c r="C1" s="264" t="s">
        <v>321</v>
      </c>
      <c r="D1" s="5"/>
      <c r="E1" s="4" t="s">
        <v>17</v>
      </c>
      <c r="F1" s="4"/>
      <c r="G1" s="4"/>
      <c r="H1" s="5"/>
      <c r="I1" s="4" t="s">
        <v>18</v>
      </c>
      <c r="J1" s="4"/>
      <c r="K1" s="4"/>
      <c r="L1" s="5"/>
      <c r="M1" s="4" t="s">
        <v>19</v>
      </c>
      <c r="N1" s="4"/>
      <c r="O1" s="4"/>
      <c r="P1" s="5"/>
      <c r="Q1" s="4" t="s">
        <v>20</v>
      </c>
      <c r="R1" s="4"/>
      <c r="S1" s="4"/>
      <c r="T1" s="5"/>
    </row>
    <row r="2" spans="1:24">
      <c r="A2"/>
      <c r="B2" s="48"/>
      <c r="C2" s="48"/>
      <c r="D2" s="5"/>
      <c r="E2"/>
      <c r="F2" s="48"/>
      <c r="G2" s="48"/>
      <c r="H2" s="5"/>
      <c r="I2"/>
      <c r="J2" s="48"/>
      <c r="K2" s="48"/>
      <c r="L2" s="5"/>
      <c r="M2"/>
      <c r="N2" s="48"/>
      <c r="O2" s="48"/>
      <c r="P2" s="5"/>
      <c r="Q2"/>
      <c r="R2" s="48"/>
      <c r="S2" s="48"/>
      <c r="T2" s="5"/>
    </row>
    <row r="3" spans="1:24">
      <c r="A3"/>
      <c r="B3" s="31"/>
      <c r="C3" s="31"/>
      <c r="E3"/>
      <c r="F3" s="31"/>
      <c r="G3" s="31"/>
      <c r="I3"/>
      <c r="J3" s="31"/>
      <c r="K3" s="31"/>
      <c r="M3"/>
      <c r="N3" s="31"/>
      <c r="O3" s="31"/>
      <c r="Q3"/>
      <c r="R3" s="31"/>
      <c r="S3" s="31"/>
    </row>
    <row r="4" spans="1:24">
      <c r="A4"/>
      <c r="B4" s="31"/>
      <c r="C4" s="31"/>
      <c r="E4"/>
      <c r="F4" s="31"/>
      <c r="G4" s="31"/>
      <c r="I4"/>
      <c r="J4" s="31"/>
      <c r="K4" s="31"/>
      <c r="M4"/>
      <c r="N4" s="31"/>
      <c r="O4" s="31"/>
      <c r="Q4"/>
      <c r="R4" s="31"/>
      <c r="S4" s="31"/>
    </row>
    <row r="5" spans="1:24">
      <c r="A5"/>
      <c r="B5" s="31"/>
      <c r="C5" s="31"/>
      <c r="E5"/>
      <c r="F5" s="31"/>
      <c r="G5" s="31"/>
      <c r="I5"/>
      <c r="J5" s="31"/>
      <c r="K5" s="31"/>
      <c r="M5"/>
      <c r="N5" s="31"/>
      <c r="O5" s="31"/>
      <c r="Q5"/>
      <c r="R5" s="31"/>
      <c r="S5" s="31"/>
    </row>
    <row r="6" spans="1:24">
      <c r="A6"/>
      <c r="B6" s="31"/>
      <c r="C6" s="31"/>
      <c r="E6"/>
      <c r="F6" s="31"/>
      <c r="G6" s="31"/>
      <c r="I6"/>
      <c r="J6" s="31"/>
      <c r="K6" s="31"/>
      <c r="M6"/>
      <c r="N6" s="31"/>
      <c r="O6" s="31"/>
      <c r="Q6"/>
      <c r="R6" s="31"/>
      <c r="S6" s="31"/>
      <c r="X6" s="31"/>
    </row>
    <row r="7" spans="1:24">
      <c r="A7"/>
      <c r="C7" s="385"/>
      <c r="E7"/>
      <c r="F7" s="409"/>
      <c r="G7" s="173"/>
      <c r="I7"/>
      <c r="J7" s="73"/>
      <c r="K7" s="263"/>
      <c r="M7"/>
      <c r="N7" s="385"/>
      <c r="O7" s="173"/>
      <c r="Q7"/>
      <c r="R7" s="173"/>
      <c r="S7" s="173"/>
    </row>
    <row r="8" spans="1:24">
      <c r="A8"/>
      <c r="B8" s="31"/>
      <c r="C8" s="31"/>
      <c r="E8"/>
      <c r="F8" s="31"/>
      <c r="G8" s="31"/>
      <c r="I8"/>
      <c r="J8" s="31"/>
      <c r="K8" s="31"/>
      <c r="M8"/>
      <c r="N8" s="31"/>
      <c r="O8" s="31"/>
      <c r="Q8"/>
      <c r="R8" s="31"/>
      <c r="S8" s="31"/>
      <c r="W8" s="31"/>
    </row>
    <row r="9" spans="1:24">
      <c r="A9"/>
      <c r="B9" s="31"/>
      <c r="C9" s="31"/>
      <c r="D9" s="38"/>
      <c r="E9"/>
      <c r="F9" s="31"/>
      <c r="G9" s="31"/>
      <c r="H9" s="38"/>
      <c r="I9"/>
      <c r="J9" s="31"/>
      <c r="K9" s="31"/>
      <c r="L9" s="38"/>
      <c r="M9"/>
      <c r="N9" s="31"/>
      <c r="O9" s="31"/>
      <c r="P9" s="38"/>
      <c r="Q9"/>
      <c r="R9" s="31"/>
      <c r="S9" s="31"/>
      <c r="T9" s="38"/>
    </row>
    <row r="10" spans="1:24">
      <c r="A10"/>
      <c r="B10" s="31"/>
      <c r="C10" s="31"/>
      <c r="E10"/>
      <c r="F10" s="31"/>
      <c r="G10" s="31"/>
      <c r="I10"/>
      <c r="J10" s="31"/>
      <c r="K10" s="31"/>
      <c r="M10"/>
      <c r="N10" s="31"/>
      <c r="O10" s="31"/>
      <c r="Q10"/>
      <c r="R10" s="31"/>
      <c r="S10" s="31"/>
    </row>
    <row r="11" spans="1:24">
      <c r="A11"/>
      <c r="B11" s="31"/>
      <c r="C11" s="31"/>
      <c r="E11"/>
      <c r="F11" s="31"/>
      <c r="G11" s="31"/>
      <c r="I11"/>
      <c r="J11" s="31"/>
      <c r="K11" s="31"/>
      <c r="M11"/>
      <c r="N11" s="31"/>
      <c r="O11" s="31"/>
      <c r="Q11"/>
      <c r="R11" s="31"/>
      <c r="S11" s="31"/>
    </row>
    <row r="12" spans="1:24">
      <c r="A12"/>
      <c r="B12" s="31"/>
      <c r="C12" s="31"/>
      <c r="E12"/>
      <c r="F12" s="31"/>
      <c r="G12" s="31"/>
      <c r="I12"/>
      <c r="J12" s="31"/>
      <c r="K12" s="31"/>
      <c r="M12"/>
      <c r="N12" s="31"/>
      <c r="O12" s="31"/>
      <c r="Q12"/>
      <c r="R12" s="31"/>
      <c r="S12" s="31"/>
      <c r="T12" s="10"/>
    </row>
    <row r="13" spans="1:24">
      <c r="A13"/>
      <c r="B13" s="31"/>
      <c r="C13" s="31"/>
      <c r="E13"/>
      <c r="F13" s="31"/>
      <c r="G13" s="31"/>
      <c r="I13"/>
      <c r="J13" s="31"/>
      <c r="K13" s="31"/>
      <c r="M13"/>
      <c r="N13" s="31"/>
      <c r="O13" s="31"/>
      <c r="Q13"/>
      <c r="R13" s="31"/>
      <c r="S13" s="31"/>
    </row>
    <row r="14" spans="1:24">
      <c r="A14"/>
      <c r="B14" s="31"/>
      <c r="C14" s="31"/>
      <c r="E14"/>
      <c r="F14" s="31"/>
      <c r="G14" s="31"/>
      <c r="I14"/>
      <c r="J14" s="31"/>
      <c r="K14" s="31"/>
      <c r="M14"/>
      <c r="N14" s="31"/>
      <c r="O14" s="31"/>
      <c r="Q14"/>
      <c r="R14" s="31"/>
      <c r="S14" s="31"/>
    </row>
    <row r="15" spans="1:24">
      <c r="A15"/>
      <c r="B15" s="31"/>
      <c r="C15" s="31"/>
      <c r="E15"/>
      <c r="F15" s="31"/>
      <c r="G15" s="31"/>
      <c r="I15"/>
      <c r="J15" s="31"/>
      <c r="K15" s="31"/>
      <c r="M15"/>
      <c r="N15" s="31"/>
      <c r="O15" s="31"/>
      <c r="Q15"/>
      <c r="R15" s="31"/>
      <c r="S15" s="31"/>
    </row>
    <row r="16" spans="1:24">
      <c r="A16"/>
      <c r="B16" s="31"/>
      <c r="C16" s="31"/>
      <c r="E16"/>
      <c r="F16" s="31"/>
      <c r="G16" s="31"/>
      <c r="I16"/>
      <c r="J16" s="31"/>
      <c r="K16" s="31"/>
      <c r="M16"/>
      <c r="N16" s="31"/>
      <c r="O16" s="31"/>
      <c r="Q16"/>
      <c r="R16" s="31"/>
      <c r="S16" s="31"/>
    </row>
    <row r="17" spans="1:20">
      <c r="A17"/>
      <c r="B17" s="31"/>
      <c r="C17" s="31"/>
      <c r="E17"/>
      <c r="F17" s="31"/>
      <c r="G17" s="31"/>
      <c r="I17"/>
      <c r="J17" s="31"/>
      <c r="K17" s="31"/>
      <c r="M17"/>
      <c r="N17" s="31"/>
      <c r="O17" s="31"/>
      <c r="Q17"/>
      <c r="R17" s="31"/>
      <c r="S17" s="31"/>
    </row>
    <row r="18" spans="1:20">
      <c r="A18"/>
      <c r="B18" s="31"/>
      <c r="C18" s="31"/>
      <c r="E18"/>
      <c r="F18" s="31"/>
      <c r="G18" s="31"/>
      <c r="I18"/>
      <c r="J18" s="31"/>
      <c r="K18" s="31"/>
      <c r="M18"/>
      <c r="N18" s="31"/>
      <c r="O18" s="31"/>
      <c r="Q18"/>
      <c r="R18" s="31"/>
      <c r="S18" s="31"/>
    </row>
    <row r="19" spans="1:20">
      <c r="A19"/>
      <c r="B19" s="31"/>
      <c r="C19" s="31"/>
      <c r="E19"/>
      <c r="F19" s="31"/>
      <c r="G19" s="31"/>
      <c r="I19"/>
      <c r="J19" s="31"/>
      <c r="K19" s="31"/>
      <c r="M19"/>
      <c r="N19" s="31"/>
      <c r="O19" s="31"/>
      <c r="Q19"/>
      <c r="R19" s="31"/>
      <c r="S19" s="31"/>
      <c r="T19" s="10"/>
    </row>
    <row r="20" spans="1:20">
      <c r="A20" s="6"/>
      <c r="B20" s="7"/>
      <c r="C20" s="7"/>
      <c r="E20" s="6"/>
      <c r="F20" s="7"/>
      <c r="G20" s="7"/>
      <c r="I20" s="6"/>
      <c r="J20" s="7"/>
      <c r="K20" s="7"/>
      <c r="M20" s="6"/>
      <c r="N20" s="7"/>
      <c r="O20" s="7"/>
      <c r="T20" s="10"/>
    </row>
    <row r="21" spans="1:20">
      <c r="A21" s="14" t="s">
        <v>22</v>
      </c>
      <c r="B21" s="409"/>
      <c r="C21" s="15"/>
      <c r="E21" s="14" t="s">
        <v>22</v>
      </c>
      <c r="F21" s="73"/>
      <c r="G21" s="15"/>
      <c r="I21" s="12" t="s">
        <v>21</v>
      </c>
      <c r="J21" s="437"/>
      <c r="K21" s="15"/>
      <c r="M21" s="12" t="s">
        <v>21</v>
      </c>
      <c r="N21" s="73"/>
      <c r="O21" s="15"/>
      <c r="Q21" s="12" t="s">
        <v>21</v>
      </c>
      <c r="R21" s="178"/>
      <c r="S21" s="15"/>
      <c r="T21" s="10"/>
    </row>
    <row r="23" spans="1:20">
      <c r="A23" s="45"/>
      <c r="B23" s="46"/>
      <c r="C23" s="46"/>
      <c r="E23" s="45"/>
      <c r="F23" s="46"/>
      <c r="G23" s="46"/>
      <c r="I23" s="45"/>
      <c r="J23" s="46"/>
      <c r="K23" s="46"/>
      <c r="M23" s="45"/>
      <c r="N23" s="46"/>
      <c r="O23" s="46"/>
      <c r="Q23" s="45"/>
      <c r="R23" s="46"/>
      <c r="S23" s="46"/>
      <c r="T23" s="47"/>
    </row>
    <row r="24" spans="1:20">
      <c r="Q24" s="21"/>
      <c r="R24" s="22"/>
      <c r="S24" s="22"/>
    </row>
    <row r="26" spans="1:20" s="443" customFormat="1">
      <c r="A26" s="455" t="s">
        <v>32</v>
      </c>
      <c r="B26" s="456"/>
      <c r="C26" s="456"/>
      <c r="D26" s="456"/>
      <c r="E26" s="456"/>
      <c r="F26" s="456"/>
      <c r="G26" s="456"/>
      <c r="H26" s="456"/>
      <c r="I26" s="456"/>
      <c r="J26" s="456"/>
      <c r="K26" s="456"/>
      <c r="L26" s="456"/>
      <c r="M26" s="456"/>
      <c r="N26" s="456"/>
      <c r="O26" s="456"/>
      <c r="P26" s="456"/>
      <c r="Q26" s="456"/>
      <c r="R26" s="456"/>
      <c r="S26" s="456"/>
      <c r="T26" s="457"/>
    </row>
    <row r="27" spans="1:20" s="443" customFormat="1">
      <c r="A27" s="456"/>
      <c r="B27" s="456"/>
      <c r="C27" s="456"/>
      <c r="D27" s="456"/>
      <c r="E27" s="456"/>
      <c r="F27" s="456"/>
      <c r="G27" s="456"/>
      <c r="H27" s="456"/>
      <c r="I27" s="456"/>
      <c r="J27" s="456"/>
      <c r="K27" s="456"/>
      <c r="L27" s="456"/>
      <c r="M27" s="456"/>
      <c r="N27" s="456"/>
      <c r="O27" s="456"/>
      <c r="P27" s="456"/>
      <c r="Q27" s="456"/>
      <c r="R27" s="456"/>
      <c r="S27" s="456"/>
      <c r="T27" s="457"/>
    </row>
    <row r="28" spans="1:20" s="443" customFormat="1">
      <c r="A28" s="443" t="s">
        <v>79</v>
      </c>
      <c r="B28" s="458" t="str">
        <f>IF(B2+C2&gt;0, B2+C2, "")</f>
        <v/>
      </c>
      <c r="C28" s="458" t="str">
        <f>IF(C2+D2&gt;0, C2+D2, "")</f>
        <v/>
      </c>
      <c r="D28" s="456"/>
      <c r="E28" s="443" t="s">
        <v>79</v>
      </c>
      <c r="F28" s="458" t="str">
        <f>IF(F2+G2&gt;0, F2+G2, "")</f>
        <v/>
      </c>
      <c r="G28" s="458" t="str">
        <f>IF(G2+H2&gt;0, G2+H2, "")</f>
        <v/>
      </c>
      <c r="H28" s="456"/>
      <c r="I28" s="443" t="s">
        <v>79</v>
      </c>
      <c r="J28" s="458" t="str">
        <f>IF(J2+K2&gt;0, J2+K2, "")</f>
        <v/>
      </c>
      <c r="K28" s="458" t="str">
        <f>IF(K2+L2&gt;0, K2+L2, "")</f>
        <v/>
      </c>
      <c r="L28" s="456"/>
      <c r="M28" s="443" t="s">
        <v>79</v>
      </c>
      <c r="N28" s="458" t="str">
        <f>IF(N2+O2&gt;0, N2+O2, "")</f>
        <v/>
      </c>
      <c r="O28" s="458" t="str">
        <f>IF(O2+P2&gt;0, O2+P2, "")</f>
        <v/>
      </c>
      <c r="P28" s="456"/>
      <c r="Q28" s="443" t="s">
        <v>79</v>
      </c>
      <c r="R28" s="458" t="str">
        <f>IF(R2+S2&gt;0, R2+S2, "")</f>
        <v/>
      </c>
      <c r="S28" s="458" t="str">
        <f>IF(S2+T2&gt;0, S2+T2, "")</f>
        <v/>
      </c>
      <c r="T28" s="457"/>
    </row>
    <row r="29" spans="1:20" s="443" customFormat="1">
      <c r="A29" s="443" t="s">
        <v>34</v>
      </c>
      <c r="B29" s="458" t="str">
        <f t="shared" ref="B29:B45" si="0">IF(B3+C3&gt;0, B3+C3, "")</f>
        <v/>
      </c>
      <c r="C29" s="458"/>
      <c r="D29" s="456"/>
      <c r="E29" s="443" t="s">
        <v>34</v>
      </c>
      <c r="F29" s="458" t="str">
        <f t="shared" ref="F29:F45" si="1">IF(F3+G3&gt;0, F3+G3, "")</f>
        <v/>
      </c>
      <c r="G29" s="458"/>
      <c r="H29" s="456"/>
      <c r="I29" s="443" t="s">
        <v>34</v>
      </c>
      <c r="J29" s="458" t="str">
        <f t="shared" ref="J29:J45" si="2">IF(J3+K3&gt;0, J3+K3, "")</f>
        <v/>
      </c>
      <c r="K29" s="458"/>
      <c r="L29" s="456"/>
      <c r="M29" s="443" t="s">
        <v>34</v>
      </c>
      <c r="N29" s="458" t="str">
        <f t="shared" ref="N29:N45" si="3">IF(N3+O3&gt;0, N3+O3, "")</f>
        <v/>
      </c>
      <c r="O29" s="458"/>
      <c r="P29" s="456"/>
      <c r="Q29" s="443" t="s">
        <v>34</v>
      </c>
      <c r="R29" s="458" t="str">
        <f t="shared" ref="R29:R45" si="4">IF(R3+S3&gt;0, R3+S3, "")</f>
        <v/>
      </c>
      <c r="S29" s="458"/>
      <c r="T29" s="457"/>
    </row>
    <row r="30" spans="1:20" s="443" customFormat="1">
      <c r="A30" s="443" t="s">
        <v>35</v>
      </c>
      <c r="B30" s="458" t="str">
        <f t="shared" si="0"/>
        <v/>
      </c>
      <c r="C30" s="458"/>
      <c r="D30" s="456"/>
      <c r="E30" s="443" t="s">
        <v>35</v>
      </c>
      <c r="F30" s="458" t="str">
        <f t="shared" si="1"/>
        <v/>
      </c>
      <c r="G30" s="458"/>
      <c r="H30" s="456"/>
      <c r="I30" s="443" t="s">
        <v>35</v>
      </c>
      <c r="J30" s="458" t="str">
        <f t="shared" si="2"/>
        <v/>
      </c>
      <c r="K30" s="458"/>
      <c r="L30" s="456"/>
      <c r="M30" s="443" t="s">
        <v>35</v>
      </c>
      <c r="N30" s="458" t="str">
        <f t="shared" si="3"/>
        <v/>
      </c>
      <c r="O30" s="458"/>
      <c r="P30" s="456"/>
      <c r="Q30" s="443" t="s">
        <v>35</v>
      </c>
      <c r="R30" s="458" t="str">
        <f t="shared" si="4"/>
        <v/>
      </c>
      <c r="S30" s="458"/>
      <c r="T30" s="457"/>
    </row>
    <row r="31" spans="1:20" s="443" customFormat="1">
      <c r="A31" s="443" t="s">
        <v>37</v>
      </c>
      <c r="B31" s="458" t="str">
        <f t="shared" si="0"/>
        <v/>
      </c>
      <c r="C31" s="458"/>
      <c r="D31" s="456"/>
      <c r="E31" s="443" t="s">
        <v>37</v>
      </c>
      <c r="F31" s="458" t="str">
        <f t="shared" si="1"/>
        <v/>
      </c>
      <c r="G31" s="458"/>
      <c r="H31" s="456"/>
      <c r="I31" s="443" t="s">
        <v>37</v>
      </c>
      <c r="J31" s="458" t="str">
        <f t="shared" si="2"/>
        <v/>
      </c>
      <c r="K31" s="458"/>
      <c r="L31" s="456"/>
      <c r="M31" s="443" t="s">
        <v>37</v>
      </c>
      <c r="N31" s="458" t="str">
        <f t="shared" si="3"/>
        <v/>
      </c>
      <c r="O31" s="458"/>
      <c r="P31" s="456"/>
      <c r="Q31" s="443" t="s">
        <v>37</v>
      </c>
      <c r="R31" s="458" t="str">
        <f t="shared" si="4"/>
        <v/>
      </c>
      <c r="S31" s="458"/>
      <c r="T31" s="457"/>
    </row>
    <row r="32" spans="1:20" s="443" customFormat="1">
      <c r="A32" s="443" t="s">
        <v>38</v>
      </c>
      <c r="B32" s="458" t="str">
        <f t="shared" si="0"/>
        <v/>
      </c>
      <c r="C32" s="458"/>
      <c r="D32" s="456"/>
      <c r="E32" s="443" t="s">
        <v>38</v>
      </c>
      <c r="F32" s="458" t="str">
        <f t="shared" si="1"/>
        <v/>
      </c>
      <c r="G32" s="458"/>
      <c r="H32" s="456"/>
      <c r="I32" s="443" t="s">
        <v>38</v>
      </c>
      <c r="J32" s="458" t="str">
        <f t="shared" si="2"/>
        <v/>
      </c>
      <c r="K32" s="458"/>
      <c r="L32" s="456"/>
      <c r="M32" s="443" t="s">
        <v>38</v>
      </c>
      <c r="N32" s="458" t="str">
        <f t="shared" si="3"/>
        <v/>
      </c>
      <c r="O32" s="458"/>
      <c r="P32" s="456"/>
      <c r="Q32" s="443" t="s">
        <v>38</v>
      </c>
      <c r="R32" s="458" t="str">
        <f t="shared" si="4"/>
        <v/>
      </c>
      <c r="S32" s="458"/>
      <c r="T32" s="457"/>
    </row>
    <row r="33" spans="1:20" s="443" customFormat="1">
      <c r="A33" s="443" t="s">
        <v>39</v>
      </c>
      <c r="B33" s="458" t="str">
        <f>IF(B21+C7&gt;0, B21+C7, "")</f>
        <v/>
      </c>
      <c r="C33" s="458"/>
      <c r="D33" s="456"/>
      <c r="E33" s="443" t="s">
        <v>39</v>
      </c>
      <c r="F33" s="458" t="str">
        <f t="shared" si="1"/>
        <v/>
      </c>
      <c r="G33" s="458"/>
      <c r="H33" s="456"/>
      <c r="I33" s="443" t="s">
        <v>39</v>
      </c>
      <c r="J33" s="458" t="str">
        <f t="shared" si="2"/>
        <v/>
      </c>
      <c r="K33" s="458"/>
      <c r="L33" s="456"/>
      <c r="M33" s="443" t="s">
        <v>39</v>
      </c>
      <c r="N33" s="458" t="str">
        <f t="shared" si="3"/>
        <v/>
      </c>
      <c r="O33" s="458"/>
      <c r="P33" s="456"/>
      <c r="Q33" s="443" t="s">
        <v>39</v>
      </c>
      <c r="R33" s="458" t="str">
        <f t="shared" si="4"/>
        <v/>
      </c>
      <c r="S33" s="458"/>
      <c r="T33" s="457"/>
    </row>
    <row r="34" spans="1:20" s="443" customFormat="1">
      <c r="A34" s="443" t="s">
        <v>40</v>
      </c>
      <c r="B34" s="458" t="str">
        <f t="shared" si="0"/>
        <v/>
      </c>
      <c r="C34" s="458"/>
      <c r="D34" s="456"/>
      <c r="E34" s="443" t="s">
        <v>40</v>
      </c>
      <c r="F34" s="458" t="str">
        <f t="shared" si="1"/>
        <v/>
      </c>
      <c r="G34" s="458"/>
      <c r="H34" s="456"/>
      <c r="I34" s="443" t="s">
        <v>40</v>
      </c>
      <c r="J34" s="458" t="str">
        <f t="shared" si="2"/>
        <v/>
      </c>
      <c r="K34" s="458"/>
      <c r="L34" s="456"/>
      <c r="M34" s="443" t="s">
        <v>40</v>
      </c>
      <c r="N34" s="458" t="str">
        <f t="shared" si="3"/>
        <v/>
      </c>
      <c r="O34" s="458"/>
      <c r="P34" s="456"/>
      <c r="Q34" s="443" t="s">
        <v>40</v>
      </c>
      <c r="R34" s="458" t="str">
        <f t="shared" si="4"/>
        <v/>
      </c>
      <c r="S34" s="458"/>
      <c r="T34" s="457"/>
    </row>
    <row r="35" spans="1:20" s="443" customFormat="1">
      <c r="A35" s="443" t="s">
        <v>42</v>
      </c>
      <c r="B35" s="458" t="str">
        <f t="shared" si="0"/>
        <v/>
      </c>
      <c r="C35" s="458"/>
      <c r="D35" s="456"/>
      <c r="E35" s="443" t="s">
        <v>42</v>
      </c>
      <c r="F35" s="458" t="str">
        <f t="shared" si="1"/>
        <v/>
      </c>
      <c r="G35" s="458"/>
      <c r="H35" s="456"/>
      <c r="I35" s="443" t="s">
        <v>42</v>
      </c>
      <c r="J35" s="458" t="str">
        <f t="shared" si="2"/>
        <v/>
      </c>
      <c r="K35" s="458"/>
      <c r="L35" s="456"/>
      <c r="M35" s="443" t="s">
        <v>42</v>
      </c>
      <c r="N35" s="458" t="str">
        <f t="shared" si="3"/>
        <v/>
      </c>
      <c r="O35" s="458"/>
      <c r="P35" s="456"/>
      <c r="Q35" s="443" t="s">
        <v>42</v>
      </c>
      <c r="R35" s="458" t="str">
        <f t="shared" si="4"/>
        <v/>
      </c>
      <c r="S35" s="458"/>
      <c r="T35" s="457"/>
    </row>
    <row r="36" spans="1:20" s="443" customFormat="1">
      <c r="A36" s="443" t="s">
        <v>11</v>
      </c>
      <c r="B36" s="458" t="str">
        <f t="shared" si="0"/>
        <v/>
      </c>
      <c r="C36" s="458"/>
      <c r="D36" s="456"/>
      <c r="E36" s="443" t="s">
        <v>11</v>
      </c>
      <c r="F36" s="458" t="str">
        <f t="shared" si="1"/>
        <v/>
      </c>
      <c r="G36" s="458"/>
      <c r="H36" s="456"/>
      <c r="I36" s="443" t="s">
        <v>11</v>
      </c>
      <c r="J36" s="458" t="str">
        <f t="shared" si="2"/>
        <v/>
      </c>
      <c r="K36" s="458"/>
      <c r="L36" s="456"/>
      <c r="M36" s="443" t="s">
        <v>11</v>
      </c>
      <c r="N36" s="458" t="str">
        <f t="shared" si="3"/>
        <v/>
      </c>
      <c r="O36" s="458"/>
      <c r="P36" s="456"/>
      <c r="Q36" s="443" t="s">
        <v>11</v>
      </c>
      <c r="R36" s="458" t="str">
        <f t="shared" si="4"/>
        <v/>
      </c>
      <c r="S36" s="458"/>
      <c r="T36" s="457"/>
    </row>
    <row r="37" spans="1:20" s="443" customFormat="1">
      <c r="A37" s="443" t="s">
        <v>43</v>
      </c>
      <c r="B37" s="458" t="str">
        <f t="shared" si="0"/>
        <v/>
      </c>
      <c r="C37" s="458"/>
      <c r="D37" s="456"/>
      <c r="E37" s="443" t="s">
        <v>43</v>
      </c>
      <c r="F37" s="458" t="str">
        <f t="shared" si="1"/>
        <v/>
      </c>
      <c r="G37" s="458"/>
      <c r="H37" s="456"/>
      <c r="I37" s="443" t="s">
        <v>43</v>
      </c>
      <c r="J37" s="458" t="str">
        <f t="shared" si="2"/>
        <v/>
      </c>
      <c r="K37" s="458"/>
      <c r="L37" s="456"/>
      <c r="M37" s="443" t="s">
        <v>43</v>
      </c>
      <c r="N37" s="458" t="str">
        <f t="shared" si="3"/>
        <v/>
      </c>
      <c r="O37" s="458"/>
      <c r="P37" s="456"/>
      <c r="Q37" s="443" t="s">
        <v>43</v>
      </c>
      <c r="R37" s="458" t="str">
        <f t="shared" si="4"/>
        <v/>
      </c>
      <c r="S37" s="458"/>
      <c r="T37" s="457"/>
    </row>
    <row r="38" spans="1:20" s="443" customFormat="1">
      <c r="A38" s="443" t="s">
        <v>74</v>
      </c>
      <c r="B38" s="458" t="str">
        <f t="shared" si="0"/>
        <v/>
      </c>
      <c r="C38" s="458"/>
      <c r="D38" s="456"/>
      <c r="E38" s="443" t="s">
        <v>74</v>
      </c>
      <c r="F38" s="458" t="str">
        <f t="shared" si="1"/>
        <v/>
      </c>
      <c r="G38" s="458"/>
      <c r="H38" s="456"/>
      <c r="I38" s="443" t="s">
        <v>74</v>
      </c>
      <c r="J38" s="458" t="str">
        <f t="shared" si="2"/>
        <v/>
      </c>
      <c r="K38" s="458"/>
      <c r="L38" s="456"/>
      <c r="M38" s="443" t="s">
        <v>74</v>
      </c>
      <c r="N38" s="458" t="str">
        <f t="shared" si="3"/>
        <v/>
      </c>
      <c r="O38" s="458"/>
      <c r="P38" s="456"/>
      <c r="Q38" s="443" t="s">
        <v>74</v>
      </c>
      <c r="R38" s="458" t="str">
        <f t="shared" si="4"/>
        <v/>
      </c>
      <c r="S38" s="458"/>
      <c r="T38" s="457"/>
    </row>
    <row r="39" spans="1:20" s="443" customFormat="1">
      <c r="A39" s="443" t="s">
        <v>44</v>
      </c>
      <c r="B39" s="458" t="str">
        <f t="shared" si="0"/>
        <v/>
      </c>
      <c r="C39" s="458"/>
      <c r="D39" s="456"/>
      <c r="E39" s="443" t="s">
        <v>44</v>
      </c>
      <c r="F39" s="458" t="str">
        <f t="shared" si="1"/>
        <v/>
      </c>
      <c r="G39" s="458"/>
      <c r="H39" s="456"/>
      <c r="I39" s="443" t="s">
        <v>44</v>
      </c>
      <c r="J39" s="458" t="str">
        <f t="shared" si="2"/>
        <v/>
      </c>
      <c r="K39" s="458"/>
      <c r="L39" s="456"/>
      <c r="M39" s="443" t="s">
        <v>44</v>
      </c>
      <c r="N39" s="458" t="str">
        <f t="shared" si="3"/>
        <v/>
      </c>
      <c r="O39" s="458"/>
      <c r="P39" s="456"/>
      <c r="Q39" s="443" t="s">
        <v>44</v>
      </c>
      <c r="R39" s="458" t="str">
        <f t="shared" si="4"/>
        <v/>
      </c>
      <c r="S39" s="458"/>
      <c r="T39" s="457"/>
    </row>
    <row r="40" spans="1:20" s="443" customFormat="1">
      <c r="A40" s="443" t="s">
        <v>46</v>
      </c>
      <c r="B40" s="458" t="str">
        <f t="shared" si="0"/>
        <v/>
      </c>
      <c r="C40" s="458"/>
      <c r="D40" s="456"/>
      <c r="E40" s="443" t="s">
        <v>46</v>
      </c>
      <c r="F40" s="458" t="str">
        <f t="shared" si="1"/>
        <v/>
      </c>
      <c r="G40" s="458"/>
      <c r="H40" s="456"/>
      <c r="I40" s="443" t="s">
        <v>46</v>
      </c>
      <c r="J40" s="458" t="str">
        <f t="shared" si="2"/>
        <v/>
      </c>
      <c r="K40" s="458"/>
      <c r="L40" s="456"/>
      <c r="M40" s="443" t="s">
        <v>46</v>
      </c>
      <c r="N40" s="458" t="str">
        <f t="shared" si="3"/>
        <v/>
      </c>
      <c r="O40" s="458"/>
      <c r="P40" s="456"/>
      <c r="Q40" s="443" t="s">
        <v>46</v>
      </c>
      <c r="R40" s="458" t="str">
        <f t="shared" si="4"/>
        <v/>
      </c>
      <c r="S40" s="458"/>
      <c r="T40" s="457"/>
    </row>
    <row r="41" spans="1:20" s="443" customFormat="1">
      <c r="A41" s="443" t="s">
        <v>47</v>
      </c>
      <c r="B41" s="458" t="str">
        <f t="shared" si="0"/>
        <v/>
      </c>
      <c r="C41" s="458"/>
      <c r="D41" s="456"/>
      <c r="E41" s="443" t="s">
        <v>47</v>
      </c>
      <c r="F41" s="458" t="str">
        <f t="shared" si="1"/>
        <v/>
      </c>
      <c r="G41" s="458"/>
      <c r="H41" s="456"/>
      <c r="I41" s="443" t="s">
        <v>47</v>
      </c>
      <c r="J41" s="458" t="str">
        <f t="shared" si="2"/>
        <v/>
      </c>
      <c r="K41" s="458"/>
      <c r="L41" s="456"/>
      <c r="M41" s="443" t="s">
        <v>47</v>
      </c>
      <c r="N41" s="458" t="str">
        <f t="shared" si="3"/>
        <v/>
      </c>
      <c r="O41" s="458"/>
      <c r="P41" s="456"/>
      <c r="Q41" s="443" t="s">
        <v>47</v>
      </c>
      <c r="R41" s="458" t="str">
        <f t="shared" si="4"/>
        <v/>
      </c>
      <c r="S41" s="458"/>
      <c r="T41" s="457"/>
    </row>
    <row r="42" spans="1:20" s="443" customFormat="1">
      <c r="A42" s="443" t="s">
        <v>48</v>
      </c>
      <c r="B42" s="458" t="str">
        <f t="shared" si="0"/>
        <v/>
      </c>
      <c r="C42" s="458"/>
      <c r="D42" s="456"/>
      <c r="E42" s="443" t="s">
        <v>48</v>
      </c>
      <c r="F42" s="458" t="str">
        <f t="shared" si="1"/>
        <v/>
      </c>
      <c r="G42" s="458"/>
      <c r="H42" s="456"/>
      <c r="I42" s="443" t="s">
        <v>48</v>
      </c>
      <c r="J42" s="458" t="str">
        <f t="shared" si="2"/>
        <v/>
      </c>
      <c r="K42" s="458"/>
      <c r="L42" s="456"/>
      <c r="M42" s="443" t="s">
        <v>48</v>
      </c>
      <c r="N42" s="458" t="str">
        <f t="shared" si="3"/>
        <v/>
      </c>
      <c r="O42" s="458"/>
      <c r="P42" s="456"/>
      <c r="Q42" s="443" t="s">
        <v>48</v>
      </c>
      <c r="R42" s="458" t="str">
        <f t="shared" si="4"/>
        <v/>
      </c>
      <c r="S42" s="458"/>
      <c r="T42" s="457"/>
    </row>
    <row r="43" spans="1:20" s="443" customFormat="1">
      <c r="A43" s="443" t="s">
        <v>49</v>
      </c>
      <c r="B43" s="458" t="str">
        <f t="shared" si="0"/>
        <v/>
      </c>
      <c r="C43" s="458"/>
      <c r="D43" s="456"/>
      <c r="E43" s="443" t="s">
        <v>49</v>
      </c>
      <c r="F43" s="458" t="str">
        <f t="shared" si="1"/>
        <v/>
      </c>
      <c r="G43" s="458"/>
      <c r="H43" s="456"/>
      <c r="I43" s="443" t="s">
        <v>49</v>
      </c>
      <c r="J43" s="458" t="str">
        <f t="shared" si="2"/>
        <v/>
      </c>
      <c r="K43" s="458"/>
      <c r="L43" s="456"/>
      <c r="M43" s="443" t="s">
        <v>49</v>
      </c>
      <c r="N43" s="458" t="str">
        <f t="shared" si="3"/>
        <v/>
      </c>
      <c r="O43" s="458"/>
      <c r="P43" s="456"/>
      <c r="Q43" s="443" t="s">
        <v>49</v>
      </c>
      <c r="R43" s="458" t="str">
        <f t="shared" si="4"/>
        <v/>
      </c>
      <c r="S43" s="458"/>
      <c r="T43" s="457"/>
    </row>
    <row r="44" spans="1:20" s="443" customFormat="1">
      <c r="A44" s="443" t="s">
        <v>50</v>
      </c>
      <c r="B44" s="458" t="str">
        <f t="shared" si="0"/>
        <v/>
      </c>
      <c r="C44" s="458"/>
      <c r="D44" s="456"/>
      <c r="E44" s="443" t="s">
        <v>50</v>
      </c>
      <c r="F44" s="458" t="str">
        <f t="shared" si="1"/>
        <v/>
      </c>
      <c r="G44" s="458"/>
      <c r="H44" s="456"/>
      <c r="I44" s="443" t="s">
        <v>50</v>
      </c>
      <c r="J44" s="458" t="str">
        <f t="shared" si="2"/>
        <v/>
      </c>
      <c r="K44" s="458"/>
      <c r="L44" s="456"/>
      <c r="M44" s="443" t="s">
        <v>50</v>
      </c>
      <c r="N44" s="458" t="str">
        <f t="shared" si="3"/>
        <v/>
      </c>
      <c r="O44" s="458"/>
      <c r="P44" s="456"/>
      <c r="Q44" s="443" t="s">
        <v>50</v>
      </c>
      <c r="R44" s="458" t="str">
        <f t="shared" si="4"/>
        <v/>
      </c>
      <c r="S44" s="458"/>
      <c r="T44" s="457"/>
    </row>
    <row r="45" spans="1:20" s="443" customFormat="1">
      <c r="A45" s="443" t="s">
        <v>72</v>
      </c>
      <c r="B45" s="458" t="str">
        <f t="shared" si="0"/>
        <v/>
      </c>
      <c r="C45" s="458"/>
      <c r="D45" s="456"/>
      <c r="E45" s="443" t="s">
        <v>72</v>
      </c>
      <c r="F45" s="458" t="str">
        <f t="shared" si="1"/>
        <v/>
      </c>
      <c r="G45" s="458"/>
      <c r="H45" s="456"/>
      <c r="I45" s="443" t="s">
        <v>72</v>
      </c>
      <c r="J45" s="458" t="str">
        <f t="shared" si="2"/>
        <v/>
      </c>
      <c r="K45" s="458"/>
      <c r="L45" s="456"/>
      <c r="M45" s="443" t="s">
        <v>72</v>
      </c>
      <c r="N45" s="458" t="str">
        <f t="shared" si="3"/>
        <v/>
      </c>
      <c r="O45" s="458"/>
      <c r="P45" s="456"/>
      <c r="Q45" s="443" t="s">
        <v>72</v>
      </c>
      <c r="R45" s="458" t="str">
        <f t="shared" si="4"/>
        <v/>
      </c>
      <c r="S45" s="458"/>
      <c r="T45" s="457"/>
    </row>
    <row r="46" spans="1:20" s="443" customFormat="1">
      <c r="A46" s="459" t="s">
        <v>22</v>
      </c>
      <c r="B46" s="460">
        <f>SUM(B21:C21)</f>
        <v>0</v>
      </c>
      <c r="C46" s="461"/>
      <c r="D46" s="456"/>
      <c r="E46" s="459" t="s">
        <v>22</v>
      </c>
      <c r="F46" s="460">
        <f>SUM(F21:G21)</f>
        <v>0</v>
      </c>
      <c r="G46" s="462"/>
      <c r="H46" s="456"/>
      <c r="I46" s="459" t="s">
        <v>22</v>
      </c>
      <c r="J46" s="460">
        <f>SUM(J21:K21)</f>
        <v>0</v>
      </c>
      <c r="K46" s="461"/>
      <c r="L46" s="456"/>
      <c r="M46" s="459" t="s">
        <v>22</v>
      </c>
      <c r="N46" s="460">
        <f>SUM(J21:O21)</f>
        <v>0</v>
      </c>
      <c r="O46" s="461"/>
      <c r="P46" s="456"/>
      <c r="Q46" s="459" t="s">
        <v>22</v>
      </c>
      <c r="R46" s="460">
        <f>SUM(R21:S21)</f>
        <v>0</v>
      </c>
      <c r="S46" s="461"/>
      <c r="T46" s="457"/>
    </row>
    <row r="47" spans="1:20">
      <c r="T47" s="10"/>
    </row>
    <row r="48" spans="1:20">
      <c r="A48" s="21"/>
      <c r="T48" s="1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249977111117893"/>
  </sheetPr>
  <dimension ref="A1:T11"/>
  <sheetViews>
    <sheetView zoomScale="85" zoomScaleNormal="85" zoomScalePageLayoutView="85" workbookViewId="0">
      <selection activeCell="B3" sqref="B2:B3"/>
    </sheetView>
  </sheetViews>
  <sheetFormatPr baseColWidth="10" defaultColWidth="8.83203125" defaultRowHeight="14" x14ac:dyDescent="0"/>
  <cols>
    <col min="1" max="1" width="19.1640625" style="10" bestFit="1" customWidth="1"/>
    <col min="2" max="2" width="14.5" style="10" bestFit="1" customWidth="1"/>
    <col min="3" max="3" width="12.6640625" style="10" bestFit="1" customWidth="1"/>
    <col min="4" max="4" width="3.1640625" style="9" customWidth="1"/>
    <col min="5" max="5" width="19.1640625" style="10" bestFit="1" customWidth="1"/>
    <col min="6" max="6" width="14.5" style="10" bestFit="1" customWidth="1"/>
    <col min="7" max="7" width="12.6640625" style="10" bestFit="1" customWidth="1"/>
    <col min="8" max="8" width="3.1640625" style="9" customWidth="1"/>
    <col min="9" max="9" width="19.1640625" style="10" bestFit="1" customWidth="1"/>
    <col min="10" max="10" width="14.5" style="10" bestFit="1" customWidth="1"/>
    <col min="11" max="11" width="12.6640625" style="10" bestFit="1" customWidth="1"/>
    <col min="12" max="12" width="3.1640625" style="9" customWidth="1"/>
    <col min="13" max="13" width="19.1640625" style="10" bestFit="1" customWidth="1"/>
    <col min="14" max="14" width="15.5" style="10" bestFit="1" customWidth="1"/>
    <col min="15" max="15" width="12.6640625" style="10" bestFit="1" customWidth="1"/>
    <col min="16" max="16" width="3.1640625" style="9" customWidth="1"/>
    <col min="17" max="17" width="19.1640625" style="10" bestFit="1" customWidth="1"/>
    <col min="18" max="18" width="13.5" style="10" bestFit="1" customWidth="1"/>
    <col min="19" max="19" width="12.6640625" style="10" bestFit="1" customWidth="1"/>
    <col min="20" max="20" width="3.1640625" style="9" customWidth="1"/>
  </cols>
  <sheetData>
    <row r="1" spans="1:20">
      <c r="A1" s="55" t="s">
        <v>16</v>
      </c>
      <c r="B1" s="4"/>
      <c r="C1" s="4"/>
      <c r="D1" s="5"/>
      <c r="E1" s="4" t="s">
        <v>17</v>
      </c>
      <c r="F1" s="4"/>
      <c r="G1" s="4"/>
      <c r="H1" s="5"/>
      <c r="I1" s="4" t="s">
        <v>18</v>
      </c>
      <c r="J1" s="4"/>
      <c r="K1" s="4"/>
      <c r="L1" s="5"/>
      <c r="M1" s="4" t="s">
        <v>19</v>
      </c>
      <c r="N1" s="4"/>
      <c r="O1" s="4"/>
      <c r="P1" s="5"/>
      <c r="Q1" s="4" t="s">
        <v>20</v>
      </c>
      <c r="R1" s="4"/>
      <c r="S1" s="4"/>
      <c r="T1" s="5"/>
    </row>
    <row r="2" spans="1:20">
      <c r="A2" s="8" t="s">
        <v>83</v>
      </c>
      <c r="B2" s="31"/>
      <c r="C2" s="31"/>
      <c r="E2" s="8" t="s">
        <v>83</v>
      </c>
      <c r="F2" s="31"/>
      <c r="G2" s="31"/>
      <c r="I2" s="8" t="s">
        <v>83</v>
      </c>
      <c r="J2" s="31"/>
      <c r="K2" s="31"/>
      <c r="M2" s="8" t="s">
        <v>83</v>
      </c>
      <c r="N2" s="31"/>
      <c r="O2" s="31"/>
      <c r="Q2" s="8" t="s">
        <v>83</v>
      </c>
      <c r="R2" s="31"/>
      <c r="S2" s="31"/>
    </row>
    <row r="3" spans="1:20">
      <c r="A3" s="8" t="s">
        <v>84</v>
      </c>
      <c r="B3" s="31"/>
      <c r="C3" s="31"/>
      <c r="E3" s="8" t="s">
        <v>84</v>
      </c>
      <c r="F3" s="31"/>
      <c r="G3" s="31"/>
      <c r="I3" s="8" t="s">
        <v>84</v>
      </c>
      <c r="J3" s="31"/>
      <c r="K3" s="31"/>
      <c r="M3" s="8" t="s">
        <v>84</v>
      </c>
      <c r="N3" s="31"/>
      <c r="O3" s="31"/>
      <c r="Q3" s="8" t="s">
        <v>84</v>
      </c>
      <c r="R3" s="31"/>
      <c r="S3" s="31"/>
    </row>
    <row r="4" spans="1:20">
      <c r="A4" s="14" t="s">
        <v>22</v>
      </c>
      <c r="B4" s="15">
        <f>SUM(B2:B3)</f>
        <v>0</v>
      </c>
      <c r="C4" s="15">
        <f>SUM(C2:C2)</f>
        <v>0</v>
      </c>
      <c r="E4" s="14" t="s">
        <v>22</v>
      </c>
      <c r="F4" s="15">
        <f>SUM(F2:F3)</f>
        <v>0</v>
      </c>
      <c r="G4" s="15">
        <f>SUM(G2:G2)</f>
        <v>0</v>
      </c>
      <c r="I4" s="12" t="s">
        <v>21</v>
      </c>
      <c r="J4" s="15">
        <f>SUM(J2:J3)</f>
        <v>0</v>
      </c>
      <c r="K4" s="15">
        <f>SUM(K2:K2)</f>
        <v>0</v>
      </c>
      <c r="M4" s="12" t="s">
        <v>21</v>
      </c>
      <c r="N4" s="15">
        <f>SUM(N2:N3)</f>
        <v>0</v>
      </c>
      <c r="O4" s="13">
        <f>SUM(O2:O2)</f>
        <v>0</v>
      </c>
      <c r="Q4" s="14" t="s">
        <v>22</v>
      </c>
      <c r="R4" s="15">
        <f>SUM(R2:R3)</f>
        <v>0</v>
      </c>
      <c r="S4" s="15">
        <f>SUM(S2:S2)</f>
        <v>0</v>
      </c>
    </row>
    <row r="6" spans="1:20">
      <c r="A6" s="25" t="s">
        <v>32</v>
      </c>
      <c r="B6" s="9"/>
      <c r="C6" s="9"/>
      <c r="E6" s="9"/>
      <c r="F6" s="9"/>
      <c r="G6" s="9"/>
      <c r="I6" s="9"/>
      <c r="J6" s="9"/>
      <c r="K6" s="9"/>
      <c r="M6" s="9"/>
      <c r="N6" s="9"/>
      <c r="O6" s="9"/>
      <c r="Q6" s="9"/>
      <c r="R6" s="9"/>
      <c r="S6" s="9"/>
      <c r="T6" s="10"/>
    </row>
    <row r="7" spans="1:20">
      <c r="A7" s="9"/>
      <c r="B7" s="9"/>
      <c r="C7" s="9"/>
      <c r="E7" s="9"/>
      <c r="F7" s="9"/>
      <c r="G7" s="9"/>
      <c r="I7" s="9"/>
      <c r="J7" s="9"/>
      <c r="K7" s="9"/>
      <c r="M7" s="9"/>
      <c r="N7" s="9"/>
      <c r="O7" s="9"/>
      <c r="Q7" s="9"/>
      <c r="R7" s="9"/>
      <c r="S7" s="9"/>
      <c r="T7" s="10"/>
    </row>
    <row r="8" spans="1:20">
      <c r="A8" s="6"/>
      <c r="B8" s="7" t="str">
        <f>IF(B2+C2&gt;0, B2+C2, "")</f>
        <v/>
      </c>
      <c r="C8" s="7" t="str">
        <f>IFERROR(C2+(C2/B2)*#REF!, "")</f>
        <v/>
      </c>
      <c r="E8" s="6"/>
      <c r="F8" s="7" t="str">
        <f>IF(F2+G2&gt;0, F2+G2, "")</f>
        <v/>
      </c>
      <c r="G8" s="7" t="str">
        <f>IFERROR(G2+(G2/F2)*#REF!, "")</f>
        <v/>
      </c>
      <c r="I8" s="6"/>
      <c r="J8" s="7" t="str">
        <f>IF(J2+K2&gt;0, J2+K2, "")</f>
        <v/>
      </c>
      <c r="K8" s="7" t="str">
        <f>IFERROR(K2+(K2/J2)*#REF!, "")</f>
        <v/>
      </c>
      <c r="M8" s="6"/>
      <c r="N8" s="7" t="str">
        <f>IF(N2+O2&gt;0, N2+O2, "")</f>
        <v/>
      </c>
      <c r="O8" s="7" t="str">
        <f>IFERROR(O2+(O2/N2)*#REF!, "")</f>
        <v/>
      </c>
      <c r="Q8" s="6"/>
      <c r="R8" s="7" t="str">
        <f>IF(R2+S2&gt;0, R2+S2, "")</f>
        <v/>
      </c>
      <c r="S8" s="7" t="str">
        <f>IFERROR(S2+(S2/R2)*#REF!, "")</f>
        <v/>
      </c>
      <c r="T8" s="10"/>
    </row>
    <row r="9" spans="1:20">
      <c r="A9" s="14" t="s">
        <v>22</v>
      </c>
      <c r="B9" s="7">
        <f>SUM(B4:C4)</f>
        <v>0</v>
      </c>
      <c r="C9" s="7" t="str">
        <f>IFERROR(C4+(C4/B4)*#REF!, "")</f>
        <v/>
      </c>
      <c r="E9" s="14" t="s">
        <v>22</v>
      </c>
      <c r="F9" s="7">
        <f>SUM(F4:G4)</f>
        <v>0</v>
      </c>
      <c r="G9" s="7" t="str">
        <f>IFERROR(G4+(G4/F4)*#REF!, "")</f>
        <v/>
      </c>
      <c r="I9" s="14" t="s">
        <v>22</v>
      </c>
      <c r="J9" s="7">
        <f>SUM(J4:K4)</f>
        <v>0</v>
      </c>
      <c r="K9" s="7" t="str">
        <f>IFERROR(K4+(K4/J4)*#REF!, "")</f>
        <v/>
      </c>
      <c r="M9" s="14" t="s">
        <v>22</v>
      </c>
      <c r="N9" s="7">
        <f>SUM(N4:O4)</f>
        <v>0</v>
      </c>
      <c r="O9" s="7" t="str">
        <f>IFERROR(O4+(O4/N4)*#REF!, "")</f>
        <v/>
      </c>
      <c r="Q9" s="14" t="s">
        <v>22</v>
      </c>
      <c r="R9" s="7">
        <f>SUM(R4:S4)</f>
        <v>0</v>
      </c>
      <c r="S9" s="7" t="str">
        <f>IFERROR(S4+(S4/R4)*#REF!, "")</f>
        <v/>
      </c>
      <c r="T9" s="10"/>
    </row>
    <row r="10" spans="1:20">
      <c r="T10" s="10"/>
    </row>
    <row r="11" spans="1:20">
      <c r="T11" s="1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499984740745262"/>
  </sheetPr>
  <dimension ref="A1:T78"/>
  <sheetViews>
    <sheetView workbookViewId="0">
      <selection activeCell="F31" sqref="F31:F32"/>
    </sheetView>
  </sheetViews>
  <sheetFormatPr baseColWidth="10" defaultColWidth="8.83203125" defaultRowHeight="14" x14ac:dyDescent="0"/>
  <cols>
    <col min="1" max="1" width="20.6640625" style="119" bestFit="1" customWidth="1"/>
    <col min="2" max="2" width="13.5" style="119" bestFit="1" customWidth="1"/>
    <col min="3" max="3" width="12" style="119" bestFit="1" customWidth="1"/>
    <col min="4" max="4" width="3.1640625" style="117" customWidth="1"/>
    <col min="5" max="5" width="21.5" style="119" bestFit="1" customWidth="1"/>
    <col min="6" max="6" width="13.5" style="119" bestFit="1" customWidth="1"/>
    <col min="7" max="7" width="12" style="119" bestFit="1" customWidth="1"/>
    <col min="8" max="8" width="3.1640625" style="117" customWidth="1"/>
    <col min="9" max="9" width="20.6640625" style="119" bestFit="1" customWidth="1"/>
    <col min="10" max="10" width="15" style="119" bestFit="1" customWidth="1"/>
    <col min="11" max="11" width="13.33203125" style="119" customWidth="1"/>
    <col min="12" max="12" width="3.1640625" style="117" customWidth="1"/>
    <col min="13" max="13" width="20.5" style="119" customWidth="1"/>
    <col min="14" max="14" width="13.5" style="119" bestFit="1" customWidth="1"/>
    <col min="15" max="15" width="12.5" style="119" bestFit="1" customWidth="1"/>
    <col min="16" max="16" width="3.1640625" style="117" customWidth="1"/>
    <col min="17" max="17" width="19.1640625" style="119" bestFit="1" customWidth="1"/>
    <col min="18" max="18" width="13.5" style="119" bestFit="1" customWidth="1"/>
    <col min="19" max="19" width="12" style="119" bestFit="1" customWidth="1"/>
    <col min="20" max="20" width="3.1640625" style="117" customWidth="1"/>
    <col min="21" max="21" width="13.33203125" customWidth="1"/>
    <col min="25" max="25" width="10.83203125" bestFit="1" customWidth="1"/>
  </cols>
  <sheetData>
    <row r="1" spans="1:20">
      <c r="A1" s="114" t="s">
        <v>16</v>
      </c>
      <c r="B1" s="114" t="s">
        <v>866</v>
      </c>
      <c r="C1" s="114"/>
      <c r="D1" s="115"/>
      <c r="E1" s="114" t="s">
        <v>17</v>
      </c>
      <c r="F1" s="114" t="s">
        <v>866</v>
      </c>
      <c r="G1" s="114"/>
      <c r="H1" s="115"/>
      <c r="I1" s="114" t="s">
        <v>18</v>
      </c>
      <c r="J1" s="114" t="s">
        <v>866</v>
      </c>
      <c r="K1" s="114"/>
      <c r="L1" s="115"/>
      <c r="M1" s="114" t="s">
        <v>19</v>
      </c>
      <c r="N1" s="114" t="s">
        <v>866</v>
      </c>
      <c r="O1" s="114"/>
      <c r="P1" s="115"/>
      <c r="Q1" s="114" t="s">
        <v>20</v>
      </c>
      <c r="R1" s="114" t="s">
        <v>867</v>
      </c>
      <c r="S1" s="114"/>
      <c r="T1" s="115"/>
    </row>
    <row r="2" spans="1:20">
      <c r="A2" s="54"/>
      <c r="B2" s="192"/>
      <c r="C2" s="192"/>
      <c r="D2" s="115"/>
      <c r="E2" s="54"/>
      <c r="F2" s="192"/>
      <c r="G2" s="192"/>
      <c r="H2" s="115"/>
      <c r="I2" s="54"/>
      <c r="J2" s="192"/>
      <c r="K2" s="192"/>
      <c r="L2" s="115"/>
      <c r="M2" s="54"/>
      <c r="N2" s="192"/>
      <c r="O2" s="192"/>
      <c r="P2" s="115"/>
      <c r="Q2" s="54"/>
      <c r="R2" s="192"/>
      <c r="S2" s="192"/>
      <c r="T2" s="115"/>
    </row>
    <row r="3" spans="1:20">
      <c r="A3" s="54"/>
      <c r="B3" s="192"/>
      <c r="C3" s="192"/>
      <c r="D3" s="115"/>
      <c r="E3" s="54"/>
      <c r="F3" s="192"/>
      <c r="G3" s="192"/>
      <c r="H3" s="115"/>
      <c r="I3" s="54"/>
      <c r="J3" s="192"/>
      <c r="K3" s="192"/>
      <c r="L3" s="115"/>
      <c r="M3" s="54"/>
      <c r="N3" s="192"/>
      <c r="O3" s="192"/>
      <c r="P3" s="115"/>
      <c r="Q3" s="54"/>
      <c r="R3" s="192"/>
      <c r="S3" s="192"/>
      <c r="T3" s="115"/>
    </row>
    <row r="4" spans="1:20">
      <c r="A4" s="116"/>
      <c r="B4" s="192"/>
      <c r="C4" s="192"/>
      <c r="E4" s="116"/>
      <c r="F4" s="192"/>
      <c r="G4" s="192"/>
      <c r="I4" s="116"/>
      <c r="J4" s="192"/>
      <c r="K4" s="192"/>
      <c r="M4" s="116"/>
      <c r="N4" s="192"/>
      <c r="O4" s="192"/>
      <c r="Q4" s="116"/>
      <c r="R4" s="192"/>
      <c r="S4" s="192"/>
    </row>
    <row r="5" spans="1:20">
      <c r="A5" s="116"/>
      <c r="B5" s="192"/>
      <c r="C5" s="192"/>
      <c r="E5" s="116"/>
      <c r="F5" s="192"/>
      <c r="G5" s="192"/>
      <c r="I5" s="116"/>
      <c r="J5" s="192"/>
      <c r="K5" s="192"/>
      <c r="M5" s="116"/>
      <c r="N5" s="192"/>
      <c r="O5" s="192"/>
      <c r="Q5" s="116"/>
      <c r="R5" s="192"/>
      <c r="S5" s="192"/>
    </row>
    <row r="6" spans="1:20">
      <c r="A6" s="116"/>
      <c r="B6" s="192"/>
      <c r="C6" s="192"/>
      <c r="E6" s="116"/>
      <c r="F6" s="192"/>
      <c r="G6" s="192"/>
      <c r="I6" s="116"/>
      <c r="J6" s="192"/>
      <c r="K6" s="192"/>
      <c r="M6" s="116"/>
      <c r="N6" s="192"/>
      <c r="O6" s="192"/>
      <c r="Q6" s="116"/>
      <c r="R6" s="192"/>
      <c r="S6" s="192"/>
    </row>
    <row r="7" spans="1:20">
      <c r="A7" s="54"/>
      <c r="B7" s="192"/>
      <c r="C7" s="192"/>
      <c r="E7" s="54"/>
      <c r="F7" s="192"/>
      <c r="G7" s="192"/>
      <c r="I7" s="54"/>
      <c r="J7" s="192"/>
      <c r="K7" s="192"/>
      <c r="M7" s="54"/>
      <c r="N7" s="192"/>
      <c r="O7" s="192"/>
      <c r="Q7" s="54"/>
      <c r="R7" s="192"/>
      <c r="S7" s="192"/>
    </row>
    <row r="8" spans="1:20">
      <c r="A8" s="116"/>
      <c r="B8" s="192"/>
      <c r="C8" s="192"/>
      <c r="E8" s="116"/>
      <c r="F8" s="192"/>
      <c r="G8" s="192"/>
      <c r="I8" s="116"/>
      <c r="J8" s="192"/>
      <c r="K8" s="192"/>
      <c r="M8" s="116"/>
      <c r="N8" s="192"/>
      <c r="O8" s="192"/>
      <c r="Q8" s="116"/>
      <c r="R8" s="192"/>
      <c r="S8" s="192"/>
    </row>
    <row r="9" spans="1:20">
      <c r="A9" s="116"/>
      <c r="B9" s="192"/>
      <c r="C9" s="192"/>
      <c r="E9" s="116"/>
      <c r="F9" s="192"/>
      <c r="G9" s="192"/>
      <c r="I9" s="116"/>
      <c r="J9" s="192"/>
      <c r="K9" s="192"/>
      <c r="M9" s="116"/>
      <c r="N9" s="192"/>
      <c r="O9" s="192"/>
      <c r="Q9" s="116"/>
      <c r="R9" s="192"/>
      <c r="S9" s="192"/>
    </row>
    <row r="10" spans="1:20">
      <c r="A10" s="116"/>
      <c r="B10" s="192"/>
      <c r="C10" s="192"/>
      <c r="E10" s="116"/>
      <c r="F10" s="192"/>
      <c r="G10" s="192"/>
      <c r="I10" s="116"/>
      <c r="J10" s="192"/>
      <c r="K10" s="192"/>
      <c r="M10" s="116"/>
      <c r="N10" s="192"/>
      <c r="O10" s="192"/>
      <c r="Q10" s="116"/>
      <c r="R10" s="192"/>
      <c r="S10" s="192"/>
    </row>
    <row r="11" spans="1:20">
      <c r="A11" s="54"/>
      <c r="B11" s="192"/>
      <c r="C11" s="192"/>
      <c r="E11" s="54"/>
      <c r="F11" s="192"/>
      <c r="G11" s="192"/>
      <c r="I11" s="54"/>
      <c r="J11" s="192"/>
      <c r="K11" s="192"/>
      <c r="M11" s="54"/>
      <c r="N11" s="192"/>
      <c r="O11" s="192"/>
      <c r="Q11" s="54"/>
      <c r="R11" s="192"/>
      <c r="S11" s="192"/>
    </row>
    <row r="12" spans="1:20">
      <c r="A12" s="54"/>
      <c r="B12" s="192"/>
      <c r="C12" s="192"/>
      <c r="E12" s="54"/>
      <c r="F12" s="192"/>
      <c r="G12" s="192"/>
      <c r="I12" s="54"/>
      <c r="J12" s="192"/>
      <c r="K12" s="192"/>
      <c r="M12" s="54"/>
      <c r="N12" s="192"/>
      <c r="O12" s="192"/>
      <c r="Q12" s="54"/>
      <c r="R12" s="192"/>
      <c r="S12" s="192"/>
    </row>
    <row r="13" spans="1:20">
      <c r="A13" s="116"/>
      <c r="B13" s="192"/>
      <c r="C13" s="192"/>
      <c r="E13" s="116"/>
      <c r="F13" s="192"/>
      <c r="G13" s="192"/>
      <c r="I13" s="116"/>
      <c r="J13" s="192"/>
      <c r="K13" s="192"/>
      <c r="M13" s="116"/>
      <c r="N13" s="192"/>
      <c r="O13" s="192"/>
      <c r="Q13" s="116"/>
      <c r="R13" s="192"/>
      <c r="S13" s="192"/>
    </row>
    <row r="14" spans="1:20">
      <c r="A14" s="54"/>
      <c r="B14" s="192"/>
      <c r="C14" s="192"/>
      <c r="E14" s="54"/>
      <c r="F14" s="192"/>
      <c r="G14" s="192"/>
      <c r="I14" s="54"/>
      <c r="J14" s="192"/>
      <c r="K14" s="192"/>
      <c r="M14" s="54"/>
      <c r="N14" s="192"/>
      <c r="O14" s="192"/>
      <c r="Q14" s="54"/>
      <c r="R14" s="192"/>
      <c r="S14" s="192"/>
    </row>
    <row r="15" spans="1:20">
      <c r="A15" s="54"/>
      <c r="B15" s="192"/>
      <c r="C15" s="192"/>
      <c r="E15" s="54"/>
      <c r="F15" s="192"/>
      <c r="G15" s="192"/>
      <c r="I15" s="54"/>
      <c r="J15" s="192"/>
      <c r="K15" s="192"/>
      <c r="M15" s="54"/>
      <c r="N15" s="192"/>
      <c r="O15" s="192"/>
      <c r="Q15" s="54"/>
      <c r="R15" s="192"/>
      <c r="S15" s="192"/>
    </row>
    <row r="16" spans="1:20">
      <c r="A16" s="116"/>
      <c r="B16" s="192"/>
      <c r="C16" s="192"/>
      <c r="E16" s="116"/>
      <c r="F16" s="192"/>
      <c r="G16" s="192"/>
      <c r="I16" s="116"/>
      <c r="J16" s="192"/>
      <c r="K16" s="192"/>
      <c r="M16" s="116"/>
      <c r="N16" s="192"/>
      <c r="O16" s="192"/>
      <c r="Q16" s="116"/>
      <c r="R16" s="192"/>
      <c r="S16" s="192"/>
    </row>
    <row r="17" spans="1:20">
      <c r="A17" s="54"/>
      <c r="B17" s="192"/>
      <c r="C17" s="192"/>
      <c r="E17" s="54"/>
      <c r="F17" s="192"/>
      <c r="G17" s="192"/>
      <c r="I17" s="54"/>
      <c r="J17" s="192"/>
      <c r="K17" s="192"/>
      <c r="M17" s="54"/>
      <c r="N17" s="192"/>
      <c r="O17" s="192"/>
      <c r="Q17" s="54"/>
      <c r="R17" s="192"/>
      <c r="S17" s="192"/>
    </row>
    <row r="18" spans="1:20">
      <c r="A18"/>
      <c r="B18" s="192"/>
      <c r="C18" s="192"/>
      <c r="E18"/>
      <c r="F18" s="192"/>
      <c r="G18" s="192"/>
      <c r="I18"/>
      <c r="J18" s="192"/>
      <c r="K18" s="192"/>
      <c r="M18"/>
      <c r="N18" s="192"/>
      <c r="O18" s="192"/>
      <c r="Q18"/>
      <c r="R18" s="192"/>
      <c r="S18" s="192"/>
    </row>
    <row r="19" spans="1:20">
      <c r="A19"/>
      <c r="B19" s="192"/>
      <c r="C19" s="192"/>
      <c r="E19"/>
      <c r="F19" s="192"/>
      <c r="G19" s="192"/>
      <c r="I19"/>
      <c r="J19" s="192"/>
      <c r="K19" s="192"/>
      <c r="M19"/>
      <c r="N19" s="192"/>
      <c r="O19" s="192"/>
      <c r="Q19"/>
      <c r="R19" s="192"/>
      <c r="S19" s="192"/>
    </row>
    <row r="20" spans="1:20">
      <c r="A20"/>
      <c r="B20" s="192"/>
      <c r="C20" s="192"/>
      <c r="E20"/>
      <c r="F20" s="192"/>
      <c r="G20" s="192"/>
      <c r="I20"/>
      <c r="J20" s="192"/>
      <c r="K20" s="192"/>
      <c r="M20"/>
      <c r="N20" s="192"/>
      <c r="O20" s="192"/>
      <c r="Q20"/>
      <c r="R20" s="192"/>
      <c r="S20" s="192"/>
    </row>
    <row r="21" spans="1:20">
      <c r="A21"/>
      <c r="B21" s="192"/>
      <c r="C21" s="192"/>
      <c r="E21"/>
      <c r="F21" s="192"/>
      <c r="G21" s="192"/>
      <c r="I21"/>
      <c r="J21" s="192"/>
      <c r="K21" s="192"/>
      <c r="M21"/>
      <c r="N21" s="192"/>
      <c r="O21" s="192"/>
      <c r="Q21"/>
      <c r="R21" s="192"/>
      <c r="S21" s="192"/>
    </row>
    <row r="22" spans="1:20">
      <c r="A22" s="116"/>
      <c r="B22" s="192"/>
      <c r="C22" s="192"/>
      <c r="D22" s="118"/>
      <c r="E22" s="116"/>
      <c r="F22" s="192"/>
      <c r="G22" s="192"/>
      <c r="H22" s="118"/>
      <c r="I22" s="116"/>
      <c r="J22" s="192"/>
      <c r="K22" s="192"/>
      <c r="L22" s="118"/>
      <c r="M22" s="116"/>
      <c r="N22" s="192"/>
      <c r="O22" s="192"/>
      <c r="P22" s="118"/>
      <c r="Q22" s="116"/>
      <c r="R22" s="192"/>
      <c r="S22" s="192"/>
      <c r="T22" s="118"/>
    </row>
    <row r="23" spans="1:20">
      <c r="A23" s="54"/>
      <c r="B23" s="192"/>
      <c r="C23" s="192"/>
      <c r="D23" s="118"/>
      <c r="E23" s="54"/>
      <c r="F23" s="192"/>
      <c r="G23" s="192"/>
      <c r="H23" s="118"/>
      <c r="I23" s="54"/>
      <c r="J23" s="192"/>
      <c r="K23" s="192"/>
      <c r="L23" s="118"/>
      <c r="M23" s="54"/>
      <c r="N23" s="192"/>
      <c r="O23" s="192"/>
      <c r="P23" s="118"/>
      <c r="Q23" s="54"/>
      <c r="R23" s="192"/>
      <c r="S23" s="192"/>
      <c r="T23" s="118"/>
    </row>
    <row r="24" spans="1:20">
      <c r="A24" s="116"/>
      <c r="B24" s="192"/>
      <c r="C24" s="192"/>
      <c r="E24" s="116"/>
      <c r="F24" s="192"/>
      <c r="G24" s="192"/>
      <c r="I24" s="116"/>
      <c r="J24" s="192"/>
      <c r="K24" s="192"/>
      <c r="M24" s="116"/>
      <c r="N24" s="192"/>
      <c r="O24" s="192"/>
      <c r="Q24" s="116"/>
      <c r="R24" s="192"/>
      <c r="S24" s="192"/>
    </row>
    <row r="25" spans="1:20">
      <c r="A25" s="54"/>
      <c r="B25" s="192"/>
      <c r="C25" s="192"/>
      <c r="E25" s="54"/>
      <c r="F25" s="192"/>
      <c r="G25" s="192"/>
      <c r="I25" s="54"/>
      <c r="J25" s="192"/>
      <c r="K25" s="192"/>
      <c r="M25" s="54"/>
      <c r="N25" s="192"/>
      <c r="O25" s="192"/>
      <c r="Q25" s="54"/>
      <c r="R25" s="192"/>
      <c r="S25" s="192"/>
    </row>
    <row r="26" spans="1:20">
      <c r="A26" s="54"/>
      <c r="B26" s="192"/>
      <c r="C26" s="192"/>
      <c r="E26" s="54"/>
      <c r="F26" s="192"/>
      <c r="G26" s="192"/>
      <c r="I26" s="54"/>
      <c r="J26" s="192"/>
      <c r="K26" s="192"/>
      <c r="M26" s="54"/>
      <c r="N26" s="192"/>
      <c r="O26" s="192"/>
      <c r="Q26" s="54"/>
      <c r="R26" s="192"/>
      <c r="S26" s="192"/>
    </row>
    <row r="27" spans="1:20">
      <c r="A27" s="54"/>
      <c r="B27" s="192"/>
      <c r="C27" s="192"/>
      <c r="E27" s="54"/>
      <c r="F27" s="192"/>
      <c r="G27" s="192"/>
      <c r="I27" s="54"/>
      <c r="J27" s="192"/>
      <c r="K27" s="192"/>
      <c r="M27" s="54"/>
      <c r="N27" s="192"/>
      <c r="O27" s="192"/>
      <c r="Q27" s="54"/>
      <c r="R27" s="192"/>
      <c r="S27" s="192"/>
    </row>
    <row r="28" spans="1:20">
      <c r="A28" s="116"/>
      <c r="B28" s="192"/>
      <c r="C28" s="192"/>
      <c r="E28" s="116"/>
      <c r="F28" s="192"/>
      <c r="G28" s="192"/>
      <c r="I28" s="116"/>
      <c r="J28" s="192"/>
      <c r="K28" s="192"/>
      <c r="M28" s="116"/>
      <c r="N28" s="192"/>
      <c r="O28" s="192"/>
      <c r="Q28" s="116"/>
      <c r="R28" s="192"/>
      <c r="S28" s="192"/>
      <c r="T28" s="119"/>
    </row>
    <row r="29" spans="1:20">
      <c r="A29" s="116"/>
      <c r="B29" s="192"/>
      <c r="C29" s="192"/>
      <c r="E29" s="116"/>
      <c r="F29" s="192"/>
      <c r="G29" s="192"/>
      <c r="I29" s="116"/>
      <c r="J29" s="192"/>
      <c r="K29" s="192"/>
      <c r="M29" s="116"/>
      <c r="N29" s="192"/>
      <c r="O29" s="192"/>
      <c r="Q29" s="116"/>
      <c r="R29" s="192"/>
      <c r="S29" s="192"/>
    </row>
    <row r="30" spans="1:20">
      <c r="A30" s="116"/>
      <c r="B30" s="192"/>
      <c r="C30" s="192"/>
      <c r="E30" s="116"/>
      <c r="F30" s="192"/>
      <c r="G30" s="192"/>
      <c r="I30" s="116"/>
      <c r="J30" s="192"/>
      <c r="K30" s="192"/>
      <c r="M30" s="116"/>
      <c r="N30" s="192"/>
      <c r="O30" s="192"/>
      <c r="Q30" s="116"/>
      <c r="R30" s="192"/>
      <c r="S30" s="192"/>
    </row>
    <row r="31" spans="1:20">
      <c r="A31" s="54" t="s">
        <v>870</v>
      </c>
      <c r="B31" s="475">
        <v>530018.30708199996</v>
      </c>
      <c r="C31" s="192"/>
      <c r="E31" s="54" t="s">
        <v>870</v>
      </c>
      <c r="F31" s="475">
        <v>533516.82152700005</v>
      </c>
      <c r="G31" s="192"/>
      <c r="I31" s="54" t="s">
        <v>870</v>
      </c>
      <c r="J31" s="192"/>
      <c r="K31" s="192"/>
      <c r="M31" s="54" t="s">
        <v>870</v>
      </c>
      <c r="N31" s="192"/>
      <c r="O31" s="415" t="e">
        <f>N31/$N$34</f>
        <v>#DIV/0!</v>
      </c>
      <c r="Q31" s="116"/>
      <c r="R31" s="192"/>
      <c r="S31" s="192"/>
    </row>
    <row r="32" spans="1:20">
      <c r="A32" s="116" t="s">
        <v>113</v>
      </c>
      <c r="B32" s="476">
        <v>285834.44619400002</v>
      </c>
      <c r="C32" s="192"/>
      <c r="E32" s="116" t="s">
        <v>113</v>
      </c>
      <c r="F32" s="475">
        <v>287244.62281600002</v>
      </c>
      <c r="G32" s="192"/>
      <c r="I32" s="116" t="s">
        <v>113</v>
      </c>
      <c r="J32" s="192"/>
      <c r="K32" s="192"/>
      <c r="M32" s="116" t="s">
        <v>113</v>
      </c>
      <c r="N32" s="148"/>
      <c r="O32" s="415" t="e">
        <f>N32/$N$34</f>
        <v>#DIV/0!</v>
      </c>
      <c r="Q32" s="116" t="s">
        <v>113</v>
      </c>
      <c r="R32" s="192"/>
      <c r="S32" s="192"/>
    </row>
    <row r="33" spans="1:20">
      <c r="A33" s="120"/>
      <c r="B33" s="121"/>
      <c r="C33" s="121"/>
      <c r="E33" s="120"/>
      <c r="F33" s="121"/>
      <c r="G33" s="121"/>
      <c r="I33" s="120"/>
      <c r="J33" s="121"/>
      <c r="K33" s="121"/>
      <c r="M33" s="120"/>
      <c r="N33" s="121"/>
      <c r="O33" s="121"/>
      <c r="T33" s="119"/>
    </row>
    <row r="34" spans="1:20">
      <c r="A34" s="122" t="s">
        <v>22</v>
      </c>
      <c r="B34" s="123">
        <f>SUM(B4:B33)</f>
        <v>815852.75327600003</v>
      </c>
      <c r="C34" s="123">
        <f>SUM(C4:C33)</f>
        <v>0</v>
      </c>
      <c r="E34" s="122" t="s">
        <v>22</v>
      </c>
      <c r="F34" s="123">
        <f>SUM(F2:F33)</f>
        <v>820761.44434300007</v>
      </c>
      <c r="G34" s="123">
        <f>SUM(G2:G33)</f>
        <v>0</v>
      </c>
      <c r="I34" s="124" t="s">
        <v>21</v>
      </c>
      <c r="J34" s="193">
        <f>SUM(J2:J33)</f>
        <v>0</v>
      </c>
      <c r="K34" s="193"/>
      <c r="M34" s="124" t="s">
        <v>21</v>
      </c>
      <c r="N34" s="414">
        <f>SUM(N31:N32)</f>
        <v>0</v>
      </c>
      <c r="O34" s="123"/>
      <c r="Q34" s="124" t="s">
        <v>21</v>
      </c>
      <c r="R34" s="123">
        <f>SUM(R2:R33)</f>
        <v>0</v>
      </c>
      <c r="S34" s="123">
        <f>SUM(S2:S33)</f>
        <v>0</v>
      </c>
      <c r="T34" s="119"/>
    </row>
    <row r="36" spans="1:20">
      <c r="A36" s="125"/>
      <c r="B36" s="126"/>
      <c r="C36" s="126"/>
      <c r="E36" s="125"/>
      <c r="F36" s="126"/>
      <c r="G36" s="126"/>
      <c r="I36" s="125"/>
      <c r="J36" s="126"/>
      <c r="K36" s="126"/>
      <c r="M36" s="125"/>
      <c r="N36" s="126"/>
      <c r="O36" s="126"/>
      <c r="Q36" s="125"/>
      <c r="R36" s="126"/>
      <c r="S36" s="126"/>
      <c r="T36" s="127"/>
    </row>
    <row r="37" spans="1:20">
      <c r="Q37" s="128"/>
      <c r="R37" s="129"/>
      <c r="S37" s="129"/>
    </row>
    <row r="39" spans="1:20" s="443" customFormat="1">
      <c r="A39" s="440" t="s">
        <v>32</v>
      </c>
      <c r="B39" s="441"/>
      <c r="C39" s="441"/>
      <c r="D39" s="441"/>
      <c r="E39" s="441"/>
      <c r="F39" s="441"/>
      <c r="G39" s="441"/>
      <c r="H39" s="441"/>
      <c r="I39" s="441"/>
      <c r="J39" s="441"/>
      <c r="K39" s="441"/>
      <c r="L39" s="441"/>
      <c r="M39" s="441"/>
      <c r="N39" s="441"/>
      <c r="O39" s="441"/>
      <c r="P39" s="441"/>
      <c r="Q39" s="441"/>
      <c r="R39" s="441"/>
      <c r="S39" s="441"/>
      <c r="T39" s="442"/>
    </row>
    <row r="40" spans="1:20" s="443" customFormat="1">
      <c r="A40" s="441"/>
      <c r="B40" s="441"/>
      <c r="C40" s="441"/>
      <c r="D40" s="441"/>
      <c r="E40" s="441"/>
      <c r="F40" s="441"/>
      <c r="G40" s="441"/>
      <c r="H40" s="441"/>
      <c r="I40" s="441"/>
      <c r="J40" s="441"/>
      <c r="K40" s="441"/>
      <c r="L40" s="441"/>
      <c r="M40" s="441"/>
      <c r="N40" s="441"/>
      <c r="O40" s="441"/>
      <c r="P40" s="441"/>
      <c r="Q40" s="441"/>
      <c r="R40" s="441"/>
      <c r="S40" s="441"/>
      <c r="T40" s="442"/>
    </row>
    <row r="41" spans="1:20" s="443" customFormat="1">
      <c r="A41" s="443" t="s">
        <v>118</v>
      </c>
      <c r="B41" s="444" t="str">
        <f>IF(B2+C2&gt;0, B2+C2, "")</f>
        <v/>
      </c>
      <c r="C41" s="445"/>
      <c r="D41" s="441"/>
      <c r="E41" s="443" t="s">
        <v>118</v>
      </c>
      <c r="F41" s="444" t="str">
        <f t="shared" ref="F41:F71" si="0">IF(F2+G2&gt;0, F2+G2, "")</f>
        <v/>
      </c>
      <c r="G41" s="445"/>
      <c r="H41" s="441"/>
      <c r="I41" s="443" t="s">
        <v>118</v>
      </c>
      <c r="J41" s="444" t="str">
        <f>IF(J2+K2&gt;0, J2+K2, "")</f>
        <v/>
      </c>
      <c r="K41" s="445"/>
      <c r="L41" s="441"/>
      <c r="N41" s="444" t="str">
        <f t="shared" ref="N41:N69" si="1">IF(N2+O2&gt;0, N2+O2, "")</f>
        <v/>
      </c>
      <c r="O41" s="445"/>
      <c r="P41" s="441"/>
      <c r="Q41" s="443" t="s">
        <v>118</v>
      </c>
      <c r="R41" s="444" t="str">
        <f>IF(R2+S2&gt;0, R2+S2, "")</f>
        <v/>
      </c>
      <c r="S41" s="445"/>
      <c r="T41" s="442"/>
    </row>
    <row r="42" spans="1:20" s="443" customFormat="1">
      <c r="A42" s="443" t="s">
        <v>707</v>
      </c>
      <c r="B42" s="444" t="str">
        <f>IF(B3+C3&gt;0, B3+C3, "")</f>
        <v/>
      </c>
      <c r="C42" s="445"/>
      <c r="D42" s="441"/>
      <c r="E42" s="443" t="s">
        <v>707</v>
      </c>
      <c r="F42" s="444" t="str">
        <f t="shared" si="0"/>
        <v/>
      </c>
      <c r="G42" s="445"/>
      <c r="H42" s="441"/>
      <c r="I42" s="443" t="s">
        <v>707</v>
      </c>
      <c r="J42" s="444" t="str">
        <f t="shared" ref="J42:J71" si="2">IF(J3+K3&gt;0, J3+K3, "")</f>
        <v/>
      </c>
      <c r="K42" s="445"/>
      <c r="L42" s="441"/>
      <c r="N42" s="444" t="str">
        <f t="shared" si="1"/>
        <v/>
      </c>
      <c r="O42" s="445"/>
      <c r="P42" s="441"/>
      <c r="Q42" s="443" t="s">
        <v>707</v>
      </c>
      <c r="R42" s="444" t="str">
        <f>IF(R3+S3&gt;0, R3+S3, "")</f>
        <v/>
      </c>
      <c r="S42" s="445"/>
      <c r="T42" s="442"/>
    </row>
    <row r="43" spans="1:20" s="443" customFormat="1">
      <c r="A43" s="443" t="s">
        <v>101</v>
      </c>
      <c r="B43" s="444" t="str">
        <f>IF(B4+C4&gt;0, B4+C4, "")</f>
        <v/>
      </c>
      <c r="C43" s="444"/>
      <c r="D43" s="441"/>
      <c r="E43" s="443" t="s">
        <v>101</v>
      </c>
      <c r="F43" s="444" t="str">
        <f t="shared" si="0"/>
        <v/>
      </c>
      <c r="G43" s="444"/>
      <c r="H43" s="441"/>
      <c r="I43" s="443" t="s">
        <v>101</v>
      </c>
      <c r="J43" s="444" t="str">
        <f t="shared" si="2"/>
        <v/>
      </c>
      <c r="K43" s="444"/>
      <c r="L43" s="441"/>
      <c r="N43" s="444" t="str">
        <f t="shared" si="1"/>
        <v/>
      </c>
      <c r="O43" s="444"/>
      <c r="P43" s="441"/>
      <c r="Q43" s="443" t="s">
        <v>101</v>
      </c>
      <c r="R43" s="444" t="str">
        <f>IF(R4+S4&gt;0, R4+S4, "")</f>
        <v/>
      </c>
      <c r="S43" s="444"/>
      <c r="T43" s="442"/>
    </row>
    <row r="44" spans="1:20" s="443" customFormat="1">
      <c r="A44" s="443" t="s">
        <v>102</v>
      </c>
      <c r="B44" s="444" t="str">
        <f>IF(B5+C5&gt;0, B5+C5, "")</f>
        <v/>
      </c>
      <c r="C44" s="444"/>
      <c r="D44" s="441"/>
      <c r="E44" s="443" t="s">
        <v>102</v>
      </c>
      <c r="F44" s="444" t="str">
        <f t="shared" si="0"/>
        <v/>
      </c>
      <c r="G44" s="444"/>
      <c r="H44" s="441"/>
      <c r="I44" s="443" t="s">
        <v>102</v>
      </c>
      <c r="J44" s="444" t="str">
        <f t="shared" si="2"/>
        <v/>
      </c>
      <c r="K44" s="444"/>
      <c r="L44" s="441"/>
      <c r="N44" s="444" t="str">
        <f t="shared" si="1"/>
        <v/>
      </c>
      <c r="O44" s="444"/>
      <c r="P44" s="441"/>
      <c r="Q44" s="443" t="s">
        <v>102</v>
      </c>
      <c r="R44" s="444" t="str">
        <f>IF(R5+S5&gt;0, R5+S5, "")</f>
        <v/>
      </c>
      <c r="S44" s="444"/>
      <c r="T44" s="442"/>
    </row>
    <row r="45" spans="1:20" s="443" customFormat="1">
      <c r="A45" s="443" t="s">
        <v>103</v>
      </c>
      <c r="B45" s="444" t="str">
        <f>IF(B6+C6&gt;0, B6+C6, "")</f>
        <v/>
      </c>
      <c r="C45" s="444"/>
      <c r="D45" s="441"/>
      <c r="E45" s="443" t="s">
        <v>103</v>
      </c>
      <c r="F45" s="444" t="str">
        <f t="shared" si="0"/>
        <v/>
      </c>
      <c r="G45" s="444"/>
      <c r="H45" s="441"/>
      <c r="I45" s="443" t="s">
        <v>103</v>
      </c>
      <c r="J45" s="444" t="str">
        <f t="shared" si="2"/>
        <v/>
      </c>
      <c r="K45" s="444"/>
      <c r="L45" s="441"/>
      <c r="N45" s="444" t="str">
        <f t="shared" si="1"/>
        <v/>
      </c>
      <c r="O45" s="444"/>
      <c r="P45" s="441"/>
      <c r="Q45" s="443" t="s">
        <v>103</v>
      </c>
      <c r="R45" s="444" t="str">
        <f>IF(R6+S6&gt;0, R6+S6, "")</f>
        <v/>
      </c>
      <c r="S45" s="444"/>
      <c r="T45" s="442"/>
    </row>
    <row r="46" spans="1:20" s="443" customFormat="1">
      <c r="A46" s="443" t="s">
        <v>699</v>
      </c>
      <c r="B46" s="444" t="str">
        <f t="shared" ref="B46:B71" si="3">IF(B7+C7&gt;0, B7+C7, "")</f>
        <v/>
      </c>
      <c r="C46" s="444"/>
      <c r="D46" s="441"/>
      <c r="E46" s="443" t="s">
        <v>699</v>
      </c>
      <c r="F46" s="444" t="str">
        <f t="shared" si="0"/>
        <v/>
      </c>
      <c r="G46" s="444"/>
      <c r="H46" s="441"/>
      <c r="I46" s="443" t="s">
        <v>699</v>
      </c>
      <c r="J46" s="444" t="str">
        <f t="shared" si="2"/>
        <v/>
      </c>
      <c r="K46" s="444"/>
      <c r="L46" s="441"/>
      <c r="N46" s="444" t="str">
        <f t="shared" si="1"/>
        <v/>
      </c>
      <c r="O46" s="444"/>
      <c r="P46" s="441"/>
      <c r="Q46" s="443" t="s">
        <v>699</v>
      </c>
      <c r="R46" s="444" t="str">
        <f t="shared" ref="R46:R71" si="4">IF(R7+S7&gt;0, R7+S7, "")</f>
        <v/>
      </c>
      <c r="S46" s="444"/>
      <c r="T46" s="442"/>
    </row>
    <row r="47" spans="1:20" s="443" customFormat="1">
      <c r="A47" s="443" t="s">
        <v>104</v>
      </c>
      <c r="B47" s="444" t="str">
        <f t="shared" si="3"/>
        <v/>
      </c>
      <c r="C47" s="444"/>
      <c r="D47" s="441"/>
      <c r="E47" s="443" t="s">
        <v>104</v>
      </c>
      <c r="F47" s="444" t="str">
        <f t="shared" si="0"/>
        <v/>
      </c>
      <c r="G47" s="444"/>
      <c r="H47" s="441"/>
      <c r="I47" s="443" t="s">
        <v>104</v>
      </c>
      <c r="J47" s="444" t="str">
        <f t="shared" si="2"/>
        <v/>
      </c>
      <c r="K47" s="444"/>
      <c r="L47" s="441"/>
      <c r="N47" s="444" t="str">
        <f t="shared" si="1"/>
        <v/>
      </c>
      <c r="O47" s="444"/>
      <c r="P47" s="441"/>
      <c r="Q47" s="443" t="s">
        <v>104</v>
      </c>
      <c r="R47" s="444" t="str">
        <f t="shared" si="4"/>
        <v/>
      </c>
      <c r="S47" s="444"/>
      <c r="T47" s="442"/>
    </row>
    <row r="48" spans="1:20" s="443" customFormat="1">
      <c r="A48" s="443" t="s">
        <v>105</v>
      </c>
      <c r="B48" s="444" t="str">
        <f t="shared" si="3"/>
        <v/>
      </c>
      <c r="C48" s="444"/>
      <c r="D48" s="441"/>
      <c r="E48" s="443" t="s">
        <v>105</v>
      </c>
      <c r="F48" s="444" t="str">
        <f t="shared" si="0"/>
        <v/>
      </c>
      <c r="G48" s="444"/>
      <c r="H48" s="441"/>
      <c r="I48" s="443" t="s">
        <v>105</v>
      </c>
      <c r="J48" s="444" t="str">
        <f t="shared" si="2"/>
        <v/>
      </c>
      <c r="K48" s="444"/>
      <c r="L48" s="441"/>
      <c r="N48" s="444" t="str">
        <f t="shared" si="1"/>
        <v/>
      </c>
      <c r="O48" s="444"/>
      <c r="P48" s="441"/>
      <c r="Q48" s="443" t="s">
        <v>105</v>
      </c>
      <c r="R48" s="444" t="str">
        <f t="shared" si="4"/>
        <v/>
      </c>
      <c r="S48" s="444"/>
      <c r="T48" s="442"/>
    </row>
    <row r="49" spans="1:20" s="443" customFormat="1">
      <c r="A49" s="443" t="s">
        <v>106</v>
      </c>
      <c r="B49" s="444" t="str">
        <f t="shared" si="3"/>
        <v/>
      </c>
      <c r="C49" s="444"/>
      <c r="D49" s="441"/>
      <c r="E49" s="443" t="s">
        <v>106</v>
      </c>
      <c r="F49" s="444" t="str">
        <f t="shared" si="0"/>
        <v/>
      </c>
      <c r="G49" s="444"/>
      <c r="H49" s="441"/>
      <c r="I49" s="443" t="s">
        <v>106</v>
      </c>
      <c r="J49" s="444" t="str">
        <f t="shared" si="2"/>
        <v/>
      </c>
      <c r="K49" s="444"/>
      <c r="L49" s="441"/>
      <c r="N49" s="444" t="str">
        <f t="shared" si="1"/>
        <v/>
      </c>
      <c r="O49" s="444"/>
      <c r="P49" s="441"/>
      <c r="Q49" s="443" t="s">
        <v>106</v>
      </c>
      <c r="R49" s="444" t="str">
        <f t="shared" si="4"/>
        <v/>
      </c>
      <c r="S49" s="444"/>
      <c r="T49" s="442"/>
    </row>
    <row r="50" spans="1:20" s="443" customFormat="1">
      <c r="A50" s="443" t="s">
        <v>700</v>
      </c>
      <c r="B50" s="444" t="str">
        <f t="shared" si="3"/>
        <v/>
      </c>
      <c r="C50" s="444"/>
      <c r="D50" s="441"/>
      <c r="E50" s="443" t="s">
        <v>700</v>
      </c>
      <c r="F50" s="444" t="str">
        <f t="shared" si="0"/>
        <v/>
      </c>
      <c r="G50" s="444"/>
      <c r="H50" s="441"/>
      <c r="I50" s="443" t="s">
        <v>700</v>
      </c>
      <c r="J50" s="444" t="str">
        <f t="shared" si="2"/>
        <v/>
      </c>
      <c r="K50" s="444"/>
      <c r="L50" s="441"/>
      <c r="N50" s="444" t="str">
        <f t="shared" si="1"/>
        <v/>
      </c>
      <c r="O50" s="444"/>
      <c r="P50" s="441"/>
      <c r="Q50" s="443" t="s">
        <v>700</v>
      </c>
      <c r="R50" s="444" t="str">
        <f t="shared" si="4"/>
        <v/>
      </c>
      <c r="S50" s="444"/>
      <c r="T50" s="442"/>
    </row>
    <row r="51" spans="1:20" s="443" customFormat="1">
      <c r="A51" s="443" t="s">
        <v>701</v>
      </c>
      <c r="B51" s="444" t="str">
        <f t="shared" si="3"/>
        <v/>
      </c>
      <c r="C51" s="444"/>
      <c r="D51" s="441"/>
      <c r="E51" s="443" t="s">
        <v>701</v>
      </c>
      <c r="F51" s="444" t="str">
        <f t="shared" si="0"/>
        <v/>
      </c>
      <c r="G51" s="444"/>
      <c r="H51" s="441"/>
      <c r="I51" s="443" t="s">
        <v>701</v>
      </c>
      <c r="J51" s="444" t="str">
        <f t="shared" si="2"/>
        <v/>
      </c>
      <c r="K51" s="444"/>
      <c r="L51" s="441"/>
      <c r="N51" s="444" t="str">
        <f t="shared" si="1"/>
        <v/>
      </c>
      <c r="O51" s="444"/>
      <c r="P51" s="441"/>
      <c r="Q51" s="443" t="s">
        <v>701</v>
      </c>
      <c r="R51" s="444" t="str">
        <f t="shared" si="4"/>
        <v/>
      </c>
      <c r="S51" s="444"/>
      <c r="T51" s="442"/>
    </row>
    <row r="52" spans="1:20" s="443" customFormat="1">
      <c r="A52" s="443" t="s">
        <v>119</v>
      </c>
      <c r="B52" s="444" t="str">
        <f t="shared" si="3"/>
        <v/>
      </c>
      <c r="C52" s="444"/>
      <c r="D52" s="441"/>
      <c r="E52" s="443" t="s">
        <v>119</v>
      </c>
      <c r="F52" s="444" t="str">
        <f t="shared" si="0"/>
        <v/>
      </c>
      <c r="G52" s="444"/>
      <c r="H52" s="441"/>
      <c r="I52" s="443" t="s">
        <v>119</v>
      </c>
      <c r="J52" s="444" t="str">
        <f t="shared" si="2"/>
        <v/>
      </c>
      <c r="K52" s="444"/>
      <c r="L52" s="441"/>
      <c r="N52" s="444" t="str">
        <f t="shared" si="1"/>
        <v/>
      </c>
      <c r="O52" s="444"/>
      <c r="P52" s="441"/>
      <c r="Q52" s="443" t="s">
        <v>119</v>
      </c>
      <c r="R52" s="444" t="str">
        <f t="shared" si="4"/>
        <v/>
      </c>
      <c r="S52" s="444"/>
      <c r="T52" s="442"/>
    </row>
    <row r="53" spans="1:20" s="443" customFormat="1">
      <c r="A53" s="443" t="s">
        <v>335</v>
      </c>
      <c r="B53" s="444" t="str">
        <f t="shared" si="3"/>
        <v/>
      </c>
      <c r="C53" s="444"/>
      <c r="D53" s="441"/>
      <c r="E53" s="443" t="s">
        <v>335</v>
      </c>
      <c r="F53" s="444" t="str">
        <f t="shared" si="0"/>
        <v/>
      </c>
      <c r="G53" s="444"/>
      <c r="H53" s="441"/>
      <c r="I53" s="443" t="s">
        <v>335</v>
      </c>
      <c r="J53" s="444" t="str">
        <f t="shared" si="2"/>
        <v/>
      </c>
      <c r="K53" s="444"/>
      <c r="L53" s="441"/>
      <c r="N53" s="444" t="str">
        <f t="shared" si="1"/>
        <v/>
      </c>
      <c r="O53" s="444"/>
      <c r="P53" s="441"/>
      <c r="Q53" s="443" t="s">
        <v>335</v>
      </c>
      <c r="R53" s="444" t="str">
        <f t="shared" si="4"/>
        <v/>
      </c>
      <c r="S53" s="444"/>
      <c r="T53" s="442"/>
    </row>
    <row r="54" spans="1:20" s="443" customFormat="1">
      <c r="A54" s="443" t="s">
        <v>706</v>
      </c>
      <c r="B54" s="444" t="str">
        <f t="shared" si="3"/>
        <v/>
      </c>
      <c r="C54" s="444"/>
      <c r="D54" s="441"/>
      <c r="E54" s="443" t="s">
        <v>706</v>
      </c>
      <c r="F54" s="444" t="str">
        <f t="shared" si="0"/>
        <v/>
      </c>
      <c r="G54" s="444"/>
      <c r="H54" s="441"/>
      <c r="I54" s="443" t="s">
        <v>706</v>
      </c>
      <c r="J54" s="444" t="str">
        <f t="shared" si="2"/>
        <v/>
      </c>
      <c r="K54" s="444"/>
      <c r="L54" s="441"/>
      <c r="N54" s="444" t="str">
        <f t="shared" si="1"/>
        <v/>
      </c>
      <c r="O54" s="444"/>
      <c r="P54" s="441"/>
      <c r="Q54" s="443" t="s">
        <v>706</v>
      </c>
      <c r="R54" s="444" t="str">
        <f t="shared" si="4"/>
        <v/>
      </c>
      <c r="S54" s="444"/>
      <c r="T54" s="442"/>
    </row>
    <row r="55" spans="1:20" s="443" customFormat="1">
      <c r="A55" s="443" t="s">
        <v>120</v>
      </c>
      <c r="B55" s="444" t="str">
        <f t="shared" si="3"/>
        <v/>
      </c>
      <c r="C55" s="444"/>
      <c r="D55" s="441"/>
      <c r="E55" s="443" t="s">
        <v>120</v>
      </c>
      <c r="F55" s="444" t="str">
        <f t="shared" si="0"/>
        <v/>
      </c>
      <c r="G55" s="444"/>
      <c r="H55" s="441"/>
      <c r="I55" s="443" t="s">
        <v>120</v>
      </c>
      <c r="J55" s="444" t="str">
        <f t="shared" si="2"/>
        <v/>
      </c>
      <c r="K55" s="444"/>
      <c r="L55" s="441"/>
      <c r="N55" s="444" t="str">
        <f t="shared" si="1"/>
        <v/>
      </c>
      <c r="O55" s="444"/>
      <c r="P55" s="441"/>
      <c r="Q55" s="443" t="s">
        <v>120</v>
      </c>
      <c r="R55" s="444" t="str">
        <f t="shared" si="4"/>
        <v/>
      </c>
      <c r="S55" s="444"/>
      <c r="T55" s="442"/>
    </row>
    <row r="56" spans="1:20" s="443" customFormat="1">
      <c r="A56" s="443" t="s">
        <v>702</v>
      </c>
      <c r="B56" s="444" t="str">
        <f t="shared" si="3"/>
        <v/>
      </c>
      <c r="C56" s="444"/>
      <c r="D56" s="441"/>
      <c r="E56" s="443" t="s">
        <v>702</v>
      </c>
      <c r="F56" s="444" t="str">
        <f t="shared" si="0"/>
        <v/>
      </c>
      <c r="G56" s="444"/>
      <c r="H56" s="441"/>
      <c r="I56" s="443" t="s">
        <v>702</v>
      </c>
      <c r="J56" s="444" t="str">
        <f t="shared" si="2"/>
        <v/>
      </c>
      <c r="K56" s="444"/>
      <c r="L56" s="441"/>
      <c r="N56" s="444" t="str">
        <f t="shared" si="1"/>
        <v/>
      </c>
      <c r="O56" s="444"/>
      <c r="P56" s="441"/>
      <c r="Q56" s="443" t="s">
        <v>702</v>
      </c>
      <c r="R56" s="444" t="str">
        <f t="shared" si="4"/>
        <v/>
      </c>
      <c r="S56" s="444"/>
      <c r="T56" s="442"/>
    </row>
    <row r="57" spans="1:20" s="443" customFormat="1">
      <c r="A57" s="443" t="s">
        <v>121</v>
      </c>
      <c r="B57" s="444" t="str">
        <f t="shared" si="3"/>
        <v/>
      </c>
      <c r="C57" s="444"/>
      <c r="D57" s="441"/>
      <c r="E57" s="443" t="s">
        <v>121</v>
      </c>
      <c r="F57" s="444" t="str">
        <f t="shared" si="0"/>
        <v/>
      </c>
      <c r="G57" s="444"/>
      <c r="H57" s="441"/>
      <c r="I57" s="443" t="s">
        <v>121</v>
      </c>
      <c r="J57" s="444" t="str">
        <f t="shared" si="2"/>
        <v/>
      </c>
      <c r="K57" s="444"/>
      <c r="L57" s="441"/>
      <c r="N57" s="444" t="str">
        <f t="shared" si="1"/>
        <v/>
      </c>
      <c r="O57" s="444"/>
      <c r="P57" s="441"/>
      <c r="Q57" s="443" t="s">
        <v>121</v>
      </c>
      <c r="R57" s="444" t="str">
        <f t="shared" si="4"/>
        <v/>
      </c>
      <c r="S57" s="444"/>
      <c r="T57" s="442"/>
    </row>
    <row r="58" spans="1:20" s="443" customFormat="1">
      <c r="A58" s="443" t="s">
        <v>703</v>
      </c>
      <c r="B58" s="444" t="str">
        <f t="shared" si="3"/>
        <v/>
      </c>
      <c r="C58" s="444"/>
      <c r="D58" s="441"/>
      <c r="E58" s="443" t="s">
        <v>703</v>
      </c>
      <c r="F58" s="444" t="str">
        <f t="shared" si="0"/>
        <v/>
      </c>
      <c r="G58" s="444"/>
      <c r="H58" s="441"/>
      <c r="I58" s="443" t="s">
        <v>703</v>
      </c>
      <c r="J58" s="444" t="str">
        <f t="shared" si="2"/>
        <v/>
      </c>
      <c r="K58" s="444"/>
      <c r="L58" s="441"/>
      <c r="N58" s="444" t="str">
        <f t="shared" si="1"/>
        <v/>
      </c>
      <c r="O58" s="444"/>
      <c r="P58" s="441"/>
      <c r="Q58" s="443" t="s">
        <v>703</v>
      </c>
      <c r="R58" s="444" t="str">
        <f t="shared" si="4"/>
        <v/>
      </c>
      <c r="S58" s="444"/>
      <c r="T58" s="442"/>
    </row>
    <row r="59" spans="1:20" s="443" customFormat="1">
      <c r="A59" s="443" t="s">
        <v>704</v>
      </c>
      <c r="B59" s="444" t="str">
        <f t="shared" si="3"/>
        <v/>
      </c>
      <c r="C59" s="444"/>
      <c r="D59" s="441"/>
      <c r="E59" s="443" t="s">
        <v>704</v>
      </c>
      <c r="F59" s="444" t="str">
        <f t="shared" si="0"/>
        <v/>
      </c>
      <c r="G59" s="444"/>
      <c r="H59" s="441"/>
      <c r="I59" s="443" t="s">
        <v>704</v>
      </c>
      <c r="J59" s="444" t="str">
        <f t="shared" si="2"/>
        <v/>
      </c>
      <c r="K59" s="444"/>
      <c r="L59" s="441"/>
      <c r="N59" s="444" t="str">
        <f t="shared" si="1"/>
        <v/>
      </c>
      <c r="O59" s="444"/>
      <c r="P59" s="441"/>
      <c r="Q59" s="443" t="s">
        <v>704</v>
      </c>
      <c r="R59" s="444" t="str">
        <f t="shared" si="4"/>
        <v/>
      </c>
      <c r="S59" s="444"/>
      <c r="T59" s="442"/>
    </row>
    <row r="60" spans="1:20" s="443" customFormat="1">
      <c r="A60" s="443" t="s">
        <v>122</v>
      </c>
      <c r="B60" s="444" t="str">
        <f t="shared" si="3"/>
        <v/>
      </c>
      <c r="C60" s="444"/>
      <c r="D60" s="441"/>
      <c r="E60" s="443" t="s">
        <v>122</v>
      </c>
      <c r="F60" s="444" t="str">
        <f t="shared" si="0"/>
        <v/>
      </c>
      <c r="G60" s="444"/>
      <c r="H60" s="441"/>
      <c r="I60" s="443" t="s">
        <v>122</v>
      </c>
      <c r="J60" s="444" t="str">
        <f t="shared" si="2"/>
        <v/>
      </c>
      <c r="K60" s="444"/>
      <c r="L60" s="441"/>
      <c r="N60" s="444" t="str">
        <f t="shared" si="1"/>
        <v/>
      </c>
      <c r="O60" s="444"/>
      <c r="P60" s="441"/>
      <c r="Q60" s="443" t="s">
        <v>122</v>
      </c>
      <c r="R60" s="444" t="str">
        <f t="shared" si="4"/>
        <v/>
      </c>
      <c r="S60" s="444"/>
      <c r="T60" s="442"/>
    </row>
    <row r="61" spans="1:20" s="443" customFormat="1">
      <c r="A61" s="443" t="s">
        <v>107</v>
      </c>
      <c r="B61" s="444" t="str">
        <f t="shared" si="3"/>
        <v/>
      </c>
      <c r="C61" s="444"/>
      <c r="D61" s="441"/>
      <c r="E61" s="443" t="s">
        <v>107</v>
      </c>
      <c r="F61" s="444" t="str">
        <f t="shared" si="0"/>
        <v/>
      </c>
      <c r="G61" s="444"/>
      <c r="H61" s="441"/>
      <c r="I61" s="443" t="s">
        <v>107</v>
      </c>
      <c r="J61" s="444" t="str">
        <f t="shared" si="2"/>
        <v/>
      </c>
      <c r="K61" s="444"/>
      <c r="L61" s="441"/>
      <c r="N61" s="444" t="str">
        <f t="shared" si="1"/>
        <v/>
      </c>
      <c r="O61" s="444"/>
      <c r="P61" s="441"/>
      <c r="Q61" s="443" t="s">
        <v>107</v>
      </c>
      <c r="R61" s="444" t="str">
        <f t="shared" si="4"/>
        <v/>
      </c>
      <c r="S61" s="444"/>
      <c r="T61" s="442"/>
    </row>
    <row r="62" spans="1:20" s="443" customFormat="1">
      <c r="A62" s="443" t="s">
        <v>708</v>
      </c>
      <c r="B62" s="444" t="str">
        <f t="shared" si="3"/>
        <v/>
      </c>
      <c r="C62" s="444"/>
      <c r="D62" s="441"/>
      <c r="E62" s="443" t="s">
        <v>708</v>
      </c>
      <c r="F62" s="444" t="str">
        <f t="shared" si="0"/>
        <v/>
      </c>
      <c r="G62" s="444"/>
      <c r="H62" s="441"/>
      <c r="I62" s="443" t="s">
        <v>708</v>
      </c>
      <c r="J62" s="444" t="str">
        <f t="shared" si="2"/>
        <v/>
      </c>
      <c r="K62" s="444"/>
      <c r="L62" s="441"/>
      <c r="N62" s="444" t="str">
        <f t="shared" si="1"/>
        <v/>
      </c>
      <c r="O62" s="444"/>
      <c r="P62" s="441"/>
      <c r="Q62" s="443" t="s">
        <v>708</v>
      </c>
      <c r="R62" s="444" t="str">
        <f t="shared" si="4"/>
        <v/>
      </c>
      <c r="S62" s="444"/>
      <c r="T62" s="442"/>
    </row>
    <row r="63" spans="1:20" s="443" customFormat="1">
      <c r="A63" s="443" t="s">
        <v>108</v>
      </c>
      <c r="B63" s="444" t="str">
        <f t="shared" si="3"/>
        <v/>
      </c>
      <c r="C63" s="444"/>
      <c r="D63" s="441"/>
      <c r="E63" s="443" t="s">
        <v>108</v>
      </c>
      <c r="F63" s="444" t="str">
        <f t="shared" si="0"/>
        <v/>
      </c>
      <c r="G63" s="444"/>
      <c r="H63" s="441"/>
      <c r="I63" s="443" t="s">
        <v>108</v>
      </c>
      <c r="J63" s="444" t="str">
        <f t="shared" si="2"/>
        <v/>
      </c>
      <c r="K63" s="444"/>
      <c r="L63" s="441"/>
      <c r="N63" s="444" t="str">
        <f t="shared" si="1"/>
        <v/>
      </c>
      <c r="O63" s="444"/>
      <c r="P63" s="441"/>
      <c r="Q63" s="443" t="s">
        <v>108</v>
      </c>
      <c r="R63" s="444" t="str">
        <f t="shared" si="4"/>
        <v/>
      </c>
      <c r="S63" s="444"/>
      <c r="T63" s="442"/>
    </row>
    <row r="64" spans="1:20" s="443" customFormat="1">
      <c r="A64" s="443" t="s">
        <v>336</v>
      </c>
      <c r="B64" s="444" t="str">
        <f t="shared" si="3"/>
        <v/>
      </c>
      <c r="C64" s="444"/>
      <c r="D64" s="441"/>
      <c r="E64" s="443" t="s">
        <v>336</v>
      </c>
      <c r="F64" s="444" t="str">
        <f t="shared" si="0"/>
        <v/>
      </c>
      <c r="G64" s="444"/>
      <c r="H64" s="441"/>
      <c r="I64" s="443" t="s">
        <v>336</v>
      </c>
      <c r="J64" s="444" t="str">
        <f t="shared" si="2"/>
        <v/>
      </c>
      <c r="K64" s="444"/>
      <c r="L64" s="441"/>
      <c r="N64" s="444" t="str">
        <f t="shared" si="1"/>
        <v/>
      </c>
      <c r="O64" s="444"/>
      <c r="P64" s="441"/>
      <c r="Q64" s="443" t="s">
        <v>336</v>
      </c>
      <c r="R64" s="444" t="str">
        <f t="shared" si="4"/>
        <v/>
      </c>
      <c r="S64" s="444"/>
      <c r="T64" s="442"/>
    </row>
    <row r="65" spans="1:20" s="443" customFormat="1">
      <c r="A65" s="443" t="s">
        <v>337</v>
      </c>
      <c r="B65" s="444" t="str">
        <f t="shared" si="3"/>
        <v/>
      </c>
      <c r="C65" s="444"/>
      <c r="D65" s="441"/>
      <c r="E65" s="443" t="s">
        <v>337</v>
      </c>
      <c r="F65" s="444" t="str">
        <f t="shared" si="0"/>
        <v/>
      </c>
      <c r="G65" s="444"/>
      <c r="H65" s="441"/>
      <c r="I65" s="443" t="s">
        <v>337</v>
      </c>
      <c r="J65" s="444" t="str">
        <f t="shared" si="2"/>
        <v/>
      </c>
      <c r="K65" s="444"/>
      <c r="L65" s="441"/>
      <c r="N65" s="444" t="str">
        <f t="shared" si="1"/>
        <v/>
      </c>
      <c r="O65" s="444"/>
      <c r="P65" s="441"/>
      <c r="Q65" s="443" t="s">
        <v>337</v>
      </c>
      <c r="R65" s="444" t="str">
        <f t="shared" si="4"/>
        <v/>
      </c>
      <c r="S65" s="444"/>
      <c r="T65" s="442"/>
    </row>
    <row r="66" spans="1:20" s="443" customFormat="1">
      <c r="A66" s="443" t="s">
        <v>705</v>
      </c>
      <c r="B66" s="444" t="str">
        <f t="shared" si="3"/>
        <v/>
      </c>
      <c r="C66" s="444"/>
      <c r="D66" s="441"/>
      <c r="E66" s="443" t="s">
        <v>705</v>
      </c>
      <c r="F66" s="444" t="str">
        <f t="shared" si="0"/>
        <v/>
      </c>
      <c r="G66" s="444"/>
      <c r="H66" s="441"/>
      <c r="I66" s="443" t="s">
        <v>705</v>
      </c>
      <c r="J66" s="444" t="str">
        <f t="shared" si="2"/>
        <v/>
      </c>
      <c r="K66" s="444"/>
      <c r="L66" s="441"/>
      <c r="N66" s="444" t="str">
        <f t="shared" si="1"/>
        <v/>
      </c>
      <c r="O66" s="444"/>
      <c r="P66" s="441"/>
      <c r="Q66" s="443" t="s">
        <v>705</v>
      </c>
      <c r="R66" s="444" t="str">
        <f t="shared" si="4"/>
        <v/>
      </c>
      <c r="S66" s="444"/>
      <c r="T66" s="442"/>
    </row>
    <row r="67" spans="1:20" s="443" customFormat="1">
      <c r="A67" s="443" t="s">
        <v>109</v>
      </c>
      <c r="B67" s="444" t="str">
        <f t="shared" si="3"/>
        <v/>
      </c>
      <c r="C67" s="444"/>
      <c r="D67" s="441"/>
      <c r="E67" s="443" t="s">
        <v>109</v>
      </c>
      <c r="F67" s="444" t="str">
        <f t="shared" si="0"/>
        <v/>
      </c>
      <c r="G67" s="444"/>
      <c r="H67" s="441"/>
      <c r="I67" s="443" t="s">
        <v>109</v>
      </c>
      <c r="J67" s="444" t="str">
        <f t="shared" si="2"/>
        <v/>
      </c>
      <c r="K67" s="444"/>
      <c r="L67" s="441"/>
      <c r="N67" s="444" t="str">
        <f t="shared" si="1"/>
        <v/>
      </c>
      <c r="O67" s="444"/>
      <c r="P67" s="441"/>
      <c r="Q67" s="443" t="s">
        <v>109</v>
      </c>
      <c r="R67" s="444" t="str">
        <f t="shared" si="4"/>
        <v/>
      </c>
      <c r="S67" s="444"/>
      <c r="T67" s="442"/>
    </row>
    <row r="68" spans="1:20" s="443" customFormat="1">
      <c r="A68" s="443" t="s">
        <v>110</v>
      </c>
      <c r="B68" s="444" t="str">
        <f t="shared" si="3"/>
        <v/>
      </c>
      <c r="C68" s="444"/>
      <c r="D68" s="441"/>
      <c r="E68" s="443" t="s">
        <v>110</v>
      </c>
      <c r="F68" s="444" t="str">
        <f t="shared" si="0"/>
        <v/>
      </c>
      <c r="G68" s="444"/>
      <c r="H68" s="441"/>
      <c r="I68" s="443" t="s">
        <v>110</v>
      </c>
      <c r="J68" s="444" t="str">
        <f t="shared" si="2"/>
        <v/>
      </c>
      <c r="K68" s="444"/>
      <c r="L68" s="441"/>
      <c r="N68" s="444" t="str">
        <f t="shared" si="1"/>
        <v/>
      </c>
      <c r="O68" s="444"/>
      <c r="P68" s="441"/>
      <c r="Q68" s="443" t="s">
        <v>110</v>
      </c>
      <c r="R68" s="444" t="str">
        <f t="shared" si="4"/>
        <v/>
      </c>
      <c r="S68" s="444"/>
      <c r="T68" s="442"/>
    </row>
    <row r="69" spans="1:20" s="443" customFormat="1">
      <c r="A69" s="443" t="s">
        <v>111</v>
      </c>
      <c r="B69" s="444" t="str">
        <f t="shared" si="3"/>
        <v/>
      </c>
      <c r="C69" s="444"/>
      <c r="D69" s="441"/>
      <c r="E69" s="443" t="s">
        <v>111</v>
      </c>
      <c r="F69" s="444" t="str">
        <f t="shared" si="0"/>
        <v/>
      </c>
      <c r="G69" s="444"/>
      <c r="H69" s="441"/>
      <c r="I69" s="443" t="s">
        <v>111</v>
      </c>
      <c r="J69" s="444" t="str">
        <f t="shared" si="2"/>
        <v/>
      </c>
      <c r="K69" s="444"/>
      <c r="L69" s="441"/>
      <c r="N69" s="444" t="str">
        <f t="shared" si="1"/>
        <v/>
      </c>
      <c r="O69" s="444"/>
      <c r="P69" s="441"/>
      <c r="Q69" s="443" t="s">
        <v>111</v>
      </c>
      <c r="R69" s="444" t="str">
        <f t="shared" si="4"/>
        <v/>
      </c>
      <c r="S69" s="444"/>
      <c r="T69" s="442"/>
    </row>
    <row r="70" spans="1:20" s="443" customFormat="1">
      <c r="A70" s="443" t="s">
        <v>112</v>
      </c>
      <c r="B70" s="444">
        <f t="shared" si="3"/>
        <v>530018.30708199996</v>
      </c>
      <c r="C70" s="444"/>
      <c r="D70" s="441"/>
      <c r="E70" s="443" t="s">
        <v>112</v>
      </c>
      <c r="F70" s="444">
        <f t="shared" si="0"/>
        <v>533516.82152700005</v>
      </c>
      <c r="G70" s="444"/>
      <c r="H70" s="441"/>
      <c r="I70" s="443" t="s">
        <v>112</v>
      </c>
      <c r="J70" s="444" t="str">
        <f t="shared" si="2"/>
        <v/>
      </c>
      <c r="K70" s="444"/>
      <c r="L70" s="441"/>
      <c r="M70" s="443" t="s">
        <v>870</v>
      </c>
      <c r="N70" s="446">
        <f>N31</f>
        <v>0</v>
      </c>
      <c r="O70" s="444"/>
      <c r="P70" s="441"/>
      <c r="Q70" s="443" t="s">
        <v>112</v>
      </c>
      <c r="R70" s="444" t="str">
        <f t="shared" si="4"/>
        <v/>
      </c>
      <c r="S70" s="444"/>
      <c r="T70" s="442"/>
    </row>
    <row r="71" spans="1:20" s="443" customFormat="1">
      <c r="A71" s="443" t="s">
        <v>113</v>
      </c>
      <c r="B71" s="444">
        <f t="shared" si="3"/>
        <v>285834.44619400002</v>
      </c>
      <c r="C71" s="444"/>
      <c r="D71" s="441"/>
      <c r="E71" s="443" t="s">
        <v>113</v>
      </c>
      <c r="F71" s="444">
        <f t="shared" si="0"/>
        <v>287244.62281600002</v>
      </c>
      <c r="G71" s="444"/>
      <c r="H71" s="441"/>
      <c r="I71" s="443" t="s">
        <v>113</v>
      </c>
      <c r="J71" s="444" t="str">
        <f t="shared" si="2"/>
        <v/>
      </c>
      <c r="K71" s="444"/>
      <c r="L71" s="441"/>
      <c r="M71" s="443" t="s">
        <v>113</v>
      </c>
      <c r="N71" s="446">
        <f>N32</f>
        <v>0</v>
      </c>
      <c r="O71" s="444"/>
      <c r="P71" s="441"/>
      <c r="Q71" s="443" t="s">
        <v>113</v>
      </c>
      <c r="R71" s="444" t="str">
        <f t="shared" si="4"/>
        <v/>
      </c>
      <c r="S71" s="444"/>
      <c r="T71" s="442"/>
    </row>
    <row r="72" spans="1:20" s="443" customFormat="1">
      <c r="B72" s="444"/>
      <c r="C72" s="444"/>
      <c r="D72" s="441"/>
      <c r="F72" s="444"/>
      <c r="G72" s="444"/>
      <c r="H72" s="441"/>
      <c r="J72" s="447"/>
      <c r="K72" s="444"/>
      <c r="L72" s="441"/>
      <c r="N72" s="444"/>
      <c r="O72" s="444"/>
      <c r="P72" s="441"/>
      <c r="R72" s="444"/>
      <c r="S72" s="444"/>
      <c r="T72" s="442"/>
    </row>
    <row r="73" spans="1:20" s="443" customFormat="1">
      <c r="A73" s="448" t="s">
        <v>22</v>
      </c>
      <c r="B73" s="444">
        <f>SUM(B34:C34)</f>
        <v>815852.75327600003</v>
      </c>
      <c r="C73" s="449"/>
      <c r="D73" s="441"/>
      <c r="E73" s="448" t="s">
        <v>22</v>
      </c>
      <c r="F73" s="444">
        <f>SUM(F34:G34)</f>
        <v>820761.44434300007</v>
      </c>
      <c r="G73" s="450"/>
      <c r="H73" s="441"/>
      <c r="I73" s="448" t="s">
        <v>22</v>
      </c>
      <c r="J73" s="447">
        <f>SUM(J34:K34)</f>
        <v>0</v>
      </c>
      <c r="K73" s="449"/>
      <c r="L73" s="441"/>
      <c r="M73" s="448" t="s">
        <v>22</v>
      </c>
      <c r="N73" s="444">
        <f>SUM(N34:O34)</f>
        <v>0</v>
      </c>
      <c r="O73" s="449"/>
      <c r="P73" s="441"/>
      <c r="Q73" s="448" t="s">
        <v>22</v>
      </c>
      <c r="R73" s="444">
        <f>SUM(R34:S34)</f>
        <v>0</v>
      </c>
      <c r="S73" s="449"/>
      <c r="T73" s="442"/>
    </row>
    <row r="74" spans="1:20" s="443" customFormat="1">
      <c r="A74" s="442"/>
      <c r="B74" s="442"/>
      <c r="C74" s="442"/>
      <c r="D74" s="441"/>
      <c r="E74" s="442"/>
      <c r="F74" s="442"/>
      <c r="G74" s="442"/>
      <c r="H74" s="441"/>
      <c r="I74" s="442"/>
      <c r="J74" s="451"/>
      <c r="K74" s="442"/>
      <c r="L74" s="441"/>
      <c r="M74" s="442"/>
      <c r="N74" s="442"/>
      <c r="O74" s="442"/>
      <c r="P74" s="441"/>
      <c r="Q74" s="442"/>
      <c r="R74" s="442"/>
      <c r="S74" s="442"/>
      <c r="T74" s="442"/>
    </row>
    <row r="75" spans="1:20" s="443" customFormat="1">
      <c r="A75" s="452" t="s">
        <v>51</v>
      </c>
      <c r="B75" s="453">
        <f>SUM(B71:C71)</f>
        <v>285834.44619400002</v>
      </c>
      <c r="C75" s="442"/>
      <c r="D75" s="441"/>
      <c r="E75" s="452" t="s">
        <v>51</v>
      </c>
      <c r="F75" s="453">
        <f>SUM(F71:G71)</f>
        <v>287244.62281600002</v>
      </c>
      <c r="G75" s="442"/>
      <c r="H75" s="441"/>
      <c r="I75" s="452" t="s">
        <v>51</v>
      </c>
      <c r="J75" s="451">
        <f>SUM(J71:K71)</f>
        <v>0</v>
      </c>
      <c r="K75" s="442"/>
      <c r="L75" s="441"/>
      <c r="M75" s="452"/>
      <c r="N75" s="454"/>
      <c r="O75" s="442"/>
      <c r="P75" s="441"/>
      <c r="Q75" s="452" t="s">
        <v>51</v>
      </c>
      <c r="R75" s="454">
        <f>SUM(R71:S71)</f>
        <v>0</v>
      </c>
      <c r="S75" s="442"/>
      <c r="T75" s="442"/>
    </row>
    <row r="76" spans="1:20" s="443" customFormat="1">
      <c r="A76" s="452" t="s">
        <v>114</v>
      </c>
      <c r="B76" s="453">
        <f>SUM(B41,B43:B49,B51,B52:B57,B60:B61,B63:B65,B67:B70)</f>
        <v>530018.30708199996</v>
      </c>
      <c r="C76" s="442"/>
      <c r="D76" s="441"/>
      <c r="E76" s="452" t="s">
        <v>114</v>
      </c>
      <c r="F76" s="453">
        <f>SUM(F41,F43:F49,F51,F52:F57,F60:F61,F63:F65,F67:F70)</f>
        <v>533516.82152700005</v>
      </c>
      <c r="G76" s="442"/>
      <c r="H76" s="441"/>
      <c r="I76" s="452" t="s">
        <v>114</v>
      </c>
      <c r="J76" s="453">
        <f>SUM(J41,J43:J49,J51,J52:J57,J60:J61,J63:J65,J67:J70)</f>
        <v>0</v>
      </c>
      <c r="K76" s="442"/>
      <c r="L76" s="441"/>
      <c r="M76" s="452"/>
      <c r="N76" s="453"/>
      <c r="O76" s="442"/>
      <c r="P76" s="441"/>
      <c r="Q76" s="452" t="s">
        <v>114</v>
      </c>
      <c r="R76" s="453">
        <f>SUM(R41,R43:R49,R51,R52:R57,R60:R61,R63:R65,R67:R70)</f>
        <v>0</v>
      </c>
      <c r="S76" s="442"/>
      <c r="T76" s="441"/>
    </row>
    <row r="77" spans="1:20" s="443" customFormat="1">
      <c r="A77" s="442" t="s">
        <v>709</v>
      </c>
      <c r="B77" s="453">
        <f>SUM(B50,B58,B66)</f>
        <v>0</v>
      </c>
      <c r="C77" s="442"/>
      <c r="D77" s="441"/>
      <c r="E77" s="442" t="s">
        <v>709</v>
      </c>
      <c r="F77" s="453">
        <f>SUM(F50,F58,F66)</f>
        <v>0</v>
      </c>
      <c r="G77" s="442"/>
      <c r="H77" s="441"/>
      <c r="I77" s="442" t="s">
        <v>709</v>
      </c>
      <c r="J77" s="453">
        <f>SUM(J50,J58,J66)</f>
        <v>0</v>
      </c>
      <c r="K77" s="442"/>
      <c r="L77" s="441"/>
      <c r="M77" s="442"/>
      <c r="N77" s="453"/>
      <c r="O77" s="442"/>
      <c r="P77" s="441"/>
      <c r="Q77" s="442"/>
      <c r="R77" s="453">
        <f>SUM(R50,R58,R66)</f>
        <v>0</v>
      </c>
      <c r="S77" s="442"/>
      <c r="T77" s="441"/>
    </row>
    <row r="78" spans="1:20" s="443" customFormat="1">
      <c r="A78" s="442"/>
      <c r="B78" s="442"/>
      <c r="C78" s="442"/>
      <c r="D78" s="441"/>
      <c r="E78" s="442"/>
      <c r="F78" s="442"/>
      <c r="G78" s="442"/>
      <c r="H78" s="441"/>
      <c r="I78" s="442"/>
      <c r="J78" s="442"/>
      <c r="K78" s="442"/>
      <c r="L78" s="441"/>
      <c r="M78" s="442"/>
      <c r="N78" s="442"/>
      <c r="O78" s="442"/>
      <c r="P78" s="441"/>
      <c r="Q78" s="442" t="s">
        <v>709</v>
      </c>
      <c r="R78" s="442"/>
      <c r="S78" s="442"/>
      <c r="T78" s="441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249977111117893"/>
  </sheetPr>
  <dimension ref="A1:Y20"/>
  <sheetViews>
    <sheetView zoomScale="85" zoomScaleNormal="85" zoomScalePageLayoutView="85" workbookViewId="0">
      <selection activeCell="B2" sqref="B2"/>
    </sheetView>
  </sheetViews>
  <sheetFormatPr baseColWidth="10" defaultColWidth="8.83203125" defaultRowHeight="14" x14ac:dyDescent="0"/>
  <cols>
    <col min="1" max="1" width="22" style="10" bestFit="1" customWidth="1"/>
    <col min="2" max="3" width="12.6640625" style="10" bestFit="1" customWidth="1"/>
    <col min="4" max="4" width="3.1640625" style="9" customWidth="1"/>
    <col min="5" max="5" width="19.1640625" style="10" bestFit="1" customWidth="1"/>
    <col min="6" max="6" width="13.5" style="10" bestFit="1" customWidth="1"/>
    <col min="7" max="7" width="12.6640625" style="10" bestFit="1" customWidth="1"/>
    <col min="8" max="8" width="3.1640625" style="9" customWidth="1"/>
    <col min="9" max="9" width="22" style="10" bestFit="1" customWidth="1"/>
    <col min="10" max="11" width="12.6640625" style="10" bestFit="1" customWidth="1"/>
    <col min="12" max="12" width="3.1640625" style="9" customWidth="1"/>
    <col min="13" max="13" width="19.1640625" style="10" bestFit="1" customWidth="1"/>
    <col min="14" max="15" width="12.6640625" style="10" bestFit="1" customWidth="1"/>
    <col min="16" max="16" width="3.1640625" style="9" customWidth="1"/>
    <col min="17" max="17" width="19.1640625" style="10" bestFit="1" customWidth="1"/>
    <col min="18" max="19" width="12.6640625" style="10" bestFit="1" customWidth="1"/>
    <col min="20" max="20" width="3.1640625" style="9" customWidth="1"/>
  </cols>
  <sheetData>
    <row r="1" spans="1:25">
      <c r="A1" s="4" t="s">
        <v>16</v>
      </c>
      <c r="B1" s="264" t="s">
        <v>845</v>
      </c>
      <c r="C1" s="4"/>
      <c r="D1" s="5"/>
      <c r="E1" s="4" t="s">
        <v>17</v>
      </c>
      <c r="F1" s="264" t="s">
        <v>845</v>
      </c>
      <c r="G1" s="4"/>
      <c r="H1" s="5"/>
      <c r="I1" s="4" t="s">
        <v>18</v>
      </c>
      <c r="J1" s="4"/>
      <c r="K1" s="4"/>
      <c r="L1" s="5"/>
      <c r="M1" s="4" t="s">
        <v>19</v>
      </c>
      <c r="N1" s="4"/>
      <c r="O1" s="4"/>
      <c r="P1" s="5"/>
      <c r="Q1" s="4" t="s">
        <v>20</v>
      </c>
      <c r="R1" s="4"/>
      <c r="S1" s="4"/>
      <c r="T1" s="5"/>
    </row>
    <row r="2" spans="1:25">
      <c r="A2" s="157" t="s">
        <v>328</v>
      </c>
      <c r="B2" s="73">
        <v>3115.7474399999996</v>
      </c>
      <c r="C2" s="148"/>
      <c r="E2" s="157" t="s">
        <v>328</v>
      </c>
      <c r="F2" s="73">
        <v>2405.2285920000004</v>
      </c>
      <c r="G2" s="73"/>
      <c r="I2" s="157" t="s">
        <v>328</v>
      </c>
      <c r="J2" s="148"/>
      <c r="K2" s="148"/>
      <c r="M2" s="157" t="s">
        <v>328</v>
      </c>
      <c r="N2" s="73"/>
      <c r="O2" s="148"/>
      <c r="Q2" s="157" t="s">
        <v>328</v>
      </c>
      <c r="R2" s="73"/>
      <c r="S2" s="31"/>
      <c r="V2" s="173"/>
      <c r="W2" s="173"/>
      <c r="X2" s="148"/>
      <c r="Y2" s="148"/>
    </row>
    <row r="3" spans="1:25">
      <c r="A3" s="157" t="s">
        <v>329</v>
      </c>
      <c r="B3" s="73">
        <v>7007.0482559999982</v>
      </c>
      <c r="C3" s="148"/>
      <c r="E3" s="157" t="s">
        <v>329</v>
      </c>
      <c r="F3" s="73">
        <v>6049.5286800000003</v>
      </c>
      <c r="G3" s="73"/>
      <c r="I3" s="157" t="s">
        <v>329</v>
      </c>
      <c r="J3" s="148"/>
      <c r="K3" s="148"/>
      <c r="M3" s="157" t="s">
        <v>329</v>
      </c>
      <c r="N3" s="73"/>
      <c r="O3" s="148"/>
      <c r="Q3" s="157" t="s">
        <v>329</v>
      </c>
      <c r="R3" s="73"/>
      <c r="S3" s="31"/>
      <c r="V3" s="173"/>
      <c r="W3" s="173"/>
      <c r="X3" s="148"/>
      <c r="Y3" s="148"/>
    </row>
    <row r="4" spans="1:25">
      <c r="A4" s="157" t="s">
        <v>330</v>
      </c>
      <c r="B4" s="73">
        <v>33076.453487999999</v>
      </c>
      <c r="C4" s="148"/>
      <c r="E4" s="157" t="s">
        <v>330</v>
      </c>
      <c r="F4" s="73">
        <v>32688.484919999999</v>
      </c>
      <c r="G4" s="73"/>
      <c r="I4" s="157" t="s">
        <v>330</v>
      </c>
      <c r="J4" s="148"/>
      <c r="K4" s="148"/>
      <c r="M4" s="157" t="s">
        <v>330</v>
      </c>
      <c r="N4" s="73"/>
      <c r="O4" s="148"/>
      <c r="Q4" s="157" t="s">
        <v>330</v>
      </c>
      <c r="R4" s="73"/>
      <c r="S4" s="31"/>
      <c r="V4" s="173"/>
      <c r="W4" s="173"/>
      <c r="X4" s="148"/>
      <c r="Y4" s="148"/>
    </row>
    <row r="5" spans="1:25">
      <c r="A5" s="157" t="s">
        <v>331</v>
      </c>
      <c r="B5" s="73">
        <v>1328.423616</v>
      </c>
      <c r="C5" s="148"/>
      <c r="E5" s="157" t="s">
        <v>331</v>
      </c>
      <c r="F5" s="73">
        <v>1257.1210079999998</v>
      </c>
      <c r="G5" s="73"/>
      <c r="I5" s="157" t="s">
        <v>331</v>
      </c>
      <c r="J5" s="148"/>
      <c r="K5" s="148"/>
      <c r="M5" s="157" t="s">
        <v>331</v>
      </c>
      <c r="N5" s="73"/>
      <c r="O5" s="148"/>
      <c r="Q5" s="157" t="s">
        <v>331</v>
      </c>
      <c r="R5" s="73"/>
      <c r="S5" s="31"/>
      <c r="V5" s="173"/>
      <c r="W5" s="173"/>
      <c r="X5" s="148"/>
      <c r="Y5" s="148"/>
    </row>
    <row r="6" spans="1:25">
      <c r="A6" s="157" t="s">
        <v>332</v>
      </c>
      <c r="B6" s="73">
        <v>6203.7805050000015</v>
      </c>
      <c r="C6" s="148"/>
      <c r="E6" s="157" t="s">
        <v>332</v>
      </c>
      <c r="F6" s="73">
        <v>6203.6412750000009</v>
      </c>
      <c r="G6" s="73"/>
      <c r="I6" s="157" t="s">
        <v>332</v>
      </c>
      <c r="J6" s="148"/>
      <c r="K6" s="148"/>
      <c r="M6" s="157" t="s">
        <v>332</v>
      </c>
      <c r="N6" s="73"/>
      <c r="O6" s="148"/>
      <c r="Q6" s="157" t="s">
        <v>332</v>
      </c>
      <c r="R6" s="73"/>
      <c r="S6" s="31"/>
      <c r="V6" s="173"/>
      <c r="W6" s="173"/>
      <c r="X6" s="148"/>
      <c r="Y6" s="148"/>
    </row>
    <row r="7" spans="1:25">
      <c r="A7" s="157" t="s">
        <v>333</v>
      </c>
      <c r="B7" s="73">
        <v>954.30878399999995</v>
      </c>
      <c r="C7" s="148"/>
      <c r="E7" s="157" t="s">
        <v>333</v>
      </c>
      <c r="F7" s="73">
        <v>767.07227999999986</v>
      </c>
      <c r="G7" s="73"/>
      <c r="I7" s="157" t="s">
        <v>333</v>
      </c>
      <c r="J7" s="148"/>
      <c r="K7" s="148"/>
      <c r="M7" s="157" t="s">
        <v>333</v>
      </c>
      <c r="N7" s="73"/>
      <c r="O7" s="148"/>
      <c r="Q7" s="157" t="s">
        <v>333</v>
      </c>
      <c r="R7" s="73"/>
      <c r="S7" s="31"/>
      <c r="V7" s="173"/>
      <c r="W7" s="173"/>
      <c r="X7" s="148"/>
      <c r="Y7" s="148"/>
    </row>
    <row r="8" spans="1:25">
      <c r="A8" s="157" t="s">
        <v>720</v>
      </c>
      <c r="B8" s="73">
        <v>1070.30664</v>
      </c>
      <c r="C8" s="148"/>
      <c r="E8" s="157" t="s">
        <v>720</v>
      </c>
      <c r="F8" s="73">
        <v>919.80875999999978</v>
      </c>
      <c r="G8" s="73"/>
      <c r="I8" s="157" t="s">
        <v>720</v>
      </c>
      <c r="J8" s="148"/>
      <c r="K8" s="148"/>
      <c r="M8" s="157" t="s">
        <v>720</v>
      </c>
      <c r="N8" s="73"/>
      <c r="O8" s="148"/>
      <c r="Q8" s="157" t="s">
        <v>720</v>
      </c>
      <c r="R8" s="73"/>
      <c r="S8" s="31"/>
      <c r="V8" s="173"/>
      <c r="W8" s="173"/>
      <c r="X8" s="148"/>
      <c r="Y8" s="148"/>
    </row>
    <row r="9" spans="1:25">
      <c r="A9" s="157" t="s">
        <v>334</v>
      </c>
      <c r="B9" s="73">
        <v>35065.468192</v>
      </c>
      <c r="C9" s="148"/>
      <c r="E9" s="157" t="s">
        <v>334</v>
      </c>
      <c r="F9" s="73">
        <v>31293.250967999997</v>
      </c>
      <c r="G9" s="73"/>
      <c r="I9" s="157" t="s">
        <v>334</v>
      </c>
      <c r="J9" s="148"/>
      <c r="K9" s="148"/>
      <c r="M9" s="157" t="s">
        <v>334</v>
      </c>
      <c r="N9" s="73"/>
      <c r="O9" s="148"/>
      <c r="Q9" s="157" t="s">
        <v>334</v>
      </c>
      <c r="R9" s="73"/>
      <c r="S9" s="31"/>
      <c r="V9" s="173"/>
      <c r="W9" s="173"/>
      <c r="X9" s="148"/>
      <c r="Y9" s="148"/>
    </row>
    <row r="10" spans="1:25">
      <c r="A10" s="6" t="s">
        <v>115</v>
      </c>
      <c r="B10" s="73">
        <v>161026.43</v>
      </c>
      <c r="C10" s="148"/>
      <c r="E10" s="6" t="s">
        <v>115</v>
      </c>
      <c r="F10" s="73">
        <v>149027.50999999995</v>
      </c>
      <c r="G10" s="73"/>
      <c r="I10" s="6" t="s">
        <v>115</v>
      </c>
      <c r="J10" s="148"/>
      <c r="K10" s="148"/>
      <c r="M10" s="6" t="s">
        <v>115</v>
      </c>
      <c r="N10" s="73"/>
      <c r="O10" s="148"/>
      <c r="Q10" s="6" t="s">
        <v>115</v>
      </c>
      <c r="R10" s="73"/>
      <c r="S10" s="31"/>
    </row>
    <row r="11" spans="1:25">
      <c r="A11" s="14" t="s">
        <v>22</v>
      </c>
      <c r="B11" s="15">
        <f>SUM(B2:B10)</f>
        <v>248847.96692099998</v>
      </c>
      <c r="C11" s="15">
        <f>SUM(C10:C10)</f>
        <v>0</v>
      </c>
      <c r="E11" s="14" t="s">
        <v>22</v>
      </c>
      <c r="F11" s="178">
        <f>SUM(F2:F10)</f>
        <v>230611.64648299996</v>
      </c>
      <c r="G11" s="15">
        <f>SUM(G2:G10)</f>
        <v>0</v>
      </c>
      <c r="I11" s="12" t="s">
        <v>21</v>
      </c>
      <c r="J11" s="178">
        <f>SUM(J2:J10)</f>
        <v>0</v>
      </c>
      <c r="K11" s="15">
        <f>SUM(K2:K10)</f>
        <v>0</v>
      </c>
      <c r="M11" s="12" t="s">
        <v>21</v>
      </c>
      <c r="N11" s="178">
        <f>SUM(N2:N10)</f>
        <v>0</v>
      </c>
      <c r="O11" s="15">
        <f>SUM(O2:O10)</f>
        <v>0</v>
      </c>
      <c r="Q11" s="14" t="s">
        <v>22</v>
      </c>
      <c r="R11" s="178">
        <f>SUM(R2:R10)</f>
        <v>0</v>
      </c>
      <c r="S11" s="15">
        <f>SUM(S2:S10)</f>
        <v>0</v>
      </c>
    </row>
    <row r="13" spans="1:25">
      <c r="A13" s="25" t="s">
        <v>32</v>
      </c>
      <c r="B13" s="9"/>
      <c r="C13" s="9"/>
      <c r="E13" s="9"/>
      <c r="F13" s="9"/>
      <c r="G13" s="9"/>
      <c r="I13" s="9"/>
      <c r="J13" s="9"/>
      <c r="K13" s="9"/>
      <c r="M13" s="9"/>
      <c r="N13" s="9"/>
      <c r="O13" s="9"/>
      <c r="Q13" s="9"/>
      <c r="R13" s="9"/>
      <c r="S13" s="9"/>
      <c r="T13" s="10"/>
    </row>
    <row r="14" spans="1:25">
      <c r="A14" s="9"/>
      <c r="B14" s="9"/>
      <c r="C14" s="9"/>
      <c r="E14" s="9"/>
      <c r="F14" s="9"/>
      <c r="G14" s="9"/>
      <c r="I14" s="9"/>
      <c r="J14" s="9"/>
      <c r="K14" s="9"/>
      <c r="M14" s="9"/>
      <c r="N14" s="9"/>
      <c r="O14" s="9"/>
      <c r="Q14" s="9"/>
      <c r="R14" s="9"/>
      <c r="S14" s="9"/>
      <c r="T14" s="10"/>
    </row>
    <row r="15" spans="1:25">
      <c r="A15" s="6" t="s">
        <v>51</v>
      </c>
      <c r="B15" s="158">
        <f>B10-C10</f>
        <v>161026.43</v>
      </c>
      <c r="C15" s="7" t="str">
        <f>IFERROR(C10+(C10/B10)*#REF!, "")</f>
        <v/>
      </c>
      <c r="E15" s="6" t="s">
        <v>51</v>
      </c>
      <c r="F15" s="158">
        <f>F10-G10</f>
        <v>149027.50999999995</v>
      </c>
      <c r="G15" s="7" t="str">
        <f>IFERROR(G10+(G10/F10)*#REF!, "")</f>
        <v/>
      </c>
      <c r="I15" s="6" t="s">
        <v>51</v>
      </c>
      <c r="J15" s="158">
        <f>J10-K10</f>
        <v>0</v>
      </c>
      <c r="K15" s="7" t="str">
        <f>IFERROR(K10+(K10/J10)*#REF!, "")</f>
        <v/>
      </c>
      <c r="M15" s="6" t="s">
        <v>51</v>
      </c>
      <c r="N15" s="158">
        <f>N10</f>
        <v>0</v>
      </c>
      <c r="O15" s="7" t="str">
        <f>IFERROR(O10+(O10/N10)*#REF!, "")</f>
        <v/>
      </c>
      <c r="Q15" s="6" t="s">
        <v>51</v>
      </c>
      <c r="R15" s="7">
        <f>R10-S10</f>
        <v>0</v>
      </c>
      <c r="S15" s="7" t="str">
        <f>IFERROR(S10+(S10/R10)*#REF!, "")</f>
        <v/>
      </c>
      <c r="T15" s="10"/>
    </row>
    <row r="16" spans="1:25">
      <c r="A16" s="433" t="s">
        <v>923</v>
      </c>
      <c r="B16" s="7">
        <f>B11-B10</f>
        <v>87821.536920999992</v>
      </c>
      <c r="C16" s="7"/>
      <c r="E16" s="433" t="s">
        <v>923</v>
      </c>
      <c r="F16" s="158">
        <f>F11-F10</f>
        <v>81584.136483000009</v>
      </c>
      <c r="G16" s="7"/>
      <c r="I16" s="433" t="s">
        <v>923</v>
      </c>
      <c r="J16" s="158">
        <f>J11-J10</f>
        <v>0</v>
      </c>
      <c r="K16" s="7"/>
      <c r="M16" s="413" t="s">
        <v>865</v>
      </c>
      <c r="N16" s="158">
        <f>N11-N10</f>
        <v>0</v>
      </c>
      <c r="O16" s="7"/>
      <c r="Q16" s="6"/>
      <c r="R16" s="7">
        <f>SUM(R7:R9,R2:R5)-SUM(S2:S5,S7:S9)</f>
        <v>0</v>
      </c>
      <c r="S16" s="7"/>
      <c r="T16" s="10"/>
    </row>
    <row r="17" spans="1:20">
      <c r="A17" s="6"/>
      <c r="B17" s="7"/>
      <c r="C17" s="7"/>
      <c r="E17" s="6"/>
      <c r="F17" s="158"/>
      <c r="G17" s="7"/>
      <c r="I17" s="6"/>
      <c r="J17" s="158"/>
      <c r="K17" s="7"/>
      <c r="M17" s="6"/>
      <c r="N17" s="158"/>
      <c r="O17" s="7"/>
      <c r="Q17" s="6"/>
      <c r="R17" s="7">
        <f>R6-S6</f>
        <v>0</v>
      </c>
      <c r="S17" s="7"/>
      <c r="T17" s="10"/>
    </row>
    <row r="18" spans="1:20">
      <c r="A18" s="14" t="s">
        <v>22</v>
      </c>
      <c r="B18" s="7">
        <f>B11-C11</f>
        <v>248847.96692099998</v>
      </c>
      <c r="C18" s="7" t="str">
        <f>IFERROR(C11+(C11/B11)*#REF!, "")</f>
        <v/>
      </c>
      <c r="E18" s="14" t="s">
        <v>22</v>
      </c>
      <c r="F18" s="158">
        <f>F11-G11</f>
        <v>230611.64648299996</v>
      </c>
      <c r="G18" s="7" t="str">
        <f>IFERROR(G11+(G11/F11)*#REF!, "")</f>
        <v/>
      </c>
      <c r="I18" s="14" t="s">
        <v>22</v>
      </c>
      <c r="J18" s="158">
        <f>J11-K11</f>
        <v>0</v>
      </c>
      <c r="K18" s="7" t="str">
        <f>IFERROR(K11+(K11/J11)*#REF!, "")</f>
        <v/>
      </c>
      <c r="M18" s="14" t="s">
        <v>22</v>
      </c>
      <c r="N18" s="158">
        <f>SUM(N15:N16)</f>
        <v>0</v>
      </c>
      <c r="O18" s="7" t="str">
        <f>IFERROR(O11+(O11/N11)*#REF!, "")</f>
        <v/>
      </c>
      <c r="Q18" s="14" t="s">
        <v>22</v>
      </c>
      <c r="R18" s="158">
        <f>R11-S11</f>
        <v>0</v>
      </c>
      <c r="S18" s="7" t="str">
        <f>IFERROR(S11+(S11/R11)*#REF!, "")</f>
        <v/>
      </c>
      <c r="T18" s="10"/>
    </row>
    <row r="19" spans="1:20">
      <c r="T19" s="10"/>
    </row>
    <row r="20" spans="1:20">
      <c r="T20" s="1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0" tint="-0.249977111117893"/>
  </sheetPr>
  <dimension ref="A1:X10"/>
  <sheetViews>
    <sheetView zoomScale="85" zoomScaleNormal="85" zoomScalePageLayoutView="85" workbookViewId="0">
      <selection activeCell="F2" sqref="F2"/>
    </sheetView>
  </sheetViews>
  <sheetFormatPr baseColWidth="10" defaultColWidth="8.83203125" defaultRowHeight="14" x14ac:dyDescent="0"/>
  <cols>
    <col min="1" max="1" width="19.1640625" style="10" bestFit="1" customWidth="1"/>
    <col min="2" max="3" width="12.6640625" style="10" bestFit="1" customWidth="1"/>
    <col min="4" max="4" width="3.1640625" style="9" customWidth="1"/>
    <col min="5" max="5" width="19.1640625" style="10" bestFit="1" customWidth="1"/>
    <col min="6" max="6" width="13.5" style="10" bestFit="1" customWidth="1"/>
    <col min="7" max="7" width="12.6640625" style="10" bestFit="1" customWidth="1"/>
    <col min="8" max="8" width="3.1640625" style="9" customWidth="1"/>
    <col min="9" max="9" width="19.1640625" style="10" bestFit="1" customWidth="1"/>
    <col min="10" max="11" width="12.6640625" style="10" bestFit="1" customWidth="1"/>
    <col min="12" max="12" width="3.1640625" style="9" customWidth="1"/>
    <col min="13" max="13" width="19.1640625" style="10" bestFit="1" customWidth="1"/>
    <col min="14" max="15" width="12.6640625" style="10" bestFit="1" customWidth="1"/>
    <col min="16" max="16" width="3.1640625" style="9" customWidth="1"/>
    <col min="17" max="17" width="19.1640625" style="10" bestFit="1" customWidth="1"/>
    <col min="18" max="19" width="12.6640625" style="10" bestFit="1" customWidth="1"/>
    <col min="20" max="20" width="3.1640625" style="9" customWidth="1"/>
    <col min="24" max="24" width="11.5" bestFit="1" customWidth="1"/>
  </cols>
  <sheetData>
    <row r="1" spans="1:24">
      <c r="A1" s="4" t="s">
        <v>16</v>
      </c>
      <c r="B1" s="4"/>
      <c r="C1" s="4"/>
      <c r="D1" s="5"/>
      <c r="E1" s="4" t="s">
        <v>17</v>
      </c>
      <c r="F1" s="4"/>
      <c r="G1" s="4"/>
      <c r="H1" s="5"/>
      <c r="I1" s="4" t="s">
        <v>18</v>
      </c>
      <c r="J1" s="4"/>
      <c r="K1" s="4"/>
      <c r="L1" s="5"/>
      <c r="M1" s="4" t="s">
        <v>19</v>
      </c>
      <c r="N1" s="4"/>
      <c r="O1" s="4"/>
      <c r="P1" s="5"/>
      <c r="Q1" s="4" t="s">
        <v>20</v>
      </c>
      <c r="R1" s="4"/>
      <c r="S1" s="4"/>
      <c r="T1" s="5"/>
    </row>
    <row r="2" spans="1:24">
      <c r="A2" s="6" t="s">
        <v>313</v>
      </c>
      <c r="B2" s="148">
        <v>152997.652</v>
      </c>
      <c r="C2" s="31"/>
      <c r="E2" s="6" t="s">
        <v>313</v>
      </c>
      <c r="F2" s="73">
        <v>154494.13950000002</v>
      </c>
      <c r="G2" s="31"/>
      <c r="I2" s="6" t="s">
        <v>313</v>
      </c>
      <c r="J2" s="133"/>
      <c r="K2" s="31"/>
      <c r="M2" s="6" t="s">
        <v>313</v>
      </c>
      <c r="N2" s="210"/>
      <c r="O2" s="31"/>
      <c r="Q2" s="6" t="s">
        <v>313</v>
      </c>
      <c r="R2" s="148"/>
      <c r="S2" s="31"/>
    </row>
    <row r="3" spans="1:24">
      <c r="A3" s="14" t="s">
        <v>22</v>
      </c>
      <c r="B3" s="15">
        <f>SUM(B2:B2)</f>
        <v>152997.652</v>
      </c>
      <c r="C3" s="15">
        <f>SUM(C2:C2)</f>
        <v>0</v>
      </c>
      <c r="E3" s="14" t="s">
        <v>22</v>
      </c>
      <c r="F3" s="15">
        <f>SUM(F2:F2)</f>
        <v>154494.13950000002</v>
      </c>
      <c r="G3" s="15">
        <f>SUM(G2:G2)</f>
        <v>0</v>
      </c>
      <c r="I3" s="12" t="s">
        <v>21</v>
      </c>
      <c r="J3" s="15">
        <f>SUM(J2:J2)</f>
        <v>0</v>
      </c>
      <c r="K3" s="15">
        <f>SUM(K2:K2)</f>
        <v>0</v>
      </c>
      <c r="M3" s="12" t="s">
        <v>21</v>
      </c>
      <c r="N3" s="13">
        <f>SUM(N2:N2)</f>
        <v>0</v>
      </c>
      <c r="O3" s="13">
        <f>SUM(O2:O2)</f>
        <v>0</v>
      </c>
      <c r="Q3" s="14" t="s">
        <v>22</v>
      </c>
      <c r="R3" s="15">
        <f>SUM(R2:R2)</f>
        <v>0</v>
      </c>
      <c r="S3" s="15">
        <f>SUM(S2:S2)</f>
        <v>0</v>
      </c>
      <c r="X3" s="148"/>
    </row>
    <row r="5" spans="1:24">
      <c r="A5" s="25" t="s">
        <v>32</v>
      </c>
      <c r="B5" s="9"/>
      <c r="C5" s="9"/>
      <c r="E5" s="9"/>
      <c r="F5" s="9"/>
      <c r="G5" s="9"/>
      <c r="I5" s="9"/>
      <c r="J5" s="9"/>
      <c r="K5" s="9"/>
      <c r="M5" s="9"/>
      <c r="N5" s="9"/>
      <c r="O5" s="9"/>
      <c r="Q5" s="9"/>
      <c r="R5" s="9"/>
      <c r="S5" s="9"/>
      <c r="T5" s="10"/>
    </row>
    <row r="6" spans="1:24">
      <c r="A6" s="9"/>
      <c r="B6" s="9"/>
      <c r="C6" s="9"/>
      <c r="E6" s="9"/>
      <c r="F6" s="9"/>
      <c r="G6" s="9"/>
      <c r="I6" s="9"/>
      <c r="J6" s="9"/>
      <c r="K6" s="9"/>
      <c r="M6" s="9"/>
      <c r="N6" s="9"/>
      <c r="O6" s="9"/>
      <c r="Q6" s="9"/>
      <c r="R6" s="9"/>
      <c r="S6" s="9"/>
      <c r="T6" s="10"/>
    </row>
    <row r="7" spans="1:24">
      <c r="A7" s="6" t="s">
        <v>51</v>
      </c>
      <c r="B7" s="7">
        <f>IF(B2+C2&gt;0, B2+C2, "")</f>
        <v>152997.652</v>
      </c>
      <c r="C7" s="7" t="str">
        <f>IFERROR(C2+(C2/B2)*#REF!, "")</f>
        <v/>
      </c>
      <c r="E7" s="6" t="s">
        <v>51</v>
      </c>
      <c r="F7" s="7">
        <f>IF(F2+G2&gt;0, F2+G2, "")</f>
        <v>154494.13950000002</v>
      </c>
      <c r="G7" s="7" t="str">
        <f>IFERROR(G2+(G2/F2)*#REF!, "")</f>
        <v/>
      </c>
      <c r="I7" s="6" t="s">
        <v>51</v>
      </c>
      <c r="J7" s="7" t="str">
        <f>IF(J2+K2&gt;0, J2+K2, "")</f>
        <v/>
      </c>
      <c r="K7" s="7" t="str">
        <f>IFERROR(K2+(K2/J2)*#REF!, "")</f>
        <v/>
      </c>
      <c r="M7" s="6" t="s">
        <v>51</v>
      </c>
      <c r="N7" s="7" t="str">
        <f>IF(N2+O2&gt;0, N2+O2, "")</f>
        <v/>
      </c>
      <c r="O7" s="7" t="str">
        <f>IFERROR(O2+(O2/N2)*#REF!, "")</f>
        <v/>
      </c>
      <c r="Q7" s="6" t="s">
        <v>51</v>
      </c>
      <c r="R7" s="7" t="str">
        <f>IF(R2+S2&gt;0, R2+S2, "")</f>
        <v/>
      </c>
      <c r="S7" s="7" t="str">
        <f>IFERROR(S2+(S2/R2)*#REF!, "")</f>
        <v/>
      </c>
      <c r="T7" s="10"/>
    </row>
    <row r="8" spans="1:24">
      <c r="A8" s="14" t="s">
        <v>22</v>
      </c>
      <c r="B8" s="7">
        <f>SUM(B3:C3)</f>
        <v>152997.652</v>
      </c>
      <c r="C8" s="7" t="str">
        <f>IFERROR(C3+(C3/B3)*#REF!, "")</f>
        <v/>
      </c>
      <c r="E8" s="14" t="s">
        <v>22</v>
      </c>
      <c r="F8" s="7">
        <f>SUM(F3:G3)</f>
        <v>154494.13950000002</v>
      </c>
      <c r="G8" s="7" t="str">
        <f>IFERROR(G3+(G3/F3)*#REF!, "")</f>
        <v/>
      </c>
      <c r="I8" s="14" t="s">
        <v>22</v>
      </c>
      <c r="J8" s="7">
        <f>SUM(J3:K3)</f>
        <v>0</v>
      </c>
      <c r="K8" s="7" t="str">
        <f>IFERROR(K3+(K3/J3)*#REF!, "")</f>
        <v/>
      </c>
      <c r="M8" s="14" t="s">
        <v>22</v>
      </c>
      <c r="N8" s="7">
        <f>SUM(N3:O3)</f>
        <v>0</v>
      </c>
      <c r="O8" s="7" t="str">
        <f>IFERROR(O3+(O3/N3)*#REF!, "")</f>
        <v/>
      </c>
      <c r="Q8" s="14" t="s">
        <v>22</v>
      </c>
      <c r="R8" s="7">
        <f>SUM(R3:S3)</f>
        <v>0</v>
      </c>
      <c r="S8" s="7" t="str">
        <f>IFERROR(S3+(S3/R3)*#REF!, "")</f>
        <v/>
      </c>
      <c r="T8" s="10"/>
    </row>
    <row r="9" spans="1:24">
      <c r="T9" s="10"/>
    </row>
    <row r="10" spans="1:24">
      <c r="T10" s="10"/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XBN290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8" sqref="E8"/>
    </sheetView>
  </sheetViews>
  <sheetFormatPr baseColWidth="10" defaultColWidth="15" defaultRowHeight="25" customHeight="1" x14ac:dyDescent="0"/>
  <cols>
    <col min="1" max="1" width="30.33203125" style="733" customWidth="1"/>
    <col min="2" max="16" width="13.1640625" style="733" customWidth="1"/>
    <col min="17" max="16384" width="15" style="733"/>
  </cols>
  <sheetData>
    <row r="1" spans="1:21" ht="25" customHeight="1">
      <c r="A1" s="921"/>
      <c r="B1" s="827"/>
      <c r="C1" s="827"/>
      <c r="D1" s="827"/>
      <c r="E1" s="827"/>
      <c r="F1" s="827"/>
      <c r="G1" s="827"/>
      <c r="H1" s="827"/>
      <c r="I1" s="827"/>
      <c r="J1" s="827"/>
      <c r="K1" s="827"/>
      <c r="L1" s="827"/>
      <c r="M1" s="827"/>
      <c r="N1" s="827"/>
      <c r="O1" s="827"/>
      <c r="P1" s="827"/>
    </row>
    <row r="2" spans="1:21" ht="25" customHeight="1">
      <c r="A2" s="825" t="s">
        <v>1113</v>
      </c>
      <c r="B2" s="824"/>
      <c r="C2" s="824"/>
      <c r="D2" s="824"/>
      <c r="E2" s="824"/>
      <c r="F2" s="824"/>
      <c r="G2" s="824"/>
      <c r="H2" s="824"/>
      <c r="I2" s="824"/>
      <c r="J2" s="824"/>
      <c r="K2" s="824"/>
      <c r="L2" s="824"/>
      <c r="M2" s="824"/>
      <c r="N2" s="824"/>
      <c r="O2" s="824"/>
      <c r="P2" s="824"/>
    </row>
    <row r="3" spans="1:21" ht="25" customHeight="1">
      <c r="A3" s="825" t="s">
        <v>1396</v>
      </c>
      <c r="B3" s="824"/>
      <c r="C3" s="824"/>
      <c r="D3" s="824"/>
      <c r="E3" s="824"/>
      <c r="F3" s="824"/>
      <c r="G3" s="824"/>
      <c r="H3" s="824"/>
      <c r="I3" s="824"/>
      <c r="J3" s="824"/>
      <c r="K3" s="824"/>
      <c r="L3" s="824"/>
      <c r="M3" s="824"/>
      <c r="N3" s="824"/>
      <c r="O3" s="824"/>
      <c r="P3" s="823" t="s">
        <v>1367</v>
      </c>
    </row>
    <row r="4" spans="1:21" ht="25" customHeight="1">
      <c r="A4" s="822" t="s">
        <v>1114</v>
      </c>
      <c r="B4" s="820" t="s">
        <v>1115</v>
      </c>
      <c r="C4" s="820" t="s">
        <v>1116</v>
      </c>
      <c r="D4" s="820" t="s">
        <v>1117</v>
      </c>
      <c r="E4" s="820" t="s">
        <v>1118</v>
      </c>
      <c r="F4" s="820" t="s">
        <v>1366</v>
      </c>
      <c r="G4" s="820" t="s">
        <v>1152</v>
      </c>
      <c r="H4" s="820" t="s">
        <v>1365</v>
      </c>
      <c r="I4" s="820" t="s">
        <v>1364</v>
      </c>
      <c r="J4" s="820" t="s">
        <v>1363</v>
      </c>
      <c r="K4" s="820" t="s">
        <v>1362</v>
      </c>
      <c r="L4" s="820" t="s">
        <v>1361</v>
      </c>
      <c r="M4" s="820" t="s">
        <v>1360</v>
      </c>
      <c r="N4" s="820" t="s">
        <v>1359</v>
      </c>
      <c r="O4" s="820" t="s">
        <v>1358</v>
      </c>
      <c r="P4" s="819" t="s">
        <v>1295</v>
      </c>
    </row>
    <row r="6" spans="1:21" ht="25" customHeight="1">
      <c r="A6" s="899" t="s">
        <v>1395</v>
      </c>
      <c r="B6" s="814"/>
      <c r="C6" s="814"/>
      <c r="D6" s="814"/>
      <c r="E6" s="920"/>
      <c r="F6" s="919"/>
      <c r="G6" s="918"/>
      <c r="H6" s="827"/>
      <c r="I6" s="827"/>
      <c r="J6" s="827"/>
      <c r="K6" s="827"/>
      <c r="L6" s="827"/>
      <c r="M6" s="827"/>
      <c r="N6" s="827"/>
      <c r="O6" s="827"/>
      <c r="Q6" s="734"/>
      <c r="R6" s="734"/>
      <c r="S6" s="734"/>
      <c r="T6" s="734"/>
      <c r="U6" s="734"/>
    </row>
    <row r="7" spans="1:21" ht="25" customHeight="1">
      <c r="A7" s="812" t="s">
        <v>1119</v>
      </c>
      <c r="B7" s="764">
        <v>18297.980997926206</v>
      </c>
      <c r="C7" s="764">
        <v>15833.972871334765</v>
      </c>
      <c r="D7" s="764">
        <v>16316.997066625256</v>
      </c>
      <c r="E7" s="817">
        <v>18148.226298411886</v>
      </c>
      <c r="F7" s="882">
        <v>4006.7195161363265</v>
      </c>
      <c r="G7" s="747">
        <v>3988.0478347574426</v>
      </c>
      <c r="H7" s="852">
        <v>16446.701541764396</v>
      </c>
      <c r="I7" s="852">
        <v>16734.002400296726</v>
      </c>
      <c r="J7" s="852">
        <v>18520.030228854277</v>
      </c>
      <c r="K7" s="852">
        <v>16737.757416919998</v>
      </c>
      <c r="L7" s="852">
        <v>17794.742928017797</v>
      </c>
      <c r="M7" s="852">
        <v>19661.443010410905</v>
      </c>
      <c r="N7" s="852">
        <v>17850.568282411987</v>
      </c>
      <c r="O7" s="852">
        <v>21406.614032153055</v>
      </c>
      <c r="P7" s="760">
        <v>213749.03707512724</v>
      </c>
    </row>
    <row r="8" spans="1:21" s="810" customFormat="1" ht="25" customHeight="1">
      <c r="A8" s="793" t="s">
        <v>78</v>
      </c>
      <c r="B8" s="809">
        <v>1848.53</v>
      </c>
      <c r="C8" s="809">
        <v>1902.9449999999999</v>
      </c>
      <c r="D8" s="809">
        <v>1907.8490000000002</v>
      </c>
      <c r="E8" s="898">
        <v>1929.6429476430312</v>
      </c>
      <c r="F8" s="897">
        <v>460.32649631448356</v>
      </c>
      <c r="G8" s="806">
        <v>463.28111278839162</v>
      </c>
      <c r="H8" s="865">
        <v>2122.7942692000001</v>
      </c>
      <c r="I8" s="865">
        <v>2509.8924616000004</v>
      </c>
      <c r="J8" s="865">
        <v>2552.7942692000001</v>
      </c>
      <c r="K8" s="865">
        <v>2652.7942692000001</v>
      </c>
      <c r="L8" s="865">
        <v>2919.8924616000004</v>
      </c>
      <c r="M8" s="865">
        <v>3378.1923999999999</v>
      </c>
      <c r="N8" s="865">
        <v>3382.1923999999999</v>
      </c>
      <c r="O8" s="865">
        <v>3740.9843999999998</v>
      </c>
      <c r="P8" s="804">
        <v>30848.503878443033</v>
      </c>
      <c r="Q8" s="733"/>
      <c r="R8" s="733"/>
      <c r="S8" s="733"/>
      <c r="T8" s="733"/>
      <c r="U8" s="733"/>
    </row>
    <row r="9" spans="1:21" ht="25" customHeight="1">
      <c r="A9" s="743" t="s">
        <v>1120</v>
      </c>
      <c r="B9" s="803">
        <v>20146.510997926205</v>
      </c>
      <c r="C9" s="803">
        <v>17736.917871334765</v>
      </c>
      <c r="D9" s="803">
        <v>18224.846066625258</v>
      </c>
      <c r="E9" s="802">
        <v>20077.869246054917</v>
      </c>
      <c r="F9" s="917">
        <v>4467.0460124508099</v>
      </c>
      <c r="G9" s="800">
        <v>4451.3289475458341</v>
      </c>
      <c r="H9" s="916">
        <v>18569.495810964396</v>
      </c>
      <c r="I9" s="916">
        <v>19243.894861896726</v>
      </c>
      <c r="J9" s="916">
        <v>21072.824498054277</v>
      </c>
      <c r="K9" s="916">
        <v>19390.551686119998</v>
      </c>
      <c r="L9" s="916">
        <v>20714.635389617797</v>
      </c>
      <c r="M9" s="916">
        <v>23039.635410410905</v>
      </c>
      <c r="N9" s="916">
        <v>21232.760682411987</v>
      </c>
      <c r="O9" s="916">
        <v>25147.598432153056</v>
      </c>
      <c r="P9" s="760">
        <v>244597.54095357025</v>
      </c>
    </row>
    <row r="10" spans="1:21" ht="25" customHeight="1">
      <c r="A10" s="908"/>
      <c r="B10" s="863"/>
      <c r="C10" s="863"/>
      <c r="D10" s="863"/>
      <c r="E10" s="907"/>
      <c r="F10" s="906"/>
      <c r="G10" s="906"/>
      <c r="H10" s="852"/>
      <c r="I10" s="852"/>
      <c r="J10" s="852"/>
      <c r="K10" s="852"/>
      <c r="L10" s="852"/>
      <c r="M10" s="852"/>
      <c r="N10" s="852"/>
      <c r="O10" s="852"/>
      <c r="P10" s="734"/>
    </row>
    <row r="11" spans="1:21" ht="25" customHeight="1">
      <c r="A11" s="843" t="s">
        <v>1121</v>
      </c>
      <c r="B11" s="764"/>
      <c r="C11" s="764"/>
      <c r="D11" s="764"/>
      <c r="E11" s="884"/>
      <c r="F11" s="883"/>
      <c r="G11" s="761"/>
      <c r="H11" s="852"/>
      <c r="I11" s="852"/>
      <c r="J11" s="852"/>
      <c r="K11" s="852"/>
      <c r="L11" s="852"/>
      <c r="M11" s="852"/>
      <c r="N11" s="852"/>
      <c r="O11" s="852"/>
      <c r="P11" s="734"/>
    </row>
    <row r="12" spans="1:21" s="774" customFormat="1" ht="25" customHeight="1">
      <c r="A12" s="788" t="s">
        <v>1119</v>
      </c>
      <c r="B12" s="787">
        <v>5.1415902925995294E-3</v>
      </c>
      <c r="C12" s="787">
        <v>-6.44323876593631E-2</v>
      </c>
      <c r="D12" s="787">
        <v>0.10707946049705508</v>
      </c>
      <c r="E12" s="849">
        <v>3.6918944136828058E-2</v>
      </c>
      <c r="F12" s="904"/>
      <c r="G12" s="784"/>
      <c r="H12" s="846">
        <v>0.12062290649476703</v>
      </c>
      <c r="I12" s="846">
        <v>0.24285232549818891</v>
      </c>
      <c r="J12" s="846">
        <v>0.29043605102579528</v>
      </c>
      <c r="K12" s="846">
        <v>0.18283469112917494</v>
      </c>
      <c r="L12" s="846">
        <v>0.10464108368720559</v>
      </c>
      <c r="M12" s="846">
        <v>0.19186885581929958</v>
      </c>
      <c r="N12" s="846">
        <v>0.16932970259381186</v>
      </c>
      <c r="O12" s="846">
        <v>0.28795513870067291</v>
      </c>
      <c r="P12" s="768">
        <v>0.13392173706748034</v>
      </c>
    </row>
    <row r="13" spans="1:21" s="782" customFormat="1" ht="25" customHeight="1">
      <c r="A13" s="781" t="s">
        <v>78</v>
      </c>
      <c r="B13" s="780">
        <v>0.91756708431322287</v>
      </c>
      <c r="C13" s="780">
        <v>0.99906822659584349</v>
      </c>
      <c r="D13" s="780">
        <v>0.94179988552359073</v>
      </c>
      <c r="E13" s="915">
        <v>0.56086893202495181</v>
      </c>
      <c r="F13" s="914"/>
      <c r="G13" s="777"/>
      <c r="H13" s="913">
        <v>0.7535817087353387</v>
      </c>
      <c r="I13" s="913">
        <v>0.89775347897312496</v>
      </c>
      <c r="J13" s="913">
        <v>0.87054483858747456</v>
      </c>
      <c r="K13" s="913">
        <v>1.1607763006377452</v>
      </c>
      <c r="L13" s="913">
        <v>1.5515337140187073</v>
      </c>
      <c r="M13" s="913">
        <v>0.76047097472841374</v>
      </c>
      <c r="N13" s="913">
        <v>0.63620948057194449</v>
      </c>
      <c r="O13" s="913">
        <v>0.3812325920723203</v>
      </c>
      <c r="P13" s="792">
        <v>0.80410663487564982</v>
      </c>
    </row>
    <row r="14" spans="1:21" s="774" customFormat="1" ht="25" customHeight="1">
      <c r="A14" s="788" t="s">
        <v>1120</v>
      </c>
      <c r="B14" s="787">
        <v>5.1028409948880915E-2</v>
      </c>
      <c r="C14" s="787">
        <v>-7.8010288607126554E-3</v>
      </c>
      <c r="D14" s="787">
        <v>0.15924603481881139</v>
      </c>
      <c r="E14" s="849">
        <v>7.1486562791763797E-2</v>
      </c>
      <c r="F14" s="904"/>
      <c r="G14" s="784"/>
      <c r="H14" s="846">
        <v>0.16885288686119404</v>
      </c>
      <c r="I14" s="846">
        <v>0.30142813358274667</v>
      </c>
      <c r="J14" s="846">
        <v>0.34080947329468358</v>
      </c>
      <c r="K14" s="846">
        <v>0.2609074895868877</v>
      </c>
      <c r="L14" s="846">
        <v>0.2006090206808695</v>
      </c>
      <c r="M14" s="846">
        <v>0.25111865498217911</v>
      </c>
      <c r="N14" s="846">
        <v>0.22500947498720225</v>
      </c>
      <c r="O14" s="846">
        <v>0.30102542276621613</v>
      </c>
      <c r="P14" s="768">
        <v>0.18965782980030732</v>
      </c>
    </row>
    <row r="15" spans="1:21" s="774" customFormat="1" ht="25" customHeight="1">
      <c r="A15" s="788"/>
      <c r="B15" s="787"/>
      <c r="C15" s="787"/>
      <c r="D15" s="787"/>
      <c r="E15" s="849"/>
      <c r="F15" s="904"/>
      <c r="G15" s="784"/>
      <c r="H15" s="846"/>
      <c r="I15" s="846"/>
      <c r="J15" s="846"/>
      <c r="K15" s="846"/>
      <c r="L15" s="846"/>
      <c r="M15" s="846"/>
      <c r="N15" s="846"/>
      <c r="O15" s="846"/>
      <c r="P15" s="783"/>
    </row>
    <row r="16" spans="1:21" ht="25" customHeight="1">
      <c r="A16" s="843" t="s">
        <v>1146</v>
      </c>
      <c r="B16" s="764"/>
      <c r="C16" s="912"/>
      <c r="D16" s="893" t="s">
        <v>1383</v>
      </c>
      <c r="E16" s="817"/>
      <c r="F16" s="882"/>
      <c r="G16" s="747"/>
      <c r="H16" s="852"/>
      <c r="I16" s="852"/>
      <c r="J16" s="852"/>
      <c r="K16" s="852"/>
      <c r="L16" s="852"/>
      <c r="M16" s="852"/>
      <c r="N16" s="852"/>
      <c r="O16" s="852"/>
      <c r="P16" s="734"/>
    </row>
    <row r="17" spans="1:16" s="744" customFormat="1" ht="25" customHeight="1">
      <c r="A17" s="754" t="s">
        <v>1119</v>
      </c>
      <c r="B17" s="742">
        <v>93.59947133987589</v>
      </c>
      <c r="C17" s="742">
        <v>-1090.4831086245649</v>
      </c>
      <c r="D17" s="887">
        <v>1578.2202679849197</v>
      </c>
      <c r="E17" s="838">
        <v>646.1578859968904</v>
      </c>
      <c r="F17" s="882"/>
      <c r="G17" s="747"/>
      <c r="H17" s="738">
        <v>1770.3091117643962</v>
      </c>
      <c r="I17" s="738">
        <v>3269.810350296726</v>
      </c>
      <c r="J17" s="738">
        <v>4168.2688888542762</v>
      </c>
      <c r="K17" s="738">
        <v>2587.2108169199964</v>
      </c>
      <c r="L17" s="738">
        <v>1685.6707680177951</v>
      </c>
      <c r="M17" s="738">
        <v>3165.1289114109095</v>
      </c>
      <c r="N17" s="738">
        <v>2584.9265709119845</v>
      </c>
      <c r="O17" s="738">
        <v>4785.9931821530481</v>
      </c>
      <c r="P17" s="737">
        <v>25244.813117026235</v>
      </c>
    </row>
    <row r="18" spans="1:16" s="752" customFormat="1" ht="25" customHeight="1">
      <c r="A18" s="751" t="s">
        <v>78</v>
      </c>
      <c r="B18" s="750">
        <v>884.53243500109329</v>
      </c>
      <c r="C18" s="750">
        <v>951.02901500109328</v>
      </c>
      <c r="D18" s="750">
        <v>925.3332350010935</v>
      </c>
      <c r="E18" s="892">
        <v>693.38094764303105</v>
      </c>
      <c r="F18" s="891"/>
      <c r="G18" s="890"/>
      <c r="H18" s="746">
        <v>912.24658920000002</v>
      </c>
      <c r="I18" s="746">
        <v>1187.3326616000004</v>
      </c>
      <c r="J18" s="746">
        <v>1188.0612692</v>
      </c>
      <c r="K18" s="746">
        <v>1425.0900092000002</v>
      </c>
      <c r="L18" s="746">
        <v>1775.5248816000003</v>
      </c>
      <c r="M18" s="746">
        <v>1459.2783999999997</v>
      </c>
      <c r="N18" s="746">
        <v>1315.1023114999998</v>
      </c>
      <c r="O18" s="746">
        <v>1032.5452700000001</v>
      </c>
      <c r="P18" s="745">
        <v>13749.457024946314</v>
      </c>
    </row>
    <row r="19" spans="1:16" s="744" customFormat="1" ht="25" customHeight="1">
      <c r="A19" s="754" t="s">
        <v>1120</v>
      </c>
      <c r="B19" s="742">
        <v>978.13190634096827</v>
      </c>
      <c r="C19" s="742">
        <v>-139.45409362347345</v>
      </c>
      <c r="D19" s="742">
        <v>2503.5535029860148</v>
      </c>
      <c r="E19" s="834">
        <v>1339.5388336399228</v>
      </c>
      <c r="F19" s="881"/>
      <c r="G19" s="880"/>
      <c r="H19" s="738">
        <v>2682.5557009643962</v>
      </c>
      <c r="I19" s="738">
        <v>4457.1430118967255</v>
      </c>
      <c r="J19" s="738">
        <v>5356.3301580542757</v>
      </c>
      <c r="K19" s="738">
        <v>4012.3008261199957</v>
      </c>
      <c r="L19" s="738">
        <v>3461.1956496177954</v>
      </c>
      <c r="M19" s="738">
        <v>4624.4073114109087</v>
      </c>
      <c r="N19" s="738">
        <v>3900.0288824119853</v>
      </c>
      <c r="O19" s="738">
        <v>5818.5384521530505</v>
      </c>
      <c r="P19" s="737">
        <v>38994.270141972491</v>
      </c>
    </row>
    <row r="20" spans="1:16" s="774" customFormat="1" ht="25" customHeight="1">
      <c r="A20" s="851"/>
      <c r="B20" s="783"/>
      <c r="C20" s="783"/>
      <c r="D20" s="783"/>
      <c r="E20" s="850"/>
      <c r="F20" s="850"/>
      <c r="G20" s="850"/>
      <c r="H20" s="783"/>
      <c r="I20" s="783"/>
      <c r="J20" s="783"/>
      <c r="K20" s="783"/>
      <c r="L20" s="783"/>
      <c r="M20" s="783"/>
      <c r="N20" s="783"/>
      <c r="O20" s="783"/>
      <c r="P20" s="783"/>
    </row>
    <row r="21" spans="1:16" s="910" customFormat="1" ht="25" customHeight="1">
      <c r="A21" s="843" t="s">
        <v>1394</v>
      </c>
      <c r="B21" s="787"/>
      <c r="C21" s="787"/>
      <c r="D21" s="787"/>
      <c r="E21" s="818"/>
      <c r="F21" s="796"/>
      <c r="G21" s="795"/>
      <c r="H21" s="846"/>
      <c r="I21" s="846"/>
      <c r="J21" s="846"/>
      <c r="K21" s="846"/>
      <c r="L21" s="846"/>
      <c r="M21" s="846"/>
      <c r="N21" s="846"/>
      <c r="O21" s="846"/>
      <c r="P21" s="911"/>
    </row>
    <row r="22" spans="1:16" s="910" customFormat="1" ht="25" customHeight="1">
      <c r="A22" s="788" t="s">
        <v>1299</v>
      </c>
      <c r="B22" s="787">
        <v>0.6575440869266459</v>
      </c>
      <c r="C22" s="787">
        <v>0.6102293149925172</v>
      </c>
      <c r="D22" s="787">
        <v>0.58493666322759286</v>
      </c>
      <c r="E22" s="849">
        <v>0.60434791971594193</v>
      </c>
      <c r="F22" s="904"/>
      <c r="G22" s="784"/>
      <c r="H22" s="846">
        <v>0.55490086636878</v>
      </c>
      <c r="I22" s="846">
        <v>0.56001421364799708</v>
      </c>
      <c r="J22" s="846">
        <v>0.60305530545842467</v>
      </c>
      <c r="K22" s="846">
        <v>0.55912403107449404</v>
      </c>
      <c r="L22" s="846">
        <v>0.56910057702543027</v>
      </c>
      <c r="M22" s="846">
        <v>0.59915148427564691</v>
      </c>
      <c r="N22" s="846">
        <v>0.55983775924163304</v>
      </c>
      <c r="O22" s="846">
        <v>0.60878769438076308</v>
      </c>
      <c r="P22" s="768">
        <v>0.59047429326318956</v>
      </c>
    </row>
    <row r="23" spans="1:16" s="909" customFormat="1" ht="25" customHeight="1">
      <c r="A23" s="788" t="s">
        <v>1300</v>
      </c>
      <c r="B23" s="787">
        <v>0.30567589892445562</v>
      </c>
      <c r="C23" s="787">
        <v>0.34284626458327583</v>
      </c>
      <c r="D23" s="787">
        <v>0.36505413491570993</v>
      </c>
      <c r="E23" s="849">
        <v>0.34826452924413859</v>
      </c>
      <c r="F23" s="904"/>
      <c r="G23" s="784"/>
      <c r="H23" s="846">
        <v>0.36847625874073398</v>
      </c>
      <c r="I23" s="846">
        <v>0.36749783495097182</v>
      </c>
      <c r="J23" s="846">
        <v>0.345572616508037</v>
      </c>
      <c r="K23" s="846">
        <v>0.37787579188516052</v>
      </c>
      <c r="L23" s="846">
        <v>0.36602900446256825</v>
      </c>
      <c r="M23" s="846">
        <v>0.33500929243104244</v>
      </c>
      <c r="N23" s="846">
        <v>0.36670803347969061</v>
      </c>
      <c r="O23" s="846">
        <v>0.32483458255766517</v>
      </c>
      <c r="P23" s="768">
        <v>0.35019475927810223</v>
      </c>
    </row>
    <row r="24" spans="1:16" s="909" customFormat="1" ht="25" customHeight="1">
      <c r="A24" s="788" t="s">
        <v>1393</v>
      </c>
      <c r="B24" s="787">
        <v>3.67800141488984E-2</v>
      </c>
      <c r="C24" s="787">
        <v>4.6924420424206963E-2</v>
      </c>
      <c r="D24" s="787">
        <v>5.0009201856697293E-2</v>
      </c>
      <c r="E24" s="772">
        <v>4.7387551039919359E-2</v>
      </c>
      <c r="F24" s="903"/>
      <c r="G24" s="847"/>
      <c r="H24" s="846">
        <v>7.6622874890485956E-2</v>
      </c>
      <c r="I24" s="846">
        <v>7.2487951401031189E-2</v>
      </c>
      <c r="J24" s="846">
        <v>5.1372078033538417E-2</v>
      </c>
      <c r="K24" s="846">
        <v>6.3000177040345495E-2</v>
      </c>
      <c r="L24" s="846">
        <v>6.4870418512001468E-2</v>
      </c>
      <c r="M24" s="846">
        <v>6.5839223293310822E-2</v>
      </c>
      <c r="N24" s="846">
        <v>7.3454207278676395E-2</v>
      </c>
      <c r="O24" s="846">
        <v>6.6377723061571914E-2</v>
      </c>
      <c r="P24" s="768">
        <v>5.9330947458708233E-2</v>
      </c>
    </row>
    <row r="25" spans="1:16" ht="25" customHeight="1">
      <c r="A25" s="908"/>
      <c r="B25" s="863"/>
      <c r="C25" s="863"/>
      <c r="D25" s="863"/>
      <c r="E25" s="907"/>
      <c r="F25" s="906"/>
      <c r="G25" s="906"/>
      <c r="H25" s="738"/>
      <c r="I25" s="738"/>
      <c r="J25" s="738"/>
      <c r="K25" s="738"/>
      <c r="L25" s="738"/>
      <c r="M25" s="738"/>
      <c r="N25" s="738"/>
      <c r="O25" s="738"/>
      <c r="P25" s="737"/>
    </row>
    <row r="26" spans="1:16" ht="25" customHeight="1">
      <c r="A26" s="843" t="s">
        <v>1147</v>
      </c>
      <c r="B26" s="764"/>
      <c r="C26" s="764"/>
      <c r="D26" s="764"/>
      <c r="E26" s="884"/>
      <c r="F26" s="883"/>
      <c r="G26" s="761"/>
      <c r="H26" s="738"/>
      <c r="I26" s="738"/>
      <c r="J26" s="738"/>
      <c r="K26" s="738"/>
      <c r="L26" s="738"/>
      <c r="M26" s="738"/>
      <c r="N26" s="738"/>
      <c r="O26" s="738"/>
      <c r="P26" s="737"/>
    </row>
    <row r="27" spans="1:16" s="774" customFormat="1" ht="25" customHeight="1">
      <c r="A27" s="788" t="s">
        <v>1148</v>
      </c>
      <c r="B27" s="787">
        <v>-0.16172963092501025</v>
      </c>
      <c r="C27" s="787">
        <v>-0.20488825154423063</v>
      </c>
      <c r="D27" s="787">
        <v>-0.1664257866285801</v>
      </c>
      <c r="E27" s="849">
        <v>-0.10313857706178309</v>
      </c>
      <c r="F27" s="904"/>
      <c r="G27" s="784"/>
      <c r="H27" s="846"/>
      <c r="I27" s="846"/>
      <c r="J27" s="846"/>
      <c r="K27" s="846"/>
      <c r="L27" s="846"/>
      <c r="M27" s="846"/>
      <c r="N27" s="846"/>
      <c r="O27" s="846"/>
      <c r="P27" s="768" t="s">
        <v>1293</v>
      </c>
    </row>
    <row r="28" spans="1:16" s="774" customFormat="1" ht="25" customHeight="1">
      <c r="A28" s="788" t="s">
        <v>1149</v>
      </c>
      <c r="B28" s="787">
        <v>0.34529331318773737</v>
      </c>
      <c r="C28" s="787">
        <v>0.36813658478873257</v>
      </c>
      <c r="D28" s="787">
        <v>0.3591321183186027</v>
      </c>
      <c r="E28" s="849">
        <v>0.60863925957892517</v>
      </c>
      <c r="F28" s="904"/>
      <c r="G28" s="784"/>
      <c r="H28" s="846"/>
      <c r="I28" s="846"/>
      <c r="J28" s="846"/>
      <c r="K28" s="846"/>
      <c r="L28" s="846"/>
      <c r="M28" s="846"/>
      <c r="N28" s="846"/>
      <c r="O28" s="846"/>
      <c r="P28" s="768" t="s">
        <v>1293</v>
      </c>
    </row>
    <row r="29" spans="1:16" s="774" customFormat="1" ht="25" customHeight="1">
      <c r="A29" s="788" t="s">
        <v>1392</v>
      </c>
      <c r="B29" s="787">
        <v>0.93559137939717685</v>
      </c>
      <c r="C29" s="787">
        <v>1.202664030551063</v>
      </c>
      <c r="D29" s="787">
        <v>1.0621585827809663</v>
      </c>
      <c r="E29" s="849">
        <v>0.72608764741509524</v>
      </c>
      <c r="F29" s="904"/>
      <c r="G29" s="784"/>
      <c r="H29" s="846"/>
      <c r="I29" s="846"/>
      <c r="J29" s="846"/>
      <c r="K29" s="846"/>
      <c r="L29" s="846"/>
      <c r="M29" s="846"/>
      <c r="N29" s="846"/>
      <c r="O29" s="846"/>
      <c r="P29" s="768">
        <v>0.60783361530992819</v>
      </c>
    </row>
    <row r="30" spans="1:16" s="774" customFormat="1" ht="25" customHeight="1">
      <c r="A30" s="788"/>
      <c r="B30" s="787"/>
      <c r="C30" s="787"/>
      <c r="D30" s="787"/>
      <c r="E30" s="849"/>
      <c r="F30" s="904"/>
      <c r="G30" s="784"/>
      <c r="H30" s="738"/>
      <c r="I30" s="738"/>
      <c r="J30" s="738"/>
      <c r="K30" s="738"/>
      <c r="L30" s="738"/>
      <c r="M30" s="738"/>
      <c r="N30" s="738"/>
      <c r="O30" s="738"/>
      <c r="P30" s="768"/>
    </row>
    <row r="31" spans="1:16" s="774" customFormat="1" ht="25" customHeight="1">
      <c r="A31" s="788" t="s">
        <v>1150</v>
      </c>
      <c r="B31" s="742">
        <v>-1677.9167484660011</v>
      </c>
      <c r="C31" s="742">
        <v>-1772.0352120579873</v>
      </c>
      <c r="D31" s="742">
        <v>-1301.2441680896891</v>
      </c>
      <c r="E31" s="838">
        <v>-919.11641913298809</v>
      </c>
      <c r="F31" s="842"/>
      <c r="G31" s="841"/>
      <c r="H31" s="738"/>
      <c r="I31" s="738"/>
      <c r="J31" s="738"/>
      <c r="K31" s="738"/>
      <c r="L31" s="738"/>
      <c r="M31" s="738"/>
      <c r="N31" s="738"/>
      <c r="O31" s="738"/>
      <c r="P31" s="737">
        <v>-8153.0612114845171</v>
      </c>
    </row>
    <row r="32" spans="1:16" s="774" customFormat="1" ht="25" customHeight="1">
      <c r="A32" s="788" t="s">
        <v>1151</v>
      </c>
      <c r="B32" s="742">
        <v>819.57827092400021</v>
      </c>
      <c r="C32" s="742">
        <v>849.59642995199965</v>
      </c>
      <c r="D32" s="742">
        <v>886.3070557330002</v>
      </c>
      <c r="E32" s="838">
        <v>1315.8504935073756</v>
      </c>
      <c r="F32" s="842"/>
      <c r="G32" s="841"/>
      <c r="H32" s="738"/>
      <c r="I32" s="738"/>
      <c r="J32" s="738"/>
      <c r="K32" s="738"/>
      <c r="L32" s="738"/>
      <c r="M32" s="738"/>
      <c r="N32" s="738"/>
      <c r="O32" s="738"/>
      <c r="P32" s="737">
        <v>15198.027106492951</v>
      </c>
    </row>
    <row r="33" spans="1:16290" s="774" customFormat="1" ht="25" customHeight="1">
      <c r="A33" s="788" t="s">
        <v>1391</v>
      </c>
      <c r="B33" s="742">
        <v>617.73667500109343</v>
      </c>
      <c r="C33" s="742">
        <v>833.74856500109331</v>
      </c>
      <c r="D33" s="742">
        <v>821.85488500109341</v>
      </c>
      <c r="E33" s="838">
        <v>678.8312566666666</v>
      </c>
      <c r="F33" s="842"/>
      <c r="G33" s="841"/>
      <c r="H33" s="738"/>
      <c r="I33" s="738"/>
      <c r="J33" s="738"/>
      <c r="K33" s="738"/>
      <c r="L33" s="738"/>
      <c r="M33" s="738"/>
      <c r="N33" s="738"/>
      <c r="O33" s="738"/>
      <c r="P33" s="737" t="s">
        <v>1293</v>
      </c>
    </row>
    <row r="34" spans="1:16290" s="774" customFormat="1" ht="25" customHeight="1">
      <c r="A34" s="788"/>
      <c r="B34" s="742"/>
      <c r="C34" s="742"/>
      <c r="D34" s="742"/>
      <c r="E34" s="838"/>
      <c r="F34" s="842"/>
      <c r="G34" s="841"/>
      <c r="H34" s="738"/>
      <c r="I34" s="738"/>
      <c r="J34" s="738"/>
      <c r="K34" s="738"/>
      <c r="L34" s="738"/>
      <c r="M34" s="738"/>
      <c r="N34" s="738"/>
      <c r="O34" s="738"/>
      <c r="P34" s="737"/>
    </row>
    <row r="35" spans="1:16290" s="905" customFormat="1" ht="25" customHeight="1">
      <c r="A35" s="843" t="s">
        <v>1390</v>
      </c>
      <c r="B35" s="742"/>
      <c r="C35" s="742"/>
      <c r="D35" s="742"/>
      <c r="E35" s="838"/>
      <c r="F35" s="842"/>
      <c r="G35" s="841"/>
      <c r="H35" s="738"/>
      <c r="I35" s="738"/>
      <c r="J35" s="738"/>
      <c r="K35" s="738"/>
      <c r="L35" s="738"/>
      <c r="M35" s="738"/>
      <c r="N35" s="738"/>
      <c r="O35" s="738"/>
      <c r="P35" s="737"/>
      <c r="Q35" s="774"/>
      <c r="R35" s="774"/>
      <c r="S35" s="774"/>
      <c r="T35" s="774"/>
      <c r="U35" s="774"/>
      <c r="V35" s="774"/>
      <c r="W35" s="774"/>
      <c r="X35" s="774"/>
      <c r="Y35" s="774"/>
      <c r="Z35" s="774"/>
      <c r="AA35" s="774"/>
      <c r="AB35" s="774"/>
      <c r="AC35" s="774"/>
      <c r="AD35" s="774"/>
      <c r="AE35" s="774"/>
      <c r="AF35" s="774"/>
      <c r="AG35" s="774"/>
      <c r="AH35" s="774"/>
      <c r="AI35" s="774"/>
      <c r="AJ35" s="774"/>
      <c r="AK35" s="774"/>
      <c r="AL35" s="774"/>
      <c r="AM35" s="774"/>
      <c r="AN35" s="774"/>
      <c r="AO35" s="774"/>
      <c r="AP35" s="774"/>
      <c r="AQ35" s="774"/>
      <c r="AR35" s="774"/>
      <c r="AS35" s="774"/>
      <c r="AT35" s="774"/>
      <c r="AU35" s="774"/>
      <c r="AV35" s="774"/>
      <c r="AW35" s="774"/>
      <c r="AX35" s="774"/>
      <c r="AY35" s="774"/>
      <c r="AZ35" s="774"/>
      <c r="BA35" s="774"/>
      <c r="BB35" s="774"/>
      <c r="BC35" s="774"/>
      <c r="BD35" s="774"/>
      <c r="BE35" s="774"/>
      <c r="BF35" s="774"/>
      <c r="BG35" s="774"/>
      <c r="BH35" s="774"/>
      <c r="BI35" s="774"/>
      <c r="BJ35" s="774"/>
      <c r="BK35" s="774"/>
      <c r="BL35" s="774"/>
      <c r="BM35" s="774"/>
      <c r="BN35" s="774"/>
      <c r="BO35" s="774"/>
      <c r="BP35" s="774"/>
      <c r="BQ35" s="774"/>
      <c r="BR35" s="774"/>
      <c r="BS35" s="774"/>
      <c r="BT35" s="774"/>
      <c r="BU35" s="774"/>
      <c r="BV35" s="774"/>
      <c r="BW35" s="774"/>
      <c r="BX35" s="774"/>
      <c r="BY35" s="774"/>
      <c r="BZ35" s="774"/>
      <c r="CA35" s="774"/>
      <c r="CB35" s="774"/>
      <c r="CC35" s="774"/>
      <c r="CD35" s="774"/>
      <c r="CE35" s="774"/>
      <c r="CF35" s="774"/>
      <c r="CG35" s="774"/>
      <c r="CH35" s="774"/>
      <c r="CI35" s="774"/>
      <c r="CJ35" s="774"/>
      <c r="CK35" s="774"/>
      <c r="CL35" s="774"/>
      <c r="CM35" s="774"/>
      <c r="CN35" s="774"/>
      <c r="CO35" s="774"/>
      <c r="CP35" s="774"/>
      <c r="CQ35" s="774"/>
      <c r="CR35" s="774"/>
      <c r="CS35" s="774"/>
      <c r="CT35" s="774"/>
      <c r="CU35" s="774"/>
      <c r="CV35" s="774"/>
      <c r="CW35" s="774"/>
      <c r="CX35" s="774"/>
      <c r="CY35" s="774"/>
      <c r="CZ35" s="774"/>
      <c r="DA35" s="774"/>
      <c r="DB35" s="774"/>
      <c r="DC35" s="774"/>
      <c r="DD35" s="774"/>
      <c r="DE35" s="774"/>
      <c r="DF35" s="774"/>
      <c r="DG35" s="774"/>
      <c r="DH35" s="774"/>
      <c r="DI35" s="774"/>
      <c r="DJ35" s="774"/>
      <c r="DK35" s="774"/>
      <c r="DL35" s="774"/>
      <c r="DM35" s="774"/>
      <c r="DN35" s="774"/>
      <c r="DO35" s="774"/>
      <c r="DP35" s="774"/>
      <c r="DQ35" s="774"/>
      <c r="DR35" s="774"/>
      <c r="DS35" s="774"/>
      <c r="DT35" s="774"/>
      <c r="DU35" s="774"/>
      <c r="DV35" s="774"/>
      <c r="DW35" s="774"/>
      <c r="DX35" s="774"/>
      <c r="DY35" s="774"/>
      <c r="DZ35" s="774"/>
      <c r="EA35" s="774"/>
      <c r="EB35" s="774"/>
      <c r="EC35" s="774"/>
      <c r="ED35" s="774"/>
      <c r="EE35" s="774"/>
      <c r="EF35" s="774"/>
      <c r="EG35" s="774"/>
      <c r="EH35" s="774"/>
      <c r="EI35" s="774"/>
      <c r="EJ35" s="774"/>
      <c r="EK35" s="774"/>
      <c r="EL35" s="774"/>
      <c r="EM35" s="774"/>
      <c r="EN35" s="774"/>
      <c r="EO35" s="774"/>
      <c r="EP35" s="774"/>
      <c r="EQ35" s="774"/>
      <c r="ER35" s="774"/>
      <c r="ES35" s="774"/>
      <c r="ET35" s="774"/>
      <c r="EU35" s="774"/>
      <c r="EV35" s="774"/>
      <c r="EW35" s="774"/>
      <c r="EX35" s="774"/>
      <c r="EY35" s="774"/>
      <c r="EZ35" s="774"/>
      <c r="FA35" s="774"/>
      <c r="FB35" s="774"/>
      <c r="FC35" s="774"/>
      <c r="FD35" s="774"/>
      <c r="FE35" s="774"/>
      <c r="FF35" s="774"/>
      <c r="FG35" s="774"/>
      <c r="FH35" s="774"/>
      <c r="FI35" s="774"/>
      <c r="FJ35" s="774"/>
      <c r="FK35" s="774"/>
      <c r="FL35" s="774"/>
      <c r="FM35" s="774"/>
      <c r="FN35" s="774"/>
      <c r="FO35" s="774"/>
      <c r="FP35" s="774"/>
      <c r="FQ35" s="774"/>
      <c r="FR35" s="774"/>
      <c r="FS35" s="774"/>
      <c r="FT35" s="774"/>
      <c r="FU35" s="774"/>
      <c r="FV35" s="774"/>
      <c r="FW35" s="774"/>
      <c r="FX35" s="774"/>
      <c r="FY35" s="774"/>
      <c r="FZ35" s="774"/>
      <c r="GA35" s="774"/>
      <c r="GB35" s="774"/>
      <c r="GC35" s="774"/>
      <c r="GD35" s="774"/>
      <c r="GE35" s="774"/>
      <c r="GF35" s="774"/>
      <c r="GG35" s="774"/>
      <c r="GH35" s="774"/>
      <c r="GI35" s="774"/>
      <c r="GJ35" s="774"/>
      <c r="GK35" s="774"/>
      <c r="GL35" s="774"/>
      <c r="GM35" s="774"/>
      <c r="GN35" s="774"/>
      <c r="GO35" s="774"/>
      <c r="GP35" s="774"/>
      <c r="GQ35" s="774"/>
      <c r="GR35" s="774"/>
      <c r="GS35" s="774"/>
      <c r="GT35" s="774"/>
      <c r="GU35" s="774"/>
      <c r="GV35" s="774"/>
      <c r="GW35" s="774"/>
      <c r="GX35" s="774"/>
      <c r="GY35" s="774"/>
      <c r="GZ35" s="774"/>
      <c r="HA35" s="774"/>
      <c r="HB35" s="774"/>
      <c r="HC35" s="774"/>
      <c r="HD35" s="774"/>
      <c r="HE35" s="774"/>
      <c r="HF35" s="774"/>
      <c r="HG35" s="774"/>
      <c r="HH35" s="774"/>
      <c r="HI35" s="774"/>
      <c r="HJ35" s="774"/>
      <c r="HK35" s="774"/>
      <c r="HL35" s="774"/>
      <c r="HM35" s="774"/>
      <c r="HN35" s="774"/>
      <c r="HO35" s="774"/>
      <c r="HP35" s="774"/>
      <c r="HQ35" s="774"/>
      <c r="HR35" s="774"/>
      <c r="HS35" s="774"/>
      <c r="HT35" s="774"/>
      <c r="HU35" s="774"/>
      <c r="HV35" s="774"/>
      <c r="HW35" s="774"/>
      <c r="HX35" s="774"/>
      <c r="HY35" s="774"/>
      <c r="HZ35" s="774"/>
      <c r="IA35" s="774"/>
      <c r="IB35" s="774"/>
      <c r="IC35" s="774"/>
      <c r="ID35" s="774"/>
      <c r="IE35" s="774"/>
      <c r="IF35" s="774"/>
      <c r="IG35" s="774"/>
      <c r="IH35" s="774"/>
      <c r="II35" s="774"/>
      <c r="IJ35" s="774"/>
      <c r="IK35" s="774"/>
      <c r="IL35" s="774"/>
      <c r="IM35" s="774"/>
      <c r="IN35" s="774"/>
      <c r="IO35" s="774"/>
      <c r="IP35" s="774"/>
      <c r="IQ35" s="774"/>
      <c r="IR35" s="774"/>
      <c r="IS35" s="774"/>
      <c r="IT35" s="774"/>
      <c r="IU35" s="774"/>
      <c r="IV35" s="774"/>
      <c r="IW35" s="774"/>
      <c r="IX35" s="774"/>
      <c r="IY35" s="774"/>
      <c r="IZ35" s="774"/>
      <c r="JA35" s="774"/>
      <c r="JB35" s="774"/>
      <c r="JC35" s="774"/>
      <c r="JD35" s="774"/>
      <c r="JE35" s="774"/>
      <c r="JF35" s="774"/>
      <c r="JG35" s="774"/>
      <c r="JH35" s="774"/>
      <c r="JI35" s="774"/>
      <c r="JJ35" s="774"/>
      <c r="JK35" s="774"/>
      <c r="JL35" s="774"/>
      <c r="JM35" s="774"/>
      <c r="JN35" s="774"/>
      <c r="JO35" s="774"/>
      <c r="JP35" s="774"/>
      <c r="JQ35" s="774"/>
      <c r="JR35" s="774"/>
      <c r="JS35" s="774"/>
      <c r="JT35" s="774"/>
      <c r="JU35" s="774"/>
      <c r="JV35" s="774"/>
      <c r="JW35" s="774"/>
      <c r="JX35" s="774"/>
      <c r="JY35" s="774"/>
      <c r="JZ35" s="774"/>
      <c r="KA35" s="774"/>
      <c r="KB35" s="774"/>
      <c r="KC35" s="774"/>
      <c r="KD35" s="774"/>
      <c r="KE35" s="774"/>
      <c r="KF35" s="774"/>
      <c r="KG35" s="774"/>
      <c r="KH35" s="774"/>
      <c r="KI35" s="774"/>
      <c r="KJ35" s="774"/>
      <c r="KK35" s="774"/>
      <c r="KL35" s="774"/>
      <c r="KM35" s="774"/>
      <c r="KN35" s="774"/>
      <c r="KO35" s="774"/>
      <c r="KP35" s="774"/>
      <c r="KQ35" s="774"/>
      <c r="KR35" s="774"/>
      <c r="KS35" s="774"/>
      <c r="KT35" s="774"/>
      <c r="KU35" s="774"/>
      <c r="KV35" s="774"/>
      <c r="KW35" s="774"/>
      <c r="KX35" s="774"/>
      <c r="KY35" s="774"/>
      <c r="KZ35" s="774"/>
      <c r="LA35" s="774"/>
      <c r="LB35" s="774"/>
      <c r="LC35" s="774"/>
      <c r="LD35" s="774"/>
      <c r="LE35" s="774"/>
      <c r="LF35" s="774"/>
      <c r="LG35" s="774"/>
      <c r="LH35" s="774"/>
      <c r="LI35" s="774"/>
      <c r="LJ35" s="774"/>
      <c r="LK35" s="774"/>
      <c r="LL35" s="774"/>
      <c r="LM35" s="774"/>
      <c r="LN35" s="774"/>
      <c r="LO35" s="774"/>
      <c r="LP35" s="774"/>
      <c r="LQ35" s="774"/>
      <c r="LR35" s="774"/>
      <c r="LS35" s="774"/>
      <c r="LT35" s="774"/>
      <c r="LU35" s="774"/>
      <c r="LV35" s="774"/>
      <c r="LW35" s="774"/>
      <c r="LX35" s="774"/>
      <c r="LY35" s="774"/>
      <c r="LZ35" s="774"/>
      <c r="MA35" s="774"/>
      <c r="MB35" s="774"/>
      <c r="MC35" s="774"/>
      <c r="MD35" s="774"/>
      <c r="ME35" s="774"/>
      <c r="MF35" s="774"/>
      <c r="MG35" s="774"/>
      <c r="MH35" s="774"/>
      <c r="MI35" s="774"/>
      <c r="MJ35" s="774"/>
      <c r="MK35" s="774"/>
      <c r="ML35" s="774"/>
      <c r="MM35" s="774"/>
      <c r="MN35" s="774"/>
      <c r="MO35" s="774"/>
      <c r="MP35" s="774"/>
      <c r="MQ35" s="774"/>
      <c r="MR35" s="774"/>
      <c r="MS35" s="774"/>
      <c r="MT35" s="774"/>
      <c r="MU35" s="774"/>
      <c r="MV35" s="774"/>
      <c r="MW35" s="774"/>
      <c r="MX35" s="774"/>
      <c r="MY35" s="774"/>
      <c r="MZ35" s="774"/>
      <c r="NA35" s="774"/>
      <c r="NB35" s="774"/>
      <c r="NC35" s="774"/>
      <c r="ND35" s="774"/>
      <c r="NE35" s="774"/>
      <c r="NF35" s="774"/>
      <c r="NG35" s="774"/>
      <c r="NH35" s="774"/>
      <c r="NI35" s="774"/>
      <c r="NJ35" s="774"/>
      <c r="NK35" s="774"/>
      <c r="NL35" s="774"/>
      <c r="NM35" s="774"/>
      <c r="NN35" s="774"/>
      <c r="NO35" s="774"/>
      <c r="NP35" s="774"/>
      <c r="NQ35" s="774"/>
      <c r="NR35" s="774"/>
      <c r="NS35" s="774"/>
      <c r="NT35" s="774"/>
      <c r="NU35" s="774"/>
      <c r="NV35" s="774"/>
      <c r="NW35" s="774"/>
      <c r="NX35" s="774"/>
      <c r="NY35" s="774"/>
      <c r="NZ35" s="774"/>
      <c r="OA35" s="774"/>
      <c r="OB35" s="774"/>
      <c r="OC35" s="774"/>
      <c r="OD35" s="774"/>
      <c r="OE35" s="774"/>
      <c r="OF35" s="774"/>
      <c r="OG35" s="774"/>
      <c r="OH35" s="774"/>
      <c r="OI35" s="774"/>
      <c r="OJ35" s="774"/>
      <c r="OK35" s="774"/>
      <c r="OL35" s="774"/>
      <c r="OM35" s="774"/>
      <c r="ON35" s="774"/>
      <c r="OO35" s="774"/>
      <c r="OP35" s="774"/>
      <c r="OQ35" s="774"/>
      <c r="OR35" s="774"/>
      <c r="OS35" s="774"/>
      <c r="OT35" s="774"/>
      <c r="OU35" s="774"/>
      <c r="OV35" s="774"/>
      <c r="OW35" s="774"/>
      <c r="OX35" s="774"/>
      <c r="OY35" s="774"/>
      <c r="OZ35" s="774"/>
      <c r="PA35" s="774"/>
      <c r="PB35" s="774"/>
      <c r="PC35" s="774"/>
      <c r="PD35" s="774"/>
      <c r="PE35" s="774"/>
      <c r="PF35" s="774"/>
      <c r="PG35" s="774"/>
      <c r="PH35" s="774"/>
      <c r="PI35" s="774"/>
      <c r="PJ35" s="774"/>
      <c r="PK35" s="774"/>
      <c r="PL35" s="774"/>
      <c r="PM35" s="774"/>
      <c r="PN35" s="774"/>
      <c r="PO35" s="774"/>
      <c r="PP35" s="774"/>
      <c r="PQ35" s="774"/>
      <c r="PR35" s="774"/>
      <c r="PS35" s="774"/>
      <c r="PT35" s="774"/>
      <c r="PU35" s="774"/>
      <c r="PV35" s="774"/>
      <c r="PW35" s="774"/>
      <c r="PX35" s="774"/>
      <c r="PY35" s="774"/>
      <c r="PZ35" s="774"/>
      <c r="QA35" s="774"/>
      <c r="QB35" s="774"/>
      <c r="QC35" s="774"/>
      <c r="QD35" s="774"/>
      <c r="QE35" s="774"/>
      <c r="QF35" s="774"/>
      <c r="QG35" s="774"/>
      <c r="QH35" s="774"/>
      <c r="QI35" s="774"/>
      <c r="QJ35" s="774"/>
      <c r="QK35" s="774"/>
      <c r="QL35" s="774"/>
      <c r="QM35" s="774"/>
      <c r="QN35" s="774"/>
      <c r="QO35" s="774"/>
      <c r="QP35" s="774"/>
      <c r="QQ35" s="774"/>
      <c r="QR35" s="774"/>
      <c r="QS35" s="774"/>
      <c r="QT35" s="774"/>
      <c r="QU35" s="774"/>
      <c r="QV35" s="774"/>
      <c r="QW35" s="774"/>
      <c r="QX35" s="774"/>
      <c r="QY35" s="774"/>
      <c r="QZ35" s="774"/>
      <c r="RA35" s="774"/>
      <c r="RB35" s="774"/>
      <c r="RC35" s="774"/>
      <c r="RD35" s="774"/>
      <c r="RE35" s="774"/>
      <c r="RF35" s="774"/>
      <c r="RG35" s="774"/>
      <c r="RH35" s="774"/>
      <c r="RI35" s="774"/>
      <c r="RJ35" s="774"/>
      <c r="RK35" s="774"/>
      <c r="RL35" s="774"/>
      <c r="RM35" s="774"/>
      <c r="RN35" s="774"/>
      <c r="RO35" s="774"/>
      <c r="RP35" s="774"/>
      <c r="RQ35" s="774"/>
      <c r="RR35" s="774"/>
      <c r="RS35" s="774"/>
      <c r="RT35" s="774"/>
      <c r="RU35" s="774"/>
      <c r="RV35" s="774"/>
      <c r="RW35" s="774"/>
      <c r="RX35" s="774"/>
      <c r="RY35" s="774"/>
      <c r="RZ35" s="774"/>
      <c r="SA35" s="774"/>
      <c r="SB35" s="774"/>
      <c r="SC35" s="774"/>
      <c r="SD35" s="774"/>
      <c r="SE35" s="774"/>
      <c r="SF35" s="774"/>
      <c r="SG35" s="774"/>
      <c r="SH35" s="774"/>
      <c r="SI35" s="774"/>
      <c r="SJ35" s="774"/>
      <c r="SK35" s="774"/>
      <c r="SL35" s="774"/>
      <c r="SM35" s="774"/>
      <c r="SN35" s="774"/>
      <c r="SO35" s="774"/>
      <c r="SP35" s="774"/>
      <c r="SQ35" s="774"/>
      <c r="SR35" s="774"/>
      <c r="SS35" s="774"/>
      <c r="ST35" s="774"/>
      <c r="SU35" s="774"/>
      <c r="SV35" s="774"/>
      <c r="SW35" s="774"/>
      <c r="SX35" s="774"/>
      <c r="SY35" s="774"/>
      <c r="SZ35" s="774"/>
      <c r="TA35" s="774"/>
      <c r="TB35" s="774"/>
      <c r="TC35" s="774"/>
      <c r="TD35" s="774"/>
      <c r="TE35" s="774"/>
      <c r="TF35" s="774"/>
      <c r="TG35" s="774"/>
      <c r="TH35" s="774"/>
      <c r="TI35" s="774"/>
      <c r="TJ35" s="774"/>
      <c r="TK35" s="774"/>
      <c r="TL35" s="774"/>
      <c r="TM35" s="774"/>
      <c r="TN35" s="774"/>
      <c r="TO35" s="774"/>
      <c r="TP35" s="774"/>
      <c r="TQ35" s="774"/>
      <c r="TR35" s="774"/>
      <c r="TS35" s="774"/>
      <c r="TT35" s="774"/>
      <c r="TU35" s="774"/>
      <c r="TV35" s="774"/>
      <c r="TW35" s="774"/>
      <c r="TX35" s="774"/>
      <c r="TY35" s="774"/>
      <c r="TZ35" s="774"/>
      <c r="UA35" s="774"/>
      <c r="UB35" s="774"/>
      <c r="UC35" s="774"/>
      <c r="UD35" s="774"/>
      <c r="UE35" s="774"/>
      <c r="UF35" s="774"/>
      <c r="UG35" s="774"/>
      <c r="UH35" s="774"/>
      <c r="UI35" s="774"/>
      <c r="UJ35" s="774"/>
      <c r="UK35" s="774"/>
      <c r="UL35" s="774"/>
      <c r="UM35" s="774"/>
      <c r="UN35" s="774"/>
      <c r="UO35" s="774"/>
      <c r="UP35" s="774"/>
      <c r="UQ35" s="774"/>
      <c r="UR35" s="774"/>
      <c r="US35" s="774"/>
      <c r="UT35" s="774"/>
      <c r="UU35" s="774"/>
      <c r="UV35" s="774"/>
      <c r="UW35" s="774"/>
      <c r="UX35" s="774"/>
      <c r="UY35" s="774"/>
      <c r="UZ35" s="774"/>
      <c r="VA35" s="774"/>
      <c r="VB35" s="774"/>
      <c r="VC35" s="774"/>
      <c r="VD35" s="774"/>
      <c r="VE35" s="774"/>
      <c r="VF35" s="774"/>
      <c r="VG35" s="774"/>
      <c r="VH35" s="774"/>
      <c r="VI35" s="774"/>
      <c r="VJ35" s="774"/>
      <c r="VK35" s="774"/>
      <c r="VL35" s="774"/>
      <c r="VM35" s="774"/>
      <c r="VN35" s="774"/>
      <c r="VO35" s="774"/>
      <c r="VP35" s="774"/>
      <c r="VQ35" s="774"/>
      <c r="VR35" s="774"/>
      <c r="VS35" s="774"/>
      <c r="VT35" s="774"/>
      <c r="VU35" s="774"/>
      <c r="VV35" s="774"/>
      <c r="VW35" s="774"/>
      <c r="VX35" s="774"/>
      <c r="VY35" s="774"/>
      <c r="VZ35" s="774"/>
      <c r="WA35" s="774"/>
      <c r="WB35" s="774"/>
      <c r="WC35" s="774"/>
      <c r="WD35" s="774"/>
      <c r="WE35" s="774"/>
      <c r="WF35" s="774"/>
      <c r="WG35" s="774"/>
      <c r="WH35" s="774"/>
      <c r="WI35" s="774"/>
      <c r="WJ35" s="774"/>
      <c r="WK35" s="774"/>
      <c r="WL35" s="774"/>
      <c r="WM35" s="774"/>
      <c r="WN35" s="774"/>
      <c r="WO35" s="774"/>
      <c r="WP35" s="774"/>
      <c r="WQ35" s="774"/>
      <c r="WR35" s="774"/>
      <c r="WS35" s="774"/>
      <c r="WT35" s="774"/>
      <c r="WU35" s="774"/>
      <c r="WV35" s="774"/>
      <c r="WW35" s="774"/>
      <c r="WX35" s="774"/>
      <c r="WY35" s="774"/>
      <c r="WZ35" s="774"/>
      <c r="XA35" s="774"/>
      <c r="XB35" s="774"/>
      <c r="XC35" s="774"/>
      <c r="XD35" s="774"/>
      <c r="XE35" s="774"/>
      <c r="XF35" s="774"/>
      <c r="XG35" s="774"/>
      <c r="XH35" s="774"/>
      <c r="XI35" s="774"/>
      <c r="XJ35" s="774"/>
      <c r="XK35" s="774"/>
      <c r="XL35" s="774"/>
      <c r="XM35" s="774"/>
      <c r="XN35" s="774"/>
      <c r="XO35" s="774"/>
      <c r="XP35" s="774"/>
      <c r="XQ35" s="774"/>
      <c r="XR35" s="774"/>
      <c r="XS35" s="774"/>
      <c r="XT35" s="774"/>
      <c r="XU35" s="774"/>
      <c r="XV35" s="774"/>
      <c r="XW35" s="774"/>
      <c r="XX35" s="774"/>
      <c r="XY35" s="774"/>
      <c r="XZ35" s="774"/>
      <c r="YA35" s="774"/>
      <c r="YB35" s="774"/>
      <c r="YC35" s="774"/>
      <c r="YD35" s="774"/>
      <c r="YE35" s="774"/>
      <c r="YF35" s="774"/>
      <c r="YG35" s="774"/>
      <c r="YH35" s="774"/>
      <c r="YI35" s="774"/>
      <c r="YJ35" s="774"/>
      <c r="YK35" s="774"/>
      <c r="YL35" s="774"/>
      <c r="YM35" s="774"/>
      <c r="YN35" s="774"/>
      <c r="YO35" s="774"/>
      <c r="YP35" s="774"/>
      <c r="YQ35" s="774"/>
      <c r="YR35" s="774"/>
      <c r="YS35" s="774"/>
      <c r="YT35" s="774"/>
      <c r="YU35" s="774"/>
      <c r="YV35" s="774"/>
      <c r="YW35" s="774"/>
      <c r="YX35" s="774"/>
      <c r="YY35" s="774"/>
      <c r="YZ35" s="774"/>
      <c r="ZA35" s="774"/>
      <c r="ZB35" s="774"/>
      <c r="ZC35" s="774"/>
      <c r="ZD35" s="774"/>
      <c r="ZE35" s="774"/>
      <c r="ZF35" s="774"/>
      <c r="ZG35" s="774"/>
      <c r="ZH35" s="774"/>
      <c r="ZI35" s="774"/>
      <c r="ZJ35" s="774"/>
      <c r="ZK35" s="774"/>
      <c r="ZL35" s="774"/>
      <c r="ZM35" s="774"/>
      <c r="ZN35" s="774"/>
      <c r="ZO35" s="774"/>
      <c r="ZP35" s="774"/>
      <c r="ZQ35" s="774"/>
      <c r="ZR35" s="774"/>
      <c r="ZS35" s="774"/>
      <c r="ZT35" s="774"/>
      <c r="ZU35" s="774"/>
      <c r="ZV35" s="774"/>
      <c r="ZW35" s="774"/>
      <c r="ZX35" s="774"/>
      <c r="ZY35" s="774"/>
      <c r="ZZ35" s="774"/>
      <c r="AAA35" s="774"/>
      <c r="AAB35" s="774"/>
      <c r="AAC35" s="774"/>
      <c r="AAD35" s="774"/>
      <c r="AAE35" s="774"/>
      <c r="AAF35" s="774"/>
      <c r="AAG35" s="774"/>
      <c r="AAH35" s="774"/>
      <c r="AAI35" s="774"/>
      <c r="AAJ35" s="774"/>
      <c r="AAK35" s="774"/>
      <c r="AAL35" s="774"/>
      <c r="AAM35" s="774"/>
      <c r="AAN35" s="774"/>
      <c r="AAO35" s="774"/>
      <c r="AAP35" s="774"/>
      <c r="AAQ35" s="774"/>
      <c r="AAR35" s="774"/>
      <c r="AAS35" s="774"/>
      <c r="AAT35" s="774"/>
      <c r="AAU35" s="774"/>
      <c r="AAV35" s="774"/>
      <c r="AAW35" s="774"/>
      <c r="AAX35" s="774"/>
      <c r="AAY35" s="774"/>
      <c r="AAZ35" s="774"/>
      <c r="ABA35" s="774"/>
      <c r="ABB35" s="774"/>
      <c r="ABC35" s="774"/>
      <c r="ABD35" s="774"/>
      <c r="ABE35" s="774"/>
      <c r="ABF35" s="774"/>
      <c r="ABG35" s="774"/>
      <c r="ABH35" s="774"/>
      <c r="ABI35" s="774"/>
      <c r="ABJ35" s="774"/>
      <c r="ABK35" s="774"/>
      <c r="ABL35" s="774"/>
      <c r="ABM35" s="774"/>
      <c r="ABN35" s="774"/>
      <c r="ABO35" s="774"/>
      <c r="ABP35" s="774"/>
      <c r="ABQ35" s="774"/>
      <c r="ABR35" s="774"/>
      <c r="ABS35" s="774"/>
      <c r="ABT35" s="774"/>
      <c r="ABU35" s="774"/>
      <c r="ABV35" s="774"/>
      <c r="ABW35" s="774"/>
      <c r="ABX35" s="774"/>
      <c r="ABY35" s="774"/>
      <c r="ABZ35" s="774"/>
      <c r="ACA35" s="774"/>
      <c r="ACB35" s="774"/>
      <c r="ACC35" s="774"/>
      <c r="ACD35" s="774"/>
      <c r="ACE35" s="774"/>
      <c r="ACF35" s="774"/>
      <c r="ACG35" s="774"/>
      <c r="ACH35" s="774"/>
      <c r="ACI35" s="774"/>
      <c r="ACJ35" s="774"/>
      <c r="ACK35" s="774"/>
      <c r="ACL35" s="774"/>
      <c r="ACM35" s="774"/>
      <c r="ACN35" s="774"/>
      <c r="ACO35" s="774"/>
      <c r="ACP35" s="774"/>
      <c r="ACQ35" s="774"/>
      <c r="ACR35" s="774"/>
      <c r="ACS35" s="774"/>
      <c r="ACT35" s="774"/>
      <c r="ACU35" s="774"/>
      <c r="ACV35" s="774"/>
      <c r="ACW35" s="774"/>
      <c r="ACX35" s="774"/>
      <c r="ACY35" s="774"/>
      <c r="ACZ35" s="774"/>
      <c r="ADA35" s="774"/>
      <c r="ADB35" s="774"/>
      <c r="ADC35" s="774"/>
      <c r="ADD35" s="774"/>
      <c r="ADE35" s="774"/>
      <c r="ADF35" s="774"/>
      <c r="ADG35" s="774"/>
      <c r="ADH35" s="774"/>
      <c r="ADI35" s="774"/>
      <c r="ADJ35" s="774"/>
      <c r="ADK35" s="774"/>
      <c r="ADL35" s="774"/>
      <c r="ADM35" s="774"/>
      <c r="ADN35" s="774"/>
      <c r="ADO35" s="774"/>
      <c r="ADP35" s="774"/>
      <c r="ADQ35" s="774"/>
      <c r="ADR35" s="774"/>
      <c r="ADS35" s="774"/>
      <c r="ADT35" s="774"/>
      <c r="ADU35" s="774"/>
      <c r="ADV35" s="774"/>
      <c r="ADW35" s="774"/>
      <c r="ADX35" s="774"/>
      <c r="ADY35" s="774"/>
      <c r="ADZ35" s="774"/>
      <c r="AEA35" s="774"/>
      <c r="AEB35" s="774"/>
      <c r="AEC35" s="774"/>
      <c r="AED35" s="774"/>
      <c r="AEE35" s="774"/>
      <c r="AEF35" s="774"/>
      <c r="AEG35" s="774"/>
      <c r="AEH35" s="774"/>
      <c r="AEI35" s="774"/>
      <c r="AEJ35" s="774"/>
      <c r="AEK35" s="774"/>
      <c r="AEL35" s="774"/>
      <c r="AEM35" s="774"/>
      <c r="AEN35" s="774"/>
      <c r="AEO35" s="774"/>
      <c r="AEP35" s="774"/>
      <c r="AEQ35" s="774"/>
      <c r="AER35" s="774"/>
      <c r="AES35" s="774"/>
      <c r="AET35" s="774"/>
      <c r="AEU35" s="774"/>
      <c r="AEV35" s="774"/>
      <c r="AEW35" s="774"/>
      <c r="AEX35" s="774"/>
      <c r="AEY35" s="774"/>
      <c r="AEZ35" s="774"/>
      <c r="AFA35" s="774"/>
      <c r="AFB35" s="774"/>
      <c r="AFC35" s="774"/>
      <c r="AFD35" s="774"/>
      <c r="AFE35" s="774"/>
      <c r="AFF35" s="774"/>
      <c r="AFG35" s="774"/>
      <c r="AFH35" s="774"/>
      <c r="AFI35" s="774"/>
      <c r="AFJ35" s="774"/>
      <c r="AFK35" s="774"/>
      <c r="AFL35" s="774"/>
      <c r="AFM35" s="774"/>
      <c r="AFN35" s="774"/>
      <c r="AFO35" s="774"/>
      <c r="AFP35" s="774"/>
      <c r="AFQ35" s="774"/>
      <c r="AFR35" s="774"/>
      <c r="AFS35" s="774"/>
      <c r="AFT35" s="774"/>
      <c r="AFU35" s="774"/>
      <c r="AFV35" s="774"/>
      <c r="AFW35" s="774"/>
      <c r="AFX35" s="774"/>
      <c r="AFY35" s="774"/>
      <c r="AFZ35" s="774"/>
      <c r="AGA35" s="774"/>
      <c r="AGB35" s="774"/>
      <c r="AGC35" s="774"/>
      <c r="AGD35" s="774"/>
      <c r="AGE35" s="774"/>
      <c r="AGF35" s="774"/>
      <c r="AGG35" s="774"/>
      <c r="AGH35" s="774"/>
      <c r="AGI35" s="774"/>
      <c r="AGJ35" s="774"/>
      <c r="AGK35" s="774"/>
      <c r="AGL35" s="774"/>
      <c r="AGM35" s="774"/>
      <c r="AGN35" s="774"/>
      <c r="AGO35" s="774"/>
      <c r="AGP35" s="774"/>
      <c r="AGQ35" s="774"/>
      <c r="AGR35" s="774"/>
      <c r="AGS35" s="774"/>
      <c r="AGT35" s="774"/>
      <c r="AGU35" s="774"/>
      <c r="AGV35" s="774"/>
      <c r="AGW35" s="774"/>
      <c r="AGX35" s="774"/>
      <c r="AGY35" s="774"/>
      <c r="AGZ35" s="774"/>
      <c r="AHA35" s="774"/>
      <c r="AHB35" s="774"/>
      <c r="AHC35" s="774"/>
      <c r="AHD35" s="774"/>
      <c r="AHE35" s="774"/>
      <c r="AHF35" s="774"/>
      <c r="AHG35" s="774"/>
      <c r="AHH35" s="774"/>
      <c r="AHI35" s="774"/>
      <c r="AHJ35" s="774"/>
      <c r="AHK35" s="774"/>
      <c r="AHL35" s="774"/>
      <c r="AHM35" s="774"/>
      <c r="AHN35" s="774"/>
      <c r="AHO35" s="774"/>
      <c r="AHP35" s="774"/>
      <c r="AHQ35" s="774"/>
      <c r="AHR35" s="774"/>
      <c r="AHS35" s="774"/>
      <c r="AHT35" s="774"/>
      <c r="AHU35" s="774"/>
      <c r="AHV35" s="774"/>
      <c r="AHW35" s="774"/>
      <c r="AHX35" s="774"/>
      <c r="AHY35" s="774"/>
      <c r="AHZ35" s="774"/>
      <c r="AIA35" s="774"/>
      <c r="AIB35" s="774"/>
      <c r="AIC35" s="774"/>
      <c r="AID35" s="774"/>
      <c r="AIE35" s="774"/>
      <c r="AIF35" s="774"/>
      <c r="AIG35" s="774"/>
      <c r="AIH35" s="774"/>
      <c r="AII35" s="774"/>
      <c r="AIJ35" s="774"/>
      <c r="AIK35" s="774"/>
      <c r="AIL35" s="774"/>
      <c r="AIM35" s="774"/>
      <c r="AIN35" s="774"/>
      <c r="AIO35" s="774"/>
      <c r="AIP35" s="774"/>
      <c r="AIQ35" s="774"/>
      <c r="AIR35" s="774"/>
      <c r="AIS35" s="774"/>
      <c r="AIT35" s="774"/>
      <c r="AIU35" s="774"/>
      <c r="AIV35" s="774"/>
      <c r="AIW35" s="774"/>
      <c r="AIX35" s="774"/>
      <c r="AIY35" s="774"/>
      <c r="AIZ35" s="774"/>
      <c r="AJA35" s="774"/>
      <c r="AJB35" s="774"/>
      <c r="AJC35" s="774"/>
      <c r="AJD35" s="774"/>
      <c r="AJE35" s="774"/>
      <c r="AJF35" s="774"/>
      <c r="AJG35" s="774"/>
      <c r="AJH35" s="774"/>
      <c r="AJI35" s="774"/>
      <c r="AJJ35" s="774"/>
      <c r="AJK35" s="774"/>
      <c r="AJL35" s="774"/>
      <c r="AJM35" s="774"/>
      <c r="AJN35" s="774"/>
      <c r="AJO35" s="774"/>
      <c r="AJP35" s="774"/>
      <c r="AJQ35" s="774"/>
      <c r="AJR35" s="774"/>
      <c r="AJS35" s="774"/>
      <c r="AJT35" s="774"/>
      <c r="AJU35" s="774"/>
      <c r="AJV35" s="774"/>
      <c r="AJW35" s="774"/>
      <c r="AJX35" s="774"/>
      <c r="AJY35" s="774"/>
      <c r="AJZ35" s="774"/>
      <c r="AKA35" s="774"/>
      <c r="AKB35" s="774"/>
      <c r="AKC35" s="774"/>
      <c r="AKD35" s="774"/>
      <c r="AKE35" s="774"/>
      <c r="AKF35" s="774"/>
      <c r="AKG35" s="774"/>
      <c r="AKH35" s="774"/>
      <c r="AKI35" s="774"/>
      <c r="AKJ35" s="774"/>
      <c r="AKK35" s="774"/>
      <c r="AKL35" s="774"/>
      <c r="AKM35" s="774"/>
      <c r="AKN35" s="774"/>
      <c r="AKO35" s="774"/>
      <c r="AKP35" s="774"/>
      <c r="AKQ35" s="774"/>
      <c r="AKR35" s="774"/>
      <c r="AKS35" s="774"/>
      <c r="AKT35" s="774"/>
      <c r="AKU35" s="774"/>
      <c r="AKV35" s="774"/>
      <c r="AKW35" s="774"/>
      <c r="AKX35" s="774"/>
      <c r="AKY35" s="774"/>
      <c r="AKZ35" s="774"/>
      <c r="ALA35" s="774"/>
      <c r="ALB35" s="774"/>
      <c r="ALC35" s="774"/>
      <c r="ALD35" s="774"/>
      <c r="ALE35" s="774"/>
      <c r="ALF35" s="774"/>
      <c r="ALG35" s="774"/>
      <c r="ALH35" s="774"/>
      <c r="ALI35" s="774"/>
      <c r="ALJ35" s="774"/>
      <c r="ALK35" s="774"/>
      <c r="ALL35" s="774"/>
      <c r="ALM35" s="774"/>
      <c r="ALN35" s="774"/>
      <c r="ALO35" s="774"/>
      <c r="ALP35" s="774"/>
      <c r="ALQ35" s="774"/>
      <c r="ALR35" s="774"/>
      <c r="ALS35" s="774"/>
      <c r="ALT35" s="774"/>
      <c r="ALU35" s="774"/>
      <c r="ALV35" s="774"/>
      <c r="ALW35" s="774"/>
      <c r="ALX35" s="774"/>
      <c r="ALY35" s="774"/>
      <c r="ALZ35" s="774"/>
      <c r="AMA35" s="774"/>
      <c r="AMB35" s="774"/>
      <c r="AMC35" s="774"/>
      <c r="AMD35" s="774"/>
      <c r="AME35" s="774"/>
      <c r="AMF35" s="774"/>
      <c r="AMG35" s="774"/>
      <c r="AMH35" s="774"/>
      <c r="AMI35" s="774"/>
      <c r="AMJ35" s="774"/>
      <c r="AMK35" s="774"/>
      <c r="AML35" s="774"/>
      <c r="AMM35" s="774"/>
      <c r="AMN35" s="774"/>
      <c r="AMO35" s="774"/>
      <c r="AMP35" s="774"/>
      <c r="AMQ35" s="774"/>
      <c r="AMR35" s="774"/>
      <c r="AMS35" s="774"/>
      <c r="AMT35" s="774"/>
      <c r="AMU35" s="774"/>
      <c r="AMV35" s="774"/>
      <c r="AMW35" s="774"/>
      <c r="AMX35" s="774"/>
      <c r="AMY35" s="774"/>
      <c r="AMZ35" s="774"/>
      <c r="ANA35" s="774"/>
      <c r="ANB35" s="774"/>
      <c r="ANC35" s="774"/>
      <c r="AND35" s="774"/>
      <c r="ANE35" s="774"/>
      <c r="ANF35" s="774"/>
      <c r="ANG35" s="774"/>
      <c r="ANH35" s="774"/>
      <c r="ANI35" s="774"/>
      <c r="ANJ35" s="774"/>
      <c r="ANK35" s="774"/>
      <c r="ANL35" s="774"/>
      <c r="ANM35" s="774"/>
      <c r="ANN35" s="774"/>
      <c r="ANO35" s="774"/>
      <c r="ANP35" s="774"/>
      <c r="ANQ35" s="774"/>
      <c r="ANR35" s="774"/>
      <c r="ANS35" s="774"/>
      <c r="ANT35" s="774"/>
      <c r="ANU35" s="774"/>
      <c r="ANV35" s="774"/>
      <c r="ANW35" s="774"/>
      <c r="ANX35" s="774"/>
      <c r="ANY35" s="774"/>
      <c r="ANZ35" s="774"/>
      <c r="AOA35" s="774"/>
      <c r="AOB35" s="774"/>
      <c r="AOC35" s="774"/>
      <c r="AOD35" s="774"/>
      <c r="AOE35" s="774"/>
      <c r="AOF35" s="774"/>
      <c r="AOG35" s="774"/>
      <c r="AOH35" s="774"/>
      <c r="AOI35" s="774"/>
      <c r="AOJ35" s="774"/>
      <c r="AOK35" s="774"/>
      <c r="AOL35" s="774"/>
      <c r="AOM35" s="774"/>
      <c r="AON35" s="774"/>
      <c r="AOO35" s="774"/>
      <c r="AOP35" s="774"/>
      <c r="AOQ35" s="774"/>
      <c r="AOR35" s="774"/>
      <c r="AOS35" s="774"/>
      <c r="AOT35" s="774"/>
      <c r="AOU35" s="774"/>
      <c r="AOV35" s="774"/>
      <c r="AOW35" s="774"/>
      <c r="AOX35" s="774"/>
      <c r="AOY35" s="774"/>
      <c r="AOZ35" s="774"/>
      <c r="APA35" s="774"/>
      <c r="APB35" s="774"/>
      <c r="APC35" s="774"/>
      <c r="APD35" s="774"/>
      <c r="APE35" s="774"/>
      <c r="APF35" s="774"/>
      <c r="APG35" s="774"/>
      <c r="APH35" s="774"/>
      <c r="API35" s="774"/>
      <c r="APJ35" s="774"/>
      <c r="APK35" s="774"/>
      <c r="APL35" s="774"/>
      <c r="APM35" s="774"/>
      <c r="APN35" s="774"/>
      <c r="APO35" s="774"/>
      <c r="APP35" s="774"/>
      <c r="APQ35" s="774"/>
      <c r="APR35" s="774"/>
      <c r="APS35" s="774"/>
      <c r="APT35" s="774"/>
      <c r="APU35" s="774"/>
      <c r="APV35" s="774"/>
      <c r="APW35" s="774"/>
      <c r="APX35" s="774"/>
      <c r="APY35" s="774"/>
      <c r="APZ35" s="774"/>
      <c r="AQA35" s="774"/>
      <c r="AQB35" s="774"/>
      <c r="AQC35" s="774"/>
      <c r="AQD35" s="774"/>
      <c r="AQE35" s="774"/>
      <c r="AQF35" s="774"/>
      <c r="AQG35" s="774"/>
      <c r="AQH35" s="774"/>
      <c r="AQI35" s="774"/>
      <c r="AQJ35" s="774"/>
      <c r="AQK35" s="774"/>
      <c r="AQL35" s="774"/>
      <c r="AQM35" s="774"/>
      <c r="AQN35" s="774"/>
      <c r="AQO35" s="774"/>
      <c r="AQP35" s="774"/>
      <c r="AQQ35" s="774"/>
      <c r="AQR35" s="774"/>
      <c r="AQS35" s="774"/>
      <c r="AQT35" s="774"/>
      <c r="AQU35" s="774"/>
      <c r="AQV35" s="774"/>
      <c r="AQW35" s="774"/>
      <c r="AQX35" s="774"/>
      <c r="AQY35" s="774"/>
      <c r="AQZ35" s="774"/>
      <c r="ARA35" s="774"/>
      <c r="ARB35" s="774"/>
      <c r="ARC35" s="774"/>
      <c r="ARD35" s="774"/>
      <c r="ARE35" s="774"/>
      <c r="ARF35" s="774"/>
      <c r="ARG35" s="774"/>
      <c r="ARH35" s="774"/>
      <c r="ARI35" s="774"/>
      <c r="ARJ35" s="774"/>
      <c r="ARK35" s="774"/>
      <c r="ARL35" s="774"/>
      <c r="ARM35" s="774"/>
      <c r="ARN35" s="774"/>
      <c r="ARO35" s="774"/>
      <c r="ARP35" s="774"/>
      <c r="ARQ35" s="774"/>
      <c r="ARR35" s="774"/>
      <c r="ARS35" s="774"/>
      <c r="ART35" s="774"/>
      <c r="ARU35" s="774"/>
      <c r="ARV35" s="774"/>
      <c r="ARW35" s="774"/>
      <c r="ARX35" s="774"/>
      <c r="ARY35" s="774"/>
      <c r="ARZ35" s="774"/>
      <c r="ASA35" s="774"/>
      <c r="ASB35" s="774"/>
      <c r="ASC35" s="774"/>
      <c r="ASD35" s="774"/>
      <c r="ASE35" s="774"/>
      <c r="ASF35" s="774"/>
      <c r="ASG35" s="774"/>
      <c r="ASH35" s="774"/>
      <c r="ASI35" s="774"/>
      <c r="ASJ35" s="774"/>
      <c r="ASK35" s="774"/>
      <c r="ASL35" s="774"/>
      <c r="ASM35" s="774"/>
      <c r="ASN35" s="774"/>
      <c r="ASO35" s="774"/>
      <c r="ASP35" s="774"/>
      <c r="ASQ35" s="774"/>
      <c r="ASR35" s="774"/>
      <c r="ASS35" s="774"/>
      <c r="AST35" s="774"/>
      <c r="ASU35" s="774"/>
      <c r="ASV35" s="774"/>
      <c r="ASW35" s="774"/>
      <c r="ASX35" s="774"/>
      <c r="ASY35" s="774"/>
      <c r="ASZ35" s="774"/>
      <c r="ATA35" s="774"/>
      <c r="ATB35" s="774"/>
      <c r="ATC35" s="774"/>
      <c r="ATD35" s="774"/>
      <c r="ATE35" s="774"/>
      <c r="ATF35" s="774"/>
      <c r="ATG35" s="774"/>
      <c r="ATH35" s="774"/>
      <c r="ATI35" s="774"/>
      <c r="ATJ35" s="774"/>
      <c r="ATK35" s="774"/>
      <c r="ATL35" s="774"/>
      <c r="ATM35" s="774"/>
      <c r="ATN35" s="774"/>
      <c r="ATO35" s="774"/>
      <c r="ATP35" s="774"/>
      <c r="ATQ35" s="774"/>
      <c r="ATR35" s="774"/>
      <c r="ATS35" s="774"/>
      <c r="ATT35" s="774"/>
      <c r="ATU35" s="774"/>
      <c r="ATV35" s="774"/>
      <c r="ATW35" s="774"/>
      <c r="ATX35" s="774"/>
      <c r="ATY35" s="774"/>
      <c r="ATZ35" s="774"/>
      <c r="AUA35" s="774"/>
      <c r="AUB35" s="774"/>
      <c r="AUC35" s="774"/>
      <c r="AUD35" s="774"/>
      <c r="AUE35" s="774"/>
      <c r="AUF35" s="774"/>
      <c r="AUG35" s="774"/>
      <c r="AUH35" s="774"/>
      <c r="AUI35" s="774"/>
      <c r="AUJ35" s="774"/>
      <c r="AUK35" s="774"/>
      <c r="AUL35" s="774"/>
      <c r="AUM35" s="774"/>
      <c r="AUN35" s="774"/>
      <c r="AUO35" s="774"/>
      <c r="AUP35" s="774"/>
      <c r="AUQ35" s="774"/>
      <c r="AUR35" s="774"/>
      <c r="AUS35" s="774"/>
      <c r="AUT35" s="774"/>
      <c r="AUU35" s="774"/>
      <c r="AUV35" s="774"/>
      <c r="AUW35" s="774"/>
      <c r="AUX35" s="774"/>
      <c r="AUY35" s="774"/>
      <c r="AUZ35" s="774"/>
      <c r="AVA35" s="774"/>
      <c r="AVB35" s="774"/>
      <c r="AVC35" s="774"/>
      <c r="AVD35" s="774"/>
      <c r="AVE35" s="774"/>
      <c r="AVF35" s="774"/>
      <c r="AVG35" s="774"/>
      <c r="AVH35" s="774"/>
      <c r="AVI35" s="774"/>
      <c r="AVJ35" s="774"/>
      <c r="AVK35" s="774"/>
      <c r="AVL35" s="774"/>
      <c r="AVM35" s="774"/>
      <c r="AVN35" s="774"/>
      <c r="AVO35" s="774"/>
      <c r="AVP35" s="774"/>
      <c r="AVQ35" s="774"/>
      <c r="AVR35" s="774"/>
      <c r="AVS35" s="774"/>
      <c r="AVT35" s="774"/>
      <c r="AVU35" s="774"/>
      <c r="AVV35" s="774"/>
      <c r="AVW35" s="774"/>
      <c r="AVX35" s="774"/>
      <c r="AVY35" s="774"/>
      <c r="AVZ35" s="774"/>
      <c r="AWA35" s="774"/>
      <c r="AWB35" s="774"/>
      <c r="AWC35" s="774"/>
      <c r="AWD35" s="774"/>
      <c r="AWE35" s="774"/>
      <c r="AWF35" s="774"/>
      <c r="AWG35" s="774"/>
      <c r="AWH35" s="774"/>
      <c r="AWI35" s="774"/>
      <c r="AWJ35" s="774"/>
      <c r="AWK35" s="774"/>
      <c r="AWL35" s="774"/>
      <c r="AWM35" s="774"/>
      <c r="AWN35" s="774"/>
      <c r="AWO35" s="774"/>
      <c r="AWP35" s="774"/>
      <c r="AWQ35" s="774"/>
      <c r="AWR35" s="774"/>
      <c r="AWS35" s="774"/>
      <c r="AWT35" s="774"/>
      <c r="AWU35" s="774"/>
      <c r="AWV35" s="774"/>
      <c r="AWW35" s="774"/>
      <c r="AWX35" s="774"/>
      <c r="AWY35" s="774"/>
      <c r="AWZ35" s="774"/>
      <c r="AXA35" s="774"/>
      <c r="AXB35" s="774"/>
      <c r="AXC35" s="774"/>
      <c r="AXD35" s="774"/>
      <c r="AXE35" s="774"/>
      <c r="AXF35" s="774"/>
      <c r="AXG35" s="774"/>
      <c r="AXH35" s="774"/>
      <c r="AXI35" s="774"/>
      <c r="AXJ35" s="774"/>
      <c r="AXK35" s="774"/>
      <c r="AXL35" s="774"/>
      <c r="AXM35" s="774"/>
      <c r="AXN35" s="774"/>
      <c r="AXO35" s="774"/>
      <c r="AXP35" s="774"/>
      <c r="AXQ35" s="774"/>
      <c r="AXR35" s="774"/>
      <c r="AXS35" s="774"/>
      <c r="AXT35" s="774"/>
      <c r="AXU35" s="774"/>
      <c r="AXV35" s="774"/>
      <c r="AXW35" s="774"/>
      <c r="AXX35" s="774"/>
      <c r="AXY35" s="774"/>
      <c r="AXZ35" s="774"/>
      <c r="AYA35" s="774"/>
      <c r="AYB35" s="774"/>
      <c r="AYC35" s="774"/>
      <c r="AYD35" s="774"/>
      <c r="AYE35" s="774"/>
      <c r="AYF35" s="774"/>
      <c r="AYG35" s="774"/>
      <c r="AYH35" s="774"/>
      <c r="AYI35" s="774"/>
      <c r="AYJ35" s="774"/>
      <c r="AYK35" s="774"/>
      <c r="AYL35" s="774"/>
      <c r="AYM35" s="774"/>
      <c r="AYN35" s="774"/>
      <c r="AYO35" s="774"/>
      <c r="AYP35" s="774"/>
      <c r="AYQ35" s="774"/>
      <c r="AYR35" s="774"/>
      <c r="AYS35" s="774"/>
      <c r="AYT35" s="774"/>
      <c r="AYU35" s="774"/>
      <c r="AYV35" s="774"/>
      <c r="AYW35" s="774"/>
      <c r="AYX35" s="774"/>
      <c r="AYY35" s="774"/>
      <c r="AYZ35" s="774"/>
      <c r="AZA35" s="774"/>
      <c r="AZB35" s="774"/>
      <c r="AZC35" s="774"/>
      <c r="AZD35" s="774"/>
      <c r="AZE35" s="774"/>
      <c r="AZF35" s="774"/>
      <c r="AZG35" s="774"/>
      <c r="AZH35" s="774"/>
      <c r="AZI35" s="774"/>
      <c r="AZJ35" s="774"/>
      <c r="AZK35" s="774"/>
      <c r="AZL35" s="774"/>
      <c r="AZM35" s="774"/>
      <c r="AZN35" s="774"/>
      <c r="AZO35" s="774"/>
      <c r="AZP35" s="774"/>
      <c r="AZQ35" s="774"/>
      <c r="AZR35" s="774"/>
      <c r="AZS35" s="774"/>
      <c r="AZT35" s="774"/>
      <c r="AZU35" s="774"/>
      <c r="AZV35" s="774"/>
      <c r="AZW35" s="774"/>
      <c r="AZX35" s="774"/>
      <c r="AZY35" s="774"/>
      <c r="AZZ35" s="774"/>
      <c r="BAA35" s="774"/>
      <c r="BAB35" s="774"/>
      <c r="BAC35" s="774"/>
      <c r="BAD35" s="774"/>
      <c r="BAE35" s="774"/>
      <c r="BAF35" s="774"/>
      <c r="BAG35" s="774"/>
      <c r="BAH35" s="774"/>
      <c r="BAI35" s="774"/>
      <c r="BAJ35" s="774"/>
      <c r="BAK35" s="774"/>
      <c r="BAL35" s="774"/>
      <c r="BAM35" s="774"/>
      <c r="BAN35" s="774"/>
      <c r="BAO35" s="774"/>
      <c r="BAP35" s="774"/>
      <c r="BAQ35" s="774"/>
      <c r="BAR35" s="774"/>
      <c r="BAS35" s="774"/>
      <c r="BAT35" s="774"/>
      <c r="BAU35" s="774"/>
      <c r="BAV35" s="774"/>
      <c r="BAW35" s="774"/>
      <c r="BAX35" s="774"/>
      <c r="BAY35" s="774"/>
      <c r="BAZ35" s="774"/>
      <c r="BBA35" s="774"/>
      <c r="BBB35" s="774"/>
      <c r="BBC35" s="774"/>
      <c r="BBD35" s="774"/>
      <c r="BBE35" s="774"/>
      <c r="BBF35" s="774"/>
      <c r="BBG35" s="774"/>
      <c r="BBH35" s="774"/>
      <c r="BBI35" s="774"/>
      <c r="BBJ35" s="774"/>
      <c r="BBK35" s="774"/>
      <c r="BBL35" s="774"/>
      <c r="BBM35" s="774"/>
      <c r="BBN35" s="774"/>
      <c r="BBO35" s="774"/>
      <c r="BBP35" s="774"/>
      <c r="BBQ35" s="774"/>
      <c r="BBR35" s="774"/>
      <c r="BBS35" s="774"/>
      <c r="BBT35" s="774"/>
      <c r="BBU35" s="774"/>
      <c r="BBV35" s="774"/>
      <c r="BBW35" s="774"/>
      <c r="BBX35" s="774"/>
      <c r="BBY35" s="774"/>
      <c r="BBZ35" s="774"/>
      <c r="BCA35" s="774"/>
      <c r="BCB35" s="774"/>
      <c r="BCC35" s="774"/>
      <c r="BCD35" s="774"/>
      <c r="BCE35" s="774"/>
      <c r="BCF35" s="774"/>
      <c r="BCG35" s="774"/>
      <c r="BCH35" s="774"/>
      <c r="BCI35" s="774"/>
      <c r="BCJ35" s="774"/>
      <c r="BCK35" s="774"/>
      <c r="BCL35" s="774"/>
      <c r="BCM35" s="774"/>
      <c r="BCN35" s="774"/>
      <c r="BCO35" s="774"/>
      <c r="BCP35" s="774"/>
      <c r="BCQ35" s="774"/>
      <c r="BCR35" s="774"/>
      <c r="BCS35" s="774"/>
      <c r="BCT35" s="774"/>
      <c r="BCU35" s="774"/>
      <c r="BCV35" s="774"/>
      <c r="BCW35" s="774"/>
      <c r="BCX35" s="774"/>
      <c r="BCY35" s="774"/>
      <c r="BCZ35" s="774"/>
      <c r="BDA35" s="774"/>
      <c r="BDB35" s="774"/>
      <c r="BDC35" s="774"/>
      <c r="BDD35" s="774"/>
      <c r="BDE35" s="774"/>
      <c r="BDF35" s="774"/>
      <c r="BDG35" s="774"/>
      <c r="BDH35" s="774"/>
      <c r="BDI35" s="774"/>
      <c r="BDJ35" s="774"/>
      <c r="BDK35" s="774"/>
      <c r="BDL35" s="774"/>
      <c r="BDM35" s="774"/>
      <c r="BDN35" s="774"/>
      <c r="BDO35" s="774"/>
      <c r="BDP35" s="774"/>
      <c r="BDQ35" s="774"/>
      <c r="BDR35" s="774"/>
      <c r="BDS35" s="774"/>
      <c r="BDT35" s="774"/>
      <c r="BDU35" s="774"/>
      <c r="BDV35" s="774"/>
      <c r="BDW35" s="774"/>
      <c r="BDX35" s="774"/>
      <c r="BDY35" s="774"/>
      <c r="BDZ35" s="774"/>
      <c r="BEA35" s="774"/>
      <c r="BEB35" s="774"/>
      <c r="BEC35" s="774"/>
      <c r="BED35" s="774"/>
      <c r="BEE35" s="774"/>
      <c r="BEF35" s="774"/>
      <c r="BEG35" s="774"/>
      <c r="BEH35" s="774"/>
      <c r="BEI35" s="774"/>
      <c r="BEJ35" s="774"/>
      <c r="BEK35" s="774"/>
      <c r="BEL35" s="774"/>
      <c r="BEM35" s="774"/>
      <c r="BEN35" s="774"/>
      <c r="BEO35" s="774"/>
      <c r="BEP35" s="774"/>
      <c r="BEQ35" s="774"/>
      <c r="BER35" s="774"/>
      <c r="BES35" s="774"/>
      <c r="BET35" s="774"/>
      <c r="BEU35" s="774"/>
      <c r="BEV35" s="774"/>
      <c r="BEW35" s="774"/>
      <c r="BEX35" s="774"/>
      <c r="BEY35" s="774"/>
      <c r="BEZ35" s="774"/>
      <c r="BFA35" s="774"/>
      <c r="BFB35" s="774"/>
      <c r="BFC35" s="774"/>
      <c r="BFD35" s="774"/>
      <c r="BFE35" s="774"/>
      <c r="BFF35" s="774"/>
      <c r="BFG35" s="774"/>
      <c r="BFH35" s="774"/>
      <c r="BFI35" s="774"/>
      <c r="BFJ35" s="774"/>
      <c r="BFK35" s="774"/>
      <c r="BFL35" s="774"/>
      <c r="BFM35" s="774"/>
      <c r="BFN35" s="774"/>
      <c r="BFO35" s="774"/>
      <c r="BFP35" s="774"/>
      <c r="BFQ35" s="774"/>
      <c r="BFR35" s="774"/>
      <c r="BFS35" s="774"/>
      <c r="BFT35" s="774"/>
      <c r="BFU35" s="774"/>
      <c r="BFV35" s="774"/>
      <c r="BFW35" s="774"/>
      <c r="BFX35" s="774"/>
      <c r="BFY35" s="774"/>
      <c r="BFZ35" s="774"/>
      <c r="BGA35" s="774"/>
      <c r="BGB35" s="774"/>
      <c r="BGC35" s="774"/>
      <c r="BGD35" s="774"/>
      <c r="BGE35" s="774"/>
      <c r="BGF35" s="774"/>
      <c r="BGG35" s="774"/>
      <c r="BGH35" s="774"/>
      <c r="BGI35" s="774"/>
      <c r="BGJ35" s="774"/>
      <c r="BGK35" s="774"/>
      <c r="BGL35" s="774"/>
      <c r="BGM35" s="774"/>
      <c r="BGN35" s="774"/>
      <c r="BGO35" s="774"/>
      <c r="BGP35" s="774"/>
      <c r="BGQ35" s="774"/>
      <c r="BGR35" s="774"/>
      <c r="BGS35" s="774"/>
      <c r="BGT35" s="774"/>
      <c r="BGU35" s="774"/>
      <c r="BGV35" s="774"/>
      <c r="BGW35" s="774"/>
      <c r="BGX35" s="774"/>
      <c r="BGY35" s="774"/>
      <c r="BGZ35" s="774"/>
      <c r="BHA35" s="774"/>
      <c r="BHB35" s="774"/>
      <c r="BHC35" s="774"/>
      <c r="BHD35" s="774"/>
      <c r="BHE35" s="774"/>
      <c r="BHF35" s="774"/>
      <c r="BHG35" s="774"/>
      <c r="BHH35" s="774"/>
      <c r="BHI35" s="774"/>
      <c r="BHJ35" s="774"/>
      <c r="BHK35" s="774"/>
      <c r="BHL35" s="774"/>
      <c r="BHM35" s="774"/>
      <c r="BHN35" s="774"/>
      <c r="BHO35" s="774"/>
      <c r="BHP35" s="774"/>
      <c r="BHQ35" s="774"/>
      <c r="BHR35" s="774"/>
      <c r="BHS35" s="774"/>
      <c r="BHT35" s="774"/>
      <c r="BHU35" s="774"/>
      <c r="BHV35" s="774"/>
      <c r="BHW35" s="774"/>
      <c r="BHX35" s="774"/>
      <c r="BHY35" s="774"/>
      <c r="BHZ35" s="774"/>
      <c r="BIA35" s="774"/>
      <c r="BIB35" s="774"/>
      <c r="BIC35" s="774"/>
      <c r="BID35" s="774"/>
      <c r="BIE35" s="774"/>
      <c r="BIF35" s="774"/>
      <c r="BIG35" s="774"/>
      <c r="BIH35" s="774"/>
      <c r="BII35" s="774"/>
      <c r="BIJ35" s="774"/>
      <c r="BIK35" s="774"/>
      <c r="BIL35" s="774"/>
      <c r="BIM35" s="774"/>
      <c r="BIN35" s="774"/>
      <c r="BIO35" s="774"/>
      <c r="BIP35" s="774"/>
      <c r="BIQ35" s="774"/>
      <c r="BIR35" s="774"/>
      <c r="BIS35" s="774"/>
      <c r="BIT35" s="774"/>
      <c r="BIU35" s="774"/>
      <c r="BIV35" s="774"/>
      <c r="BIW35" s="774"/>
      <c r="BIX35" s="774"/>
      <c r="BIY35" s="774"/>
      <c r="BIZ35" s="774"/>
      <c r="BJA35" s="774"/>
      <c r="BJB35" s="774"/>
      <c r="BJC35" s="774"/>
      <c r="BJD35" s="774"/>
      <c r="BJE35" s="774"/>
      <c r="BJF35" s="774"/>
      <c r="BJG35" s="774"/>
      <c r="BJH35" s="774"/>
      <c r="BJI35" s="774"/>
      <c r="BJJ35" s="774"/>
      <c r="BJK35" s="774"/>
      <c r="BJL35" s="774"/>
      <c r="BJM35" s="774"/>
      <c r="BJN35" s="774"/>
      <c r="BJO35" s="774"/>
      <c r="BJP35" s="774"/>
      <c r="BJQ35" s="774"/>
      <c r="BJR35" s="774"/>
      <c r="BJS35" s="774"/>
      <c r="BJT35" s="774"/>
      <c r="BJU35" s="774"/>
      <c r="BJV35" s="774"/>
      <c r="BJW35" s="774"/>
      <c r="BJX35" s="774"/>
      <c r="BJY35" s="774"/>
      <c r="BJZ35" s="774"/>
      <c r="BKA35" s="774"/>
      <c r="BKB35" s="774"/>
      <c r="BKC35" s="774"/>
      <c r="BKD35" s="774"/>
      <c r="BKE35" s="774"/>
      <c r="BKF35" s="774"/>
      <c r="BKG35" s="774"/>
      <c r="BKH35" s="774"/>
      <c r="BKI35" s="774"/>
      <c r="BKJ35" s="774"/>
      <c r="BKK35" s="774"/>
      <c r="BKL35" s="774"/>
      <c r="BKM35" s="774"/>
      <c r="BKN35" s="774"/>
      <c r="BKO35" s="774"/>
      <c r="BKP35" s="774"/>
      <c r="BKQ35" s="774"/>
      <c r="BKR35" s="774"/>
      <c r="BKS35" s="774"/>
      <c r="BKT35" s="774"/>
      <c r="BKU35" s="774"/>
      <c r="BKV35" s="774"/>
      <c r="BKW35" s="774"/>
      <c r="BKX35" s="774"/>
      <c r="BKY35" s="774"/>
      <c r="BKZ35" s="774"/>
      <c r="BLA35" s="774"/>
      <c r="BLB35" s="774"/>
      <c r="BLC35" s="774"/>
      <c r="BLD35" s="774"/>
      <c r="BLE35" s="774"/>
      <c r="BLF35" s="774"/>
      <c r="BLG35" s="774"/>
      <c r="BLH35" s="774"/>
      <c r="BLI35" s="774"/>
      <c r="BLJ35" s="774"/>
      <c r="BLK35" s="774"/>
      <c r="BLL35" s="774"/>
      <c r="BLM35" s="774"/>
      <c r="BLN35" s="774"/>
      <c r="BLO35" s="774"/>
      <c r="BLP35" s="774"/>
      <c r="BLQ35" s="774"/>
      <c r="BLR35" s="774"/>
      <c r="BLS35" s="774"/>
      <c r="BLT35" s="774"/>
      <c r="BLU35" s="774"/>
      <c r="BLV35" s="774"/>
      <c r="BLW35" s="774"/>
      <c r="BLX35" s="774"/>
      <c r="BLY35" s="774"/>
      <c r="BLZ35" s="774"/>
      <c r="BMA35" s="774"/>
      <c r="BMB35" s="774"/>
      <c r="BMC35" s="774"/>
      <c r="BMD35" s="774"/>
      <c r="BME35" s="774"/>
      <c r="BMF35" s="774"/>
      <c r="BMG35" s="774"/>
      <c r="BMH35" s="774"/>
      <c r="BMI35" s="774"/>
      <c r="BMJ35" s="774"/>
      <c r="BMK35" s="774"/>
      <c r="BML35" s="774"/>
      <c r="BMM35" s="774"/>
      <c r="BMN35" s="774"/>
      <c r="BMO35" s="774"/>
      <c r="BMP35" s="774"/>
      <c r="BMQ35" s="774"/>
      <c r="BMR35" s="774"/>
      <c r="BMS35" s="774"/>
      <c r="BMT35" s="774"/>
      <c r="BMU35" s="774"/>
      <c r="BMV35" s="774"/>
      <c r="BMW35" s="774"/>
      <c r="BMX35" s="774"/>
      <c r="BMY35" s="774"/>
      <c r="BMZ35" s="774"/>
      <c r="BNA35" s="774"/>
      <c r="BNB35" s="774"/>
      <c r="BNC35" s="774"/>
      <c r="BND35" s="774"/>
      <c r="BNE35" s="774"/>
      <c r="BNF35" s="774"/>
      <c r="BNG35" s="774"/>
      <c r="BNH35" s="774"/>
      <c r="BNI35" s="774"/>
      <c r="BNJ35" s="774"/>
      <c r="BNK35" s="774"/>
      <c r="BNL35" s="774"/>
      <c r="BNM35" s="774"/>
      <c r="BNN35" s="774"/>
      <c r="BNO35" s="774"/>
      <c r="BNP35" s="774"/>
      <c r="BNQ35" s="774"/>
      <c r="BNR35" s="774"/>
      <c r="BNS35" s="774"/>
      <c r="BNT35" s="774"/>
      <c r="BNU35" s="774"/>
      <c r="BNV35" s="774"/>
      <c r="BNW35" s="774"/>
      <c r="BNX35" s="774"/>
      <c r="BNY35" s="774"/>
      <c r="BNZ35" s="774"/>
      <c r="BOA35" s="774"/>
      <c r="BOB35" s="774"/>
      <c r="BOC35" s="774"/>
      <c r="BOD35" s="774"/>
      <c r="BOE35" s="774"/>
      <c r="BOF35" s="774"/>
      <c r="BOG35" s="774"/>
      <c r="BOH35" s="774"/>
      <c r="BOI35" s="774"/>
      <c r="BOJ35" s="774"/>
      <c r="BOK35" s="774"/>
      <c r="BOL35" s="774"/>
      <c r="BOM35" s="774"/>
      <c r="BON35" s="774"/>
      <c r="BOO35" s="774"/>
      <c r="BOP35" s="774"/>
      <c r="BOQ35" s="774"/>
      <c r="BOR35" s="774"/>
      <c r="BOS35" s="774"/>
      <c r="BOT35" s="774"/>
      <c r="BOU35" s="774"/>
      <c r="BOV35" s="774"/>
      <c r="BOW35" s="774"/>
      <c r="BOX35" s="774"/>
      <c r="BOY35" s="774"/>
      <c r="BOZ35" s="774"/>
      <c r="BPA35" s="774"/>
      <c r="BPB35" s="774"/>
      <c r="BPC35" s="774"/>
      <c r="BPD35" s="774"/>
      <c r="BPE35" s="774"/>
      <c r="BPF35" s="774"/>
      <c r="BPG35" s="774"/>
      <c r="BPH35" s="774"/>
      <c r="BPI35" s="774"/>
      <c r="BPJ35" s="774"/>
      <c r="BPK35" s="774"/>
      <c r="BPL35" s="774"/>
      <c r="BPM35" s="774"/>
      <c r="BPN35" s="774"/>
      <c r="BPO35" s="774"/>
      <c r="BPP35" s="774"/>
      <c r="BPQ35" s="774"/>
      <c r="BPR35" s="774"/>
      <c r="BPS35" s="774"/>
      <c r="BPT35" s="774"/>
      <c r="BPU35" s="774"/>
      <c r="BPV35" s="774"/>
      <c r="BPW35" s="774"/>
      <c r="BPX35" s="774"/>
      <c r="BPY35" s="774"/>
      <c r="BPZ35" s="774"/>
      <c r="BQA35" s="774"/>
      <c r="BQB35" s="774"/>
      <c r="BQC35" s="774"/>
      <c r="BQD35" s="774"/>
      <c r="BQE35" s="774"/>
      <c r="BQF35" s="774"/>
      <c r="BQG35" s="774"/>
      <c r="BQH35" s="774"/>
      <c r="BQI35" s="774"/>
      <c r="BQJ35" s="774"/>
      <c r="BQK35" s="774"/>
      <c r="BQL35" s="774"/>
      <c r="BQM35" s="774"/>
      <c r="BQN35" s="774"/>
      <c r="BQO35" s="774"/>
      <c r="BQP35" s="774"/>
      <c r="BQQ35" s="774"/>
      <c r="BQR35" s="774"/>
      <c r="BQS35" s="774"/>
      <c r="BQT35" s="774"/>
      <c r="BQU35" s="774"/>
      <c r="BQV35" s="774"/>
      <c r="BQW35" s="774"/>
      <c r="BQX35" s="774"/>
      <c r="BQY35" s="774"/>
      <c r="BQZ35" s="774"/>
      <c r="BRA35" s="774"/>
      <c r="BRB35" s="774"/>
      <c r="BRC35" s="774"/>
      <c r="BRD35" s="774"/>
      <c r="BRE35" s="774"/>
      <c r="BRF35" s="774"/>
      <c r="BRG35" s="774"/>
      <c r="BRH35" s="774"/>
      <c r="BRI35" s="774"/>
      <c r="BRJ35" s="774"/>
      <c r="BRK35" s="774"/>
      <c r="BRL35" s="774"/>
      <c r="BRM35" s="774"/>
      <c r="BRN35" s="774"/>
      <c r="BRO35" s="774"/>
      <c r="BRP35" s="774"/>
      <c r="BRQ35" s="774"/>
      <c r="BRR35" s="774"/>
      <c r="BRS35" s="774"/>
      <c r="BRT35" s="774"/>
      <c r="BRU35" s="774"/>
      <c r="BRV35" s="774"/>
      <c r="BRW35" s="774"/>
      <c r="BRX35" s="774"/>
      <c r="BRY35" s="774"/>
      <c r="BRZ35" s="774"/>
      <c r="BSA35" s="774"/>
      <c r="BSB35" s="774"/>
      <c r="BSC35" s="774"/>
      <c r="BSD35" s="774"/>
      <c r="BSE35" s="774"/>
      <c r="BSF35" s="774"/>
      <c r="BSG35" s="774"/>
      <c r="BSH35" s="774"/>
      <c r="BSI35" s="774"/>
      <c r="BSJ35" s="774"/>
      <c r="BSK35" s="774"/>
      <c r="BSL35" s="774"/>
      <c r="BSM35" s="774"/>
      <c r="BSN35" s="774"/>
      <c r="BSO35" s="774"/>
      <c r="BSP35" s="774"/>
      <c r="BSQ35" s="774"/>
      <c r="BSR35" s="774"/>
      <c r="BSS35" s="774"/>
      <c r="BST35" s="774"/>
      <c r="BSU35" s="774"/>
      <c r="BSV35" s="774"/>
      <c r="BSW35" s="774"/>
      <c r="BSX35" s="774"/>
      <c r="BSY35" s="774"/>
      <c r="BSZ35" s="774"/>
      <c r="BTA35" s="774"/>
      <c r="BTB35" s="774"/>
      <c r="BTC35" s="774"/>
      <c r="BTD35" s="774"/>
      <c r="BTE35" s="774"/>
      <c r="BTF35" s="774"/>
      <c r="BTG35" s="774"/>
      <c r="BTH35" s="774"/>
      <c r="BTI35" s="774"/>
      <c r="BTJ35" s="774"/>
      <c r="BTK35" s="774"/>
      <c r="BTL35" s="774"/>
      <c r="BTM35" s="774"/>
      <c r="BTN35" s="774"/>
      <c r="BTO35" s="774"/>
      <c r="BTP35" s="774"/>
      <c r="BTQ35" s="774"/>
      <c r="BTR35" s="774"/>
      <c r="BTS35" s="774"/>
      <c r="BTT35" s="774"/>
      <c r="BTU35" s="774"/>
      <c r="BTV35" s="774"/>
      <c r="BTW35" s="774"/>
      <c r="BTX35" s="774"/>
      <c r="BTY35" s="774"/>
      <c r="BTZ35" s="774"/>
      <c r="BUA35" s="774"/>
      <c r="BUB35" s="774"/>
      <c r="BUC35" s="774"/>
      <c r="BUD35" s="774"/>
      <c r="BUE35" s="774"/>
      <c r="BUF35" s="774"/>
      <c r="BUG35" s="774"/>
      <c r="BUH35" s="774"/>
      <c r="BUI35" s="774"/>
      <c r="BUJ35" s="774"/>
      <c r="BUK35" s="774"/>
      <c r="BUL35" s="774"/>
      <c r="BUM35" s="774"/>
      <c r="BUN35" s="774"/>
      <c r="BUO35" s="774"/>
      <c r="BUP35" s="774"/>
      <c r="BUQ35" s="774"/>
      <c r="BUR35" s="774"/>
      <c r="BUS35" s="774"/>
      <c r="BUT35" s="774"/>
      <c r="BUU35" s="774"/>
      <c r="BUV35" s="774"/>
      <c r="BUW35" s="774"/>
      <c r="BUX35" s="774"/>
      <c r="BUY35" s="774"/>
      <c r="BUZ35" s="774"/>
      <c r="BVA35" s="774"/>
      <c r="BVB35" s="774"/>
      <c r="BVC35" s="774"/>
      <c r="BVD35" s="774"/>
      <c r="BVE35" s="774"/>
      <c r="BVF35" s="774"/>
      <c r="BVG35" s="774"/>
      <c r="BVH35" s="774"/>
      <c r="BVI35" s="774"/>
      <c r="BVJ35" s="774"/>
      <c r="BVK35" s="774"/>
      <c r="BVL35" s="774"/>
      <c r="BVM35" s="774"/>
      <c r="BVN35" s="774"/>
      <c r="BVO35" s="774"/>
      <c r="BVP35" s="774"/>
      <c r="BVQ35" s="774"/>
      <c r="BVR35" s="774"/>
      <c r="BVS35" s="774"/>
      <c r="BVT35" s="774"/>
      <c r="BVU35" s="774"/>
      <c r="BVV35" s="774"/>
      <c r="BVW35" s="774"/>
      <c r="BVX35" s="774"/>
      <c r="BVY35" s="774"/>
      <c r="BVZ35" s="774"/>
      <c r="BWA35" s="774"/>
      <c r="BWB35" s="774"/>
      <c r="BWC35" s="774"/>
      <c r="BWD35" s="774"/>
      <c r="BWE35" s="774"/>
      <c r="BWF35" s="774"/>
      <c r="BWG35" s="774"/>
      <c r="BWH35" s="774"/>
      <c r="BWI35" s="774"/>
      <c r="BWJ35" s="774"/>
      <c r="BWK35" s="774"/>
      <c r="BWL35" s="774"/>
      <c r="BWM35" s="774"/>
      <c r="BWN35" s="774"/>
      <c r="BWO35" s="774"/>
      <c r="BWP35" s="774"/>
      <c r="BWQ35" s="774"/>
      <c r="BWR35" s="774"/>
      <c r="BWS35" s="774"/>
      <c r="BWT35" s="774"/>
      <c r="BWU35" s="774"/>
      <c r="BWV35" s="774"/>
      <c r="BWW35" s="774"/>
      <c r="BWX35" s="774"/>
      <c r="BWY35" s="774"/>
      <c r="BWZ35" s="774"/>
      <c r="BXA35" s="774"/>
      <c r="BXB35" s="774"/>
      <c r="BXC35" s="774"/>
      <c r="BXD35" s="774"/>
      <c r="BXE35" s="774"/>
      <c r="BXF35" s="774"/>
      <c r="BXG35" s="774"/>
      <c r="BXH35" s="774"/>
      <c r="BXI35" s="774"/>
      <c r="BXJ35" s="774"/>
      <c r="BXK35" s="774"/>
      <c r="BXL35" s="774"/>
      <c r="BXM35" s="774"/>
      <c r="BXN35" s="774"/>
      <c r="BXO35" s="774"/>
      <c r="BXP35" s="774"/>
      <c r="BXQ35" s="774"/>
      <c r="BXR35" s="774"/>
      <c r="BXS35" s="774"/>
      <c r="BXT35" s="774"/>
      <c r="BXU35" s="774"/>
      <c r="BXV35" s="774"/>
      <c r="BXW35" s="774"/>
      <c r="BXX35" s="774"/>
      <c r="BXY35" s="774"/>
      <c r="BXZ35" s="774"/>
      <c r="BYA35" s="774"/>
      <c r="BYB35" s="774"/>
      <c r="BYC35" s="774"/>
      <c r="BYD35" s="774"/>
      <c r="BYE35" s="774"/>
      <c r="BYF35" s="774"/>
      <c r="BYG35" s="774"/>
      <c r="BYH35" s="774"/>
      <c r="BYI35" s="774"/>
      <c r="BYJ35" s="774"/>
      <c r="BYK35" s="774"/>
      <c r="BYL35" s="774"/>
      <c r="BYM35" s="774"/>
      <c r="BYN35" s="774"/>
      <c r="BYO35" s="774"/>
      <c r="BYP35" s="774"/>
      <c r="BYQ35" s="774"/>
      <c r="BYR35" s="774"/>
      <c r="BYS35" s="774"/>
      <c r="BYT35" s="774"/>
      <c r="BYU35" s="774"/>
      <c r="BYV35" s="774"/>
      <c r="BYW35" s="774"/>
      <c r="BYX35" s="774"/>
      <c r="BYY35" s="774"/>
      <c r="BYZ35" s="774"/>
      <c r="BZA35" s="774"/>
      <c r="BZB35" s="774"/>
      <c r="BZC35" s="774"/>
      <c r="BZD35" s="774"/>
      <c r="BZE35" s="774"/>
      <c r="BZF35" s="774"/>
      <c r="BZG35" s="774"/>
      <c r="BZH35" s="774"/>
      <c r="BZI35" s="774"/>
      <c r="BZJ35" s="774"/>
      <c r="BZK35" s="774"/>
      <c r="BZL35" s="774"/>
      <c r="BZM35" s="774"/>
      <c r="BZN35" s="774"/>
      <c r="BZO35" s="774"/>
      <c r="BZP35" s="774"/>
      <c r="BZQ35" s="774"/>
      <c r="BZR35" s="774"/>
      <c r="BZS35" s="774"/>
      <c r="BZT35" s="774"/>
      <c r="BZU35" s="774"/>
      <c r="BZV35" s="774"/>
      <c r="BZW35" s="774"/>
      <c r="BZX35" s="774"/>
      <c r="BZY35" s="774"/>
      <c r="BZZ35" s="774"/>
      <c r="CAA35" s="774"/>
      <c r="CAB35" s="774"/>
      <c r="CAC35" s="774"/>
      <c r="CAD35" s="774"/>
      <c r="CAE35" s="774"/>
      <c r="CAF35" s="774"/>
      <c r="CAG35" s="774"/>
      <c r="CAH35" s="774"/>
      <c r="CAI35" s="774"/>
      <c r="CAJ35" s="774"/>
      <c r="CAK35" s="774"/>
      <c r="CAL35" s="774"/>
      <c r="CAM35" s="774"/>
      <c r="CAN35" s="774"/>
      <c r="CAO35" s="774"/>
      <c r="CAP35" s="774"/>
      <c r="CAQ35" s="774"/>
      <c r="CAR35" s="774"/>
      <c r="CAS35" s="774"/>
      <c r="CAT35" s="774"/>
      <c r="CAU35" s="774"/>
      <c r="CAV35" s="774"/>
      <c r="CAW35" s="774"/>
      <c r="CAX35" s="774"/>
      <c r="CAY35" s="774"/>
      <c r="CAZ35" s="774"/>
      <c r="CBA35" s="774"/>
      <c r="CBB35" s="774"/>
      <c r="CBC35" s="774"/>
      <c r="CBD35" s="774"/>
      <c r="CBE35" s="774"/>
      <c r="CBF35" s="774"/>
      <c r="CBG35" s="774"/>
      <c r="CBH35" s="774"/>
      <c r="CBI35" s="774"/>
      <c r="CBJ35" s="774"/>
      <c r="CBK35" s="774"/>
      <c r="CBL35" s="774"/>
      <c r="CBM35" s="774"/>
      <c r="CBN35" s="774"/>
      <c r="CBO35" s="774"/>
      <c r="CBP35" s="774"/>
      <c r="CBQ35" s="774"/>
      <c r="CBR35" s="774"/>
      <c r="CBS35" s="774"/>
      <c r="CBT35" s="774"/>
      <c r="CBU35" s="774"/>
      <c r="CBV35" s="774"/>
      <c r="CBW35" s="774"/>
      <c r="CBX35" s="774"/>
      <c r="CBY35" s="774"/>
      <c r="CBZ35" s="774"/>
      <c r="CCA35" s="774"/>
      <c r="CCB35" s="774"/>
      <c r="CCC35" s="774"/>
      <c r="CCD35" s="774"/>
      <c r="CCE35" s="774"/>
      <c r="CCF35" s="774"/>
      <c r="CCG35" s="774"/>
      <c r="CCH35" s="774"/>
      <c r="CCI35" s="774"/>
      <c r="CCJ35" s="774"/>
      <c r="CCK35" s="774"/>
      <c r="CCL35" s="774"/>
      <c r="CCM35" s="774"/>
      <c r="CCN35" s="774"/>
      <c r="CCO35" s="774"/>
      <c r="CCP35" s="774"/>
      <c r="CCQ35" s="774"/>
      <c r="CCR35" s="774"/>
      <c r="CCS35" s="774"/>
      <c r="CCT35" s="774"/>
      <c r="CCU35" s="774"/>
      <c r="CCV35" s="774"/>
      <c r="CCW35" s="774"/>
      <c r="CCX35" s="774"/>
      <c r="CCY35" s="774"/>
      <c r="CCZ35" s="774"/>
      <c r="CDA35" s="774"/>
      <c r="CDB35" s="774"/>
      <c r="CDC35" s="774"/>
      <c r="CDD35" s="774"/>
      <c r="CDE35" s="774"/>
      <c r="CDF35" s="774"/>
      <c r="CDG35" s="774"/>
      <c r="CDH35" s="774"/>
      <c r="CDI35" s="774"/>
      <c r="CDJ35" s="774"/>
      <c r="CDK35" s="774"/>
      <c r="CDL35" s="774"/>
      <c r="CDM35" s="774"/>
      <c r="CDN35" s="774"/>
      <c r="CDO35" s="774"/>
      <c r="CDP35" s="774"/>
      <c r="CDQ35" s="774"/>
      <c r="CDR35" s="774"/>
      <c r="CDS35" s="774"/>
      <c r="CDT35" s="774"/>
      <c r="CDU35" s="774"/>
      <c r="CDV35" s="774"/>
      <c r="CDW35" s="774"/>
      <c r="CDX35" s="774"/>
      <c r="CDY35" s="774"/>
      <c r="CDZ35" s="774"/>
      <c r="CEA35" s="774"/>
      <c r="CEB35" s="774"/>
      <c r="CEC35" s="774"/>
      <c r="CED35" s="774"/>
      <c r="CEE35" s="774"/>
      <c r="CEF35" s="774"/>
      <c r="CEG35" s="774"/>
      <c r="CEH35" s="774"/>
      <c r="CEI35" s="774"/>
      <c r="CEJ35" s="774"/>
      <c r="CEK35" s="774"/>
      <c r="CEL35" s="774"/>
      <c r="CEM35" s="774"/>
      <c r="CEN35" s="774"/>
      <c r="CEO35" s="774"/>
      <c r="CEP35" s="774"/>
      <c r="CEQ35" s="774"/>
      <c r="CER35" s="774"/>
      <c r="CES35" s="774"/>
      <c r="CET35" s="774"/>
      <c r="CEU35" s="774"/>
      <c r="CEV35" s="774"/>
      <c r="CEW35" s="774"/>
      <c r="CEX35" s="774"/>
      <c r="CEY35" s="774"/>
      <c r="CEZ35" s="774"/>
      <c r="CFA35" s="774"/>
      <c r="CFB35" s="774"/>
      <c r="CFC35" s="774"/>
      <c r="CFD35" s="774"/>
      <c r="CFE35" s="774"/>
      <c r="CFF35" s="774"/>
      <c r="CFG35" s="774"/>
      <c r="CFH35" s="774"/>
      <c r="CFI35" s="774"/>
      <c r="CFJ35" s="774"/>
      <c r="CFK35" s="774"/>
      <c r="CFL35" s="774"/>
      <c r="CFM35" s="774"/>
      <c r="CFN35" s="774"/>
      <c r="CFO35" s="774"/>
      <c r="CFP35" s="774"/>
      <c r="CFQ35" s="774"/>
      <c r="CFR35" s="774"/>
      <c r="CFS35" s="774"/>
      <c r="CFT35" s="774"/>
      <c r="CFU35" s="774"/>
      <c r="CFV35" s="774"/>
      <c r="CFW35" s="774"/>
      <c r="CFX35" s="774"/>
      <c r="CFY35" s="774"/>
      <c r="CFZ35" s="774"/>
      <c r="CGA35" s="774"/>
      <c r="CGB35" s="774"/>
      <c r="CGC35" s="774"/>
      <c r="CGD35" s="774"/>
      <c r="CGE35" s="774"/>
      <c r="CGF35" s="774"/>
      <c r="CGG35" s="774"/>
      <c r="CGH35" s="774"/>
      <c r="CGI35" s="774"/>
      <c r="CGJ35" s="774"/>
      <c r="CGK35" s="774"/>
      <c r="CGL35" s="774"/>
      <c r="CGM35" s="774"/>
      <c r="CGN35" s="774"/>
      <c r="CGO35" s="774"/>
      <c r="CGP35" s="774"/>
      <c r="CGQ35" s="774"/>
      <c r="CGR35" s="774"/>
      <c r="CGS35" s="774"/>
      <c r="CGT35" s="774"/>
      <c r="CGU35" s="774"/>
      <c r="CGV35" s="774"/>
      <c r="CGW35" s="774"/>
      <c r="CGX35" s="774"/>
      <c r="CGY35" s="774"/>
      <c r="CGZ35" s="774"/>
      <c r="CHA35" s="774"/>
      <c r="CHB35" s="774"/>
      <c r="CHC35" s="774"/>
      <c r="CHD35" s="774"/>
      <c r="CHE35" s="774"/>
      <c r="CHF35" s="774"/>
      <c r="CHG35" s="774"/>
      <c r="CHH35" s="774"/>
      <c r="CHI35" s="774"/>
      <c r="CHJ35" s="774"/>
      <c r="CHK35" s="774"/>
      <c r="CHL35" s="774"/>
      <c r="CHM35" s="774"/>
      <c r="CHN35" s="774"/>
      <c r="CHO35" s="774"/>
      <c r="CHP35" s="774"/>
      <c r="CHQ35" s="774"/>
      <c r="CHR35" s="774"/>
      <c r="CHS35" s="774"/>
      <c r="CHT35" s="774"/>
      <c r="CHU35" s="774"/>
      <c r="CHV35" s="774"/>
      <c r="CHW35" s="774"/>
      <c r="CHX35" s="774"/>
      <c r="CHY35" s="774"/>
      <c r="CHZ35" s="774"/>
      <c r="CIA35" s="774"/>
      <c r="CIB35" s="774"/>
      <c r="CIC35" s="774"/>
      <c r="CID35" s="774"/>
      <c r="CIE35" s="774"/>
      <c r="CIF35" s="774"/>
      <c r="CIG35" s="774"/>
      <c r="CIH35" s="774"/>
      <c r="CII35" s="774"/>
      <c r="CIJ35" s="774"/>
      <c r="CIK35" s="774"/>
      <c r="CIL35" s="774"/>
      <c r="CIM35" s="774"/>
      <c r="CIN35" s="774"/>
      <c r="CIO35" s="774"/>
      <c r="CIP35" s="774"/>
      <c r="CIQ35" s="774"/>
      <c r="CIR35" s="774"/>
      <c r="CIS35" s="774"/>
      <c r="CIT35" s="774"/>
      <c r="CIU35" s="774"/>
      <c r="CIV35" s="774"/>
      <c r="CIW35" s="774"/>
      <c r="CIX35" s="774"/>
      <c r="CIY35" s="774"/>
      <c r="CIZ35" s="774"/>
      <c r="CJA35" s="774"/>
      <c r="CJB35" s="774"/>
      <c r="CJC35" s="774"/>
      <c r="CJD35" s="774"/>
      <c r="CJE35" s="774"/>
      <c r="CJF35" s="774"/>
      <c r="CJG35" s="774"/>
      <c r="CJH35" s="774"/>
      <c r="CJI35" s="774"/>
      <c r="CJJ35" s="774"/>
      <c r="CJK35" s="774"/>
      <c r="CJL35" s="774"/>
      <c r="CJM35" s="774"/>
      <c r="CJN35" s="774"/>
      <c r="CJO35" s="774"/>
      <c r="CJP35" s="774"/>
      <c r="CJQ35" s="774"/>
      <c r="CJR35" s="774"/>
      <c r="CJS35" s="774"/>
      <c r="CJT35" s="774"/>
      <c r="CJU35" s="774"/>
      <c r="CJV35" s="774"/>
      <c r="CJW35" s="774"/>
      <c r="CJX35" s="774"/>
      <c r="CJY35" s="774"/>
      <c r="CJZ35" s="774"/>
      <c r="CKA35" s="774"/>
      <c r="CKB35" s="774"/>
      <c r="CKC35" s="774"/>
      <c r="CKD35" s="774"/>
      <c r="CKE35" s="774"/>
      <c r="CKF35" s="774"/>
      <c r="CKG35" s="774"/>
      <c r="CKH35" s="774"/>
      <c r="CKI35" s="774"/>
      <c r="CKJ35" s="774"/>
      <c r="CKK35" s="774"/>
      <c r="CKL35" s="774"/>
      <c r="CKM35" s="774"/>
      <c r="CKN35" s="774"/>
      <c r="CKO35" s="774"/>
      <c r="CKP35" s="774"/>
      <c r="CKQ35" s="774"/>
      <c r="CKR35" s="774"/>
      <c r="CKS35" s="774"/>
      <c r="CKT35" s="774"/>
      <c r="CKU35" s="774"/>
      <c r="CKV35" s="774"/>
      <c r="CKW35" s="774"/>
      <c r="CKX35" s="774"/>
      <c r="CKY35" s="774"/>
      <c r="CKZ35" s="774"/>
      <c r="CLA35" s="774"/>
      <c r="CLB35" s="774"/>
      <c r="CLC35" s="774"/>
      <c r="CLD35" s="774"/>
      <c r="CLE35" s="774"/>
      <c r="CLF35" s="774"/>
      <c r="CLG35" s="774"/>
      <c r="CLH35" s="774"/>
      <c r="CLI35" s="774"/>
      <c r="CLJ35" s="774"/>
      <c r="CLK35" s="774"/>
      <c r="CLL35" s="774"/>
      <c r="CLM35" s="774"/>
      <c r="CLN35" s="774"/>
      <c r="CLO35" s="774"/>
      <c r="CLP35" s="774"/>
      <c r="CLQ35" s="774"/>
      <c r="CLR35" s="774"/>
      <c r="CLS35" s="774"/>
      <c r="CLT35" s="774"/>
      <c r="CLU35" s="774"/>
      <c r="CLV35" s="774"/>
      <c r="CLW35" s="774"/>
      <c r="CLX35" s="774"/>
      <c r="CLY35" s="774"/>
      <c r="CLZ35" s="774"/>
      <c r="CMA35" s="774"/>
      <c r="CMB35" s="774"/>
      <c r="CMC35" s="774"/>
      <c r="CMD35" s="774"/>
      <c r="CME35" s="774"/>
      <c r="CMF35" s="774"/>
      <c r="CMG35" s="774"/>
      <c r="CMH35" s="774"/>
      <c r="CMI35" s="774"/>
      <c r="CMJ35" s="774"/>
      <c r="CMK35" s="774"/>
      <c r="CML35" s="774"/>
      <c r="CMM35" s="774"/>
      <c r="CMN35" s="774"/>
      <c r="CMO35" s="774"/>
      <c r="CMP35" s="774"/>
      <c r="CMQ35" s="774"/>
      <c r="CMR35" s="774"/>
      <c r="CMS35" s="774"/>
      <c r="CMT35" s="774"/>
      <c r="CMU35" s="774"/>
      <c r="CMV35" s="774"/>
      <c r="CMW35" s="774"/>
      <c r="CMX35" s="774"/>
      <c r="CMY35" s="774"/>
      <c r="CMZ35" s="774"/>
      <c r="CNA35" s="774"/>
      <c r="CNB35" s="774"/>
      <c r="CNC35" s="774"/>
      <c r="CND35" s="774"/>
      <c r="CNE35" s="774"/>
      <c r="CNF35" s="774"/>
      <c r="CNG35" s="774"/>
      <c r="CNH35" s="774"/>
      <c r="CNI35" s="774"/>
      <c r="CNJ35" s="774"/>
      <c r="CNK35" s="774"/>
      <c r="CNL35" s="774"/>
      <c r="CNM35" s="774"/>
      <c r="CNN35" s="774"/>
      <c r="CNO35" s="774"/>
      <c r="CNP35" s="774"/>
      <c r="CNQ35" s="774"/>
      <c r="CNR35" s="774"/>
      <c r="CNS35" s="774"/>
      <c r="CNT35" s="774"/>
      <c r="CNU35" s="774"/>
      <c r="CNV35" s="774"/>
      <c r="CNW35" s="774"/>
      <c r="CNX35" s="774"/>
      <c r="CNY35" s="774"/>
      <c r="CNZ35" s="774"/>
      <c r="COA35" s="774"/>
      <c r="COB35" s="774"/>
      <c r="COC35" s="774"/>
      <c r="COD35" s="774"/>
      <c r="COE35" s="774"/>
      <c r="COF35" s="774"/>
      <c r="COG35" s="774"/>
      <c r="COH35" s="774"/>
      <c r="COI35" s="774"/>
      <c r="COJ35" s="774"/>
      <c r="COK35" s="774"/>
      <c r="COL35" s="774"/>
      <c r="COM35" s="774"/>
      <c r="CON35" s="774"/>
      <c r="COO35" s="774"/>
      <c r="COP35" s="774"/>
      <c r="COQ35" s="774"/>
      <c r="COR35" s="774"/>
      <c r="COS35" s="774"/>
      <c r="COT35" s="774"/>
      <c r="COU35" s="774"/>
      <c r="COV35" s="774"/>
      <c r="COW35" s="774"/>
      <c r="COX35" s="774"/>
      <c r="COY35" s="774"/>
      <c r="COZ35" s="774"/>
      <c r="CPA35" s="774"/>
      <c r="CPB35" s="774"/>
      <c r="CPC35" s="774"/>
      <c r="CPD35" s="774"/>
      <c r="CPE35" s="774"/>
      <c r="CPF35" s="774"/>
      <c r="CPG35" s="774"/>
      <c r="CPH35" s="774"/>
      <c r="CPI35" s="774"/>
      <c r="CPJ35" s="774"/>
      <c r="CPK35" s="774"/>
      <c r="CPL35" s="774"/>
      <c r="CPM35" s="774"/>
      <c r="CPN35" s="774"/>
      <c r="CPO35" s="774"/>
      <c r="CPP35" s="774"/>
      <c r="CPQ35" s="774"/>
      <c r="CPR35" s="774"/>
      <c r="CPS35" s="774"/>
      <c r="CPT35" s="774"/>
      <c r="CPU35" s="774"/>
      <c r="CPV35" s="774"/>
      <c r="CPW35" s="774"/>
      <c r="CPX35" s="774"/>
      <c r="CPY35" s="774"/>
      <c r="CPZ35" s="774"/>
      <c r="CQA35" s="774"/>
      <c r="CQB35" s="774"/>
      <c r="CQC35" s="774"/>
      <c r="CQD35" s="774"/>
      <c r="CQE35" s="774"/>
      <c r="CQF35" s="774"/>
      <c r="CQG35" s="774"/>
      <c r="CQH35" s="774"/>
      <c r="CQI35" s="774"/>
      <c r="CQJ35" s="774"/>
      <c r="CQK35" s="774"/>
      <c r="CQL35" s="774"/>
      <c r="CQM35" s="774"/>
      <c r="CQN35" s="774"/>
      <c r="CQO35" s="774"/>
      <c r="CQP35" s="774"/>
      <c r="CQQ35" s="774"/>
      <c r="CQR35" s="774"/>
      <c r="CQS35" s="774"/>
      <c r="CQT35" s="774"/>
      <c r="CQU35" s="774"/>
      <c r="CQV35" s="774"/>
      <c r="CQW35" s="774"/>
      <c r="CQX35" s="774"/>
      <c r="CQY35" s="774"/>
      <c r="CQZ35" s="774"/>
      <c r="CRA35" s="774"/>
      <c r="CRB35" s="774"/>
      <c r="CRC35" s="774"/>
      <c r="CRD35" s="774"/>
      <c r="CRE35" s="774"/>
      <c r="CRF35" s="774"/>
      <c r="CRG35" s="774"/>
      <c r="CRH35" s="774"/>
      <c r="CRI35" s="774"/>
      <c r="CRJ35" s="774"/>
      <c r="CRK35" s="774"/>
      <c r="CRL35" s="774"/>
      <c r="CRM35" s="774"/>
      <c r="CRN35" s="774"/>
      <c r="CRO35" s="774"/>
      <c r="CRP35" s="774"/>
      <c r="CRQ35" s="774"/>
      <c r="CRR35" s="774"/>
      <c r="CRS35" s="774"/>
      <c r="CRT35" s="774"/>
      <c r="CRU35" s="774"/>
      <c r="CRV35" s="774"/>
      <c r="CRW35" s="774"/>
      <c r="CRX35" s="774"/>
      <c r="CRY35" s="774"/>
      <c r="CRZ35" s="774"/>
      <c r="CSA35" s="774"/>
      <c r="CSB35" s="774"/>
      <c r="CSC35" s="774"/>
      <c r="CSD35" s="774"/>
      <c r="CSE35" s="774"/>
      <c r="CSF35" s="774"/>
      <c r="CSG35" s="774"/>
      <c r="CSH35" s="774"/>
      <c r="CSI35" s="774"/>
      <c r="CSJ35" s="774"/>
      <c r="CSK35" s="774"/>
      <c r="CSL35" s="774"/>
      <c r="CSM35" s="774"/>
      <c r="CSN35" s="774"/>
      <c r="CSO35" s="774"/>
      <c r="CSP35" s="774"/>
      <c r="CSQ35" s="774"/>
      <c r="CSR35" s="774"/>
      <c r="CSS35" s="774"/>
      <c r="CST35" s="774"/>
      <c r="CSU35" s="774"/>
      <c r="CSV35" s="774"/>
      <c r="CSW35" s="774"/>
      <c r="CSX35" s="774"/>
      <c r="CSY35" s="774"/>
      <c r="CSZ35" s="774"/>
      <c r="CTA35" s="774"/>
      <c r="CTB35" s="774"/>
      <c r="CTC35" s="774"/>
      <c r="CTD35" s="774"/>
      <c r="CTE35" s="774"/>
      <c r="CTF35" s="774"/>
      <c r="CTG35" s="774"/>
      <c r="CTH35" s="774"/>
      <c r="CTI35" s="774"/>
      <c r="CTJ35" s="774"/>
      <c r="CTK35" s="774"/>
      <c r="CTL35" s="774"/>
      <c r="CTM35" s="774"/>
      <c r="CTN35" s="774"/>
      <c r="CTO35" s="774"/>
      <c r="CTP35" s="774"/>
      <c r="CTQ35" s="774"/>
      <c r="CTR35" s="774"/>
      <c r="CTS35" s="774"/>
      <c r="CTT35" s="774"/>
      <c r="CTU35" s="774"/>
      <c r="CTV35" s="774"/>
      <c r="CTW35" s="774"/>
      <c r="CTX35" s="774"/>
      <c r="CTY35" s="774"/>
      <c r="CTZ35" s="774"/>
      <c r="CUA35" s="774"/>
      <c r="CUB35" s="774"/>
      <c r="CUC35" s="774"/>
      <c r="CUD35" s="774"/>
      <c r="CUE35" s="774"/>
      <c r="CUF35" s="774"/>
      <c r="CUG35" s="774"/>
      <c r="CUH35" s="774"/>
      <c r="CUI35" s="774"/>
      <c r="CUJ35" s="774"/>
      <c r="CUK35" s="774"/>
      <c r="CUL35" s="774"/>
      <c r="CUM35" s="774"/>
      <c r="CUN35" s="774"/>
      <c r="CUO35" s="774"/>
      <c r="CUP35" s="774"/>
      <c r="CUQ35" s="774"/>
      <c r="CUR35" s="774"/>
      <c r="CUS35" s="774"/>
      <c r="CUT35" s="774"/>
      <c r="CUU35" s="774"/>
      <c r="CUV35" s="774"/>
      <c r="CUW35" s="774"/>
      <c r="CUX35" s="774"/>
      <c r="CUY35" s="774"/>
      <c r="CUZ35" s="774"/>
      <c r="CVA35" s="774"/>
      <c r="CVB35" s="774"/>
      <c r="CVC35" s="774"/>
      <c r="CVD35" s="774"/>
      <c r="CVE35" s="774"/>
      <c r="CVF35" s="774"/>
      <c r="CVG35" s="774"/>
      <c r="CVH35" s="774"/>
      <c r="CVI35" s="774"/>
      <c r="CVJ35" s="774"/>
      <c r="CVK35" s="774"/>
      <c r="CVL35" s="774"/>
      <c r="CVM35" s="774"/>
      <c r="CVN35" s="774"/>
      <c r="CVO35" s="774"/>
      <c r="CVP35" s="774"/>
      <c r="CVQ35" s="774"/>
      <c r="CVR35" s="774"/>
      <c r="CVS35" s="774"/>
      <c r="CVT35" s="774"/>
      <c r="CVU35" s="774"/>
      <c r="CVV35" s="774"/>
      <c r="CVW35" s="774"/>
      <c r="CVX35" s="774"/>
      <c r="CVY35" s="774"/>
      <c r="CVZ35" s="774"/>
      <c r="CWA35" s="774"/>
      <c r="CWB35" s="774"/>
      <c r="CWC35" s="774"/>
      <c r="CWD35" s="774"/>
      <c r="CWE35" s="774"/>
      <c r="CWF35" s="774"/>
      <c r="CWG35" s="774"/>
      <c r="CWH35" s="774"/>
      <c r="CWI35" s="774"/>
      <c r="CWJ35" s="774"/>
      <c r="CWK35" s="774"/>
      <c r="CWL35" s="774"/>
      <c r="CWM35" s="774"/>
      <c r="CWN35" s="774"/>
      <c r="CWO35" s="774"/>
      <c r="CWP35" s="774"/>
      <c r="CWQ35" s="774"/>
      <c r="CWR35" s="774"/>
      <c r="CWS35" s="774"/>
      <c r="CWT35" s="774"/>
      <c r="CWU35" s="774"/>
      <c r="CWV35" s="774"/>
      <c r="CWW35" s="774"/>
      <c r="CWX35" s="774"/>
      <c r="CWY35" s="774"/>
      <c r="CWZ35" s="774"/>
      <c r="CXA35" s="774"/>
      <c r="CXB35" s="774"/>
      <c r="CXC35" s="774"/>
      <c r="CXD35" s="774"/>
      <c r="CXE35" s="774"/>
      <c r="CXF35" s="774"/>
      <c r="CXG35" s="774"/>
      <c r="CXH35" s="774"/>
      <c r="CXI35" s="774"/>
      <c r="CXJ35" s="774"/>
      <c r="CXK35" s="774"/>
      <c r="CXL35" s="774"/>
      <c r="CXM35" s="774"/>
      <c r="CXN35" s="774"/>
      <c r="CXO35" s="774"/>
      <c r="CXP35" s="774"/>
      <c r="CXQ35" s="774"/>
      <c r="CXR35" s="774"/>
      <c r="CXS35" s="774"/>
      <c r="CXT35" s="774"/>
      <c r="CXU35" s="774"/>
      <c r="CXV35" s="774"/>
      <c r="CXW35" s="774"/>
      <c r="CXX35" s="774"/>
      <c r="CXY35" s="774"/>
      <c r="CXZ35" s="774"/>
      <c r="CYA35" s="774"/>
      <c r="CYB35" s="774"/>
      <c r="CYC35" s="774"/>
      <c r="CYD35" s="774"/>
      <c r="CYE35" s="774"/>
      <c r="CYF35" s="774"/>
      <c r="CYG35" s="774"/>
      <c r="CYH35" s="774"/>
      <c r="CYI35" s="774"/>
      <c r="CYJ35" s="774"/>
      <c r="CYK35" s="774"/>
      <c r="CYL35" s="774"/>
      <c r="CYM35" s="774"/>
      <c r="CYN35" s="774"/>
      <c r="CYO35" s="774"/>
      <c r="CYP35" s="774"/>
      <c r="CYQ35" s="774"/>
      <c r="CYR35" s="774"/>
      <c r="CYS35" s="774"/>
      <c r="CYT35" s="774"/>
      <c r="CYU35" s="774"/>
      <c r="CYV35" s="774"/>
      <c r="CYW35" s="774"/>
      <c r="CYX35" s="774"/>
      <c r="CYY35" s="774"/>
      <c r="CYZ35" s="774"/>
      <c r="CZA35" s="774"/>
      <c r="CZB35" s="774"/>
      <c r="CZC35" s="774"/>
      <c r="CZD35" s="774"/>
      <c r="CZE35" s="774"/>
      <c r="CZF35" s="774"/>
      <c r="CZG35" s="774"/>
      <c r="CZH35" s="774"/>
      <c r="CZI35" s="774"/>
      <c r="CZJ35" s="774"/>
      <c r="CZK35" s="774"/>
      <c r="CZL35" s="774"/>
      <c r="CZM35" s="774"/>
      <c r="CZN35" s="774"/>
      <c r="CZO35" s="774"/>
      <c r="CZP35" s="774"/>
      <c r="CZQ35" s="774"/>
      <c r="CZR35" s="774"/>
      <c r="CZS35" s="774"/>
      <c r="CZT35" s="774"/>
      <c r="CZU35" s="774"/>
      <c r="CZV35" s="774"/>
      <c r="CZW35" s="774"/>
      <c r="CZX35" s="774"/>
      <c r="CZY35" s="774"/>
      <c r="CZZ35" s="774"/>
      <c r="DAA35" s="774"/>
      <c r="DAB35" s="774"/>
      <c r="DAC35" s="774"/>
      <c r="DAD35" s="774"/>
      <c r="DAE35" s="774"/>
      <c r="DAF35" s="774"/>
      <c r="DAG35" s="774"/>
      <c r="DAH35" s="774"/>
      <c r="DAI35" s="774"/>
      <c r="DAJ35" s="774"/>
      <c r="DAK35" s="774"/>
      <c r="DAL35" s="774"/>
      <c r="DAM35" s="774"/>
      <c r="DAN35" s="774"/>
      <c r="DAO35" s="774"/>
      <c r="DAP35" s="774"/>
      <c r="DAQ35" s="774"/>
      <c r="DAR35" s="774"/>
      <c r="DAS35" s="774"/>
      <c r="DAT35" s="774"/>
      <c r="DAU35" s="774"/>
      <c r="DAV35" s="774"/>
      <c r="DAW35" s="774"/>
      <c r="DAX35" s="774"/>
      <c r="DAY35" s="774"/>
      <c r="DAZ35" s="774"/>
      <c r="DBA35" s="774"/>
      <c r="DBB35" s="774"/>
      <c r="DBC35" s="774"/>
      <c r="DBD35" s="774"/>
      <c r="DBE35" s="774"/>
      <c r="DBF35" s="774"/>
      <c r="DBG35" s="774"/>
      <c r="DBH35" s="774"/>
      <c r="DBI35" s="774"/>
      <c r="DBJ35" s="774"/>
      <c r="DBK35" s="774"/>
      <c r="DBL35" s="774"/>
      <c r="DBM35" s="774"/>
      <c r="DBN35" s="774"/>
      <c r="DBO35" s="774"/>
      <c r="DBP35" s="774"/>
      <c r="DBQ35" s="774"/>
      <c r="DBR35" s="774"/>
      <c r="DBS35" s="774"/>
      <c r="DBT35" s="774"/>
      <c r="DBU35" s="774"/>
      <c r="DBV35" s="774"/>
      <c r="DBW35" s="774"/>
      <c r="DBX35" s="774"/>
      <c r="DBY35" s="774"/>
      <c r="DBZ35" s="774"/>
      <c r="DCA35" s="774"/>
      <c r="DCB35" s="774"/>
      <c r="DCC35" s="774"/>
      <c r="DCD35" s="774"/>
      <c r="DCE35" s="774"/>
      <c r="DCF35" s="774"/>
      <c r="DCG35" s="774"/>
      <c r="DCH35" s="774"/>
      <c r="DCI35" s="774"/>
      <c r="DCJ35" s="774"/>
      <c r="DCK35" s="774"/>
      <c r="DCL35" s="774"/>
      <c r="DCM35" s="774"/>
      <c r="DCN35" s="774"/>
      <c r="DCO35" s="774"/>
      <c r="DCP35" s="774"/>
      <c r="DCQ35" s="774"/>
      <c r="DCR35" s="774"/>
      <c r="DCS35" s="774"/>
      <c r="DCT35" s="774"/>
      <c r="DCU35" s="774"/>
      <c r="DCV35" s="774"/>
      <c r="DCW35" s="774"/>
      <c r="DCX35" s="774"/>
      <c r="DCY35" s="774"/>
      <c r="DCZ35" s="774"/>
      <c r="DDA35" s="774"/>
      <c r="DDB35" s="774"/>
      <c r="DDC35" s="774"/>
      <c r="DDD35" s="774"/>
      <c r="DDE35" s="774"/>
      <c r="DDF35" s="774"/>
      <c r="DDG35" s="774"/>
      <c r="DDH35" s="774"/>
      <c r="DDI35" s="774"/>
      <c r="DDJ35" s="774"/>
      <c r="DDK35" s="774"/>
      <c r="DDL35" s="774"/>
      <c r="DDM35" s="774"/>
      <c r="DDN35" s="774"/>
      <c r="DDO35" s="774"/>
      <c r="DDP35" s="774"/>
      <c r="DDQ35" s="774"/>
      <c r="DDR35" s="774"/>
      <c r="DDS35" s="774"/>
      <c r="DDT35" s="774"/>
      <c r="DDU35" s="774"/>
      <c r="DDV35" s="774"/>
      <c r="DDW35" s="774"/>
      <c r="DDX35" s="774"/>
      <c r="DDY35" s="774"/>
      <c r="DDZ35" s="774"/>
      <c r="DEA35" s="774"/>
      <c r="DEB35" s="774"/>
      <c r="DEC35" s="774"/>
      <c r="DED35" s="774"/>
      <c r="DEE35" s="774"/>
      <c r="DEF35" s="774"/>
      <c r="DEG35" s="774"/>
      <c r="DEH35" s="774"/>
      <c r="DEI35" s="774"/>
      <c r="DEJ35" s="774"/>
      <c r="DEK35" s="774"/>
      <c r="DEL35" s="774"/>
      <c r="DEM35" s="774"/>
      <c r="DEN35" s="774"/>
      <c r="DEO35" s="774"/>
      <c r="DEP35" s="774"/>
      <c r="DEQ35" s="774"/>
      <c r="DER35" s="774"/>
      <c r="DES35" s="774"/>
      <c r="DET35" s="774"/>
      <c r="DEU35" s="774"/>
      <c r="DEV35" s="774"/>
      <c r="DEW35" s="774"/>
      <c r="DEX35" s="774"/>
      <c r="DEY35" s="774"/>
      <c r="DEZ35" s="774"/>
      <c r="DFA35" s="774"/>
      <c r="DFB35" s="774"/>
      <c r="DFC35" s="774"/>
      <c r="DFD35" s="774"/>
      <c r="DFE35" s="774"/>
      <c r="DFF35" s="774"/>
      <c r="DFG35" s="774"/>
      <c r="DFH35" s="774"/>
      <c r="DFI35" s="774"/>
      <c r="DFJ35" s="774"/>
      <c r="DFK35" s="774"/>
      <c r="DFL35" s="774"/>
      <c r="DFM35" s="774"/>
      <c r="DFN35" s="774"/>
      <c r="DFO35" s="774"/>
      <c r="DFP35" s="774"/>
      <c r="DFQ35" s="774"/>
      <c r="DFR35" s="774"/>
      <c r="DFS35" s="774"/>
      <c r="DFT35" s="774"/>
      <c r="DFU35" s="774"/>
      <c r="DFV35" s="774"/>
      <c r="DFW35" s="774"/>
      <c r="DFX35" s="774"/>
      <c r="DFY35" s="774"/>
      <c r="DFZ35" s="774"/>
      <c r="DGA35" s="774"/>
      <c r="DGB35" s="774"/>
      <c r="DGC35" s="774"/>
      <c r="DGD35" s="774"/>
      <c r="DGE35" s="774"/>
      <c r="DGF35" s="774"/>
      <c r="DGG35" s="774"/>
      <c r="DGH35" s="774"/>
      <c r="DGI35" s="774"/>
      <c r="DGJ35" s="774"/>
      <c r="DGK35" s="774"/>
      <c r="DGL35" s="774"/>
      <c r="DGM35" s="774"/>
      <c r="DGN35" s="774"/>
      <c r="DGO35" s="774"/>
      <c r="DGP35" s="774"/>
      <c r="DGQ35" s="774"/>
      <c r="DGR35" s="774"/>
      <c r="DGS35" s="774"/>
      <c r="DGT35" s="774"/>
      <c r="DGU35" s="774"/>
      <c r="DGV35" s="774"/>
      <c r="DGW35" s="774"/>
      <c r="DGX35" s="774"/>
      <c r="DGY35" s="774"/>
      <c r="DGZ35" s="774"/>
      <c r="DHA35" s="774"/>
      <c r="DHB35" s="774"/>
      <c r="DHC35" s="774"/>
      <c r="DHD35" s="774"/>
      <c r="DHE35" s="774"/>
      <c r="DHF35" s="774"/>
      <c r="DHG35" s="774"/>
      <c r="DHH35" s="774"/>
      <c r="DHI35" s="774"/>
      <c r="DHJ35" s="774"/>
      <c r="DHK35" s="774"/>
      <c r="DHL35" s="774"/>
      <c r="DHM35" s="774"/>
      <c r="DHN35" s="774"/>
      <c r="DHO35" s="774"/>
      <c r="DHP35" s="774"/>
      <c r="DHQ35" s="774"/>
      <c r="DHR35" s="774"/>
      <c r="DHS35" s="774"/>
      <c r="DHT35" s="774"/>
      <c r="DHU35" s="774"/>
      <c r="DHV35" s="774"/>
      <c r="DHW35" s="774"/>
      <c r="DHX35" s="774"/>
      <c r="DHY35" s="774"/>
      <c r="DHZ35" s="774"/>
      <c r="DIA35" s="774"/>
      <c r="DIB35" s="774"/>
      <c r="DIC35" s="774"/>
      <c r="DID35" s="774"/>
      <c r="DIE35" s="774"/>
      <c r="DIF35" s="774"/>
      <c r="DIG35" s="774"/>
      <c r="DIH35" s="774"/>
      <c r="DII35" s="774"/>
      <c r="DIJ35" s="774"/>
      <c r="DIK35" s="774"/>
      <c r="DIL35" s="774"/>
      <c r="DIM35" s="774"/>
      <c r="DIN35" s="774"/>
      <c r="DIO35" s="774"/>
      <c r="DIP35" s="774"/>
      <c r="DIQ35" s="774"/>
      <c r="DIR35" s="774"/>
      <c r="DIS35" s="774"/>
      <c r="DIT35" s="774"/>
      <c r="DIU35" s="774"/>
      <c r="DIV35" s="774"/>
      <c r="DIW35" s="774"/>
      <c r="DIX35" s="774"/>
      <c r="DIY35" s="774"/>
      <c r="DIZ35" s="774"/>
      <c r="DJA35" s="774"/>
      <c r="DJB35" s="774"/>
      <c r="DJC35" s="774"/>
      <c r="DJD35" s="774"/>
      <c r="DJE35" s="774"/>
      <c r="DJF35" s="774"/>
      <c r="DJG35" s="774"/>
      <c r="DJH35" s="774"/>
      <c r="DJI35" s="774"/>
      <c r="DJJ35" s="774"/>
      <c r="DJK35" s="774"/>
      <c r="DJL35" s="774"/>
      <c r="DJM35" s="774"/>
      <c r="DJN35" s="774"/>
      <c r="DJO35" s="774"/>
      <c r="DJP35" s="774"/>
      <c r="DJQ35" s="774"/>
      <c r="DJR35" s="774"/>
      <c r="DJS35" s="774"/>
      <c r="DJT35" s="774"/>
      <c r="DJU35" s="774"/>
      <c r="DJV35" s="774"/>
      <c r="DJW35" s="774"/>
      <c r="DJX35" s="774"/>
      <c r="DJY35" s="774"/>
      <c r="DJZ35" s="774"/>
      <c r="DKA35" s="774"/>
      <c r="DKB35" s="774"/>
      <c r="DKC35" s="774"/>
      <c r="DKD35" s="774"/>
      <c r="DKE35" s="774"/>
      <c r="DKF35" s="774"/>
      <c r="DKG35" s="774"/>
      <c r="DKH35" s="774"/>
      <c r="DKI35" s="774"/>
      <c r="DKJ35" s="774"/>
      <c r="DKK35" s="774"/>
      <c r="DKL35" s="774"/>
      <c r="DKM35" s="774"/>
      <c r="DKN35" s="774"/>
      <c r="DKO35" s="774"/>
      <c r="DKP35" s="774"/>
      <c r="DKQ35" s="774"/>
      <c r="DKR35" s="774"/>
      <c r="DKS35" s="774"/>
      <c r="DKT35" s="774"/>
      <c r="DKU35" s="774"/>
      <c r="DKV35" s="774"/>
      <c r="DKW35" s="774"/>
      <c r="DKX35" s="774"/>
      <c r="DKY35" s="774"/>
      <c r="DKZ35" s="774"/>
      <c r="DLA35" s="774"/>
      <c r="DLB35" s="774"/>
      <c r="DLC35" s="774"/>
      <c r="DLD35" s="774"/>
      <c r="DLE35" s="774"/>
      <c r="DLF35" s="774"/>
      <c r="DLG35" s="774"/>
      <c r="DLH35" s="774"/>
      <c r="DLI35" s="774"/>
      <c r="DLJ35" s="774"/>
      <c r="DLK35" s="774"/>
      <c r="DLL35" s="774"/>
      <c r="DLM35" s="774"/>
      <c r="DLN35" s="774"/>
      <c r="DLO35" s="774"/>
      <c r="DLP35" s="774"/>
      <c r="DLQ35" s="774"/>
      <c r="DLR35" s="774"/>
      <c r="DLS35" s="774"/>
      <c r="DLT35" s="774"/>
      <c r="DLU35" s="774"/>
      <c r="DLV35" s="774"/>
      <c r="DLW35" s="774"/>
      <c r="DLX35" s="774"/>
      <c r="DLY35" s="774"/>
      <c r="DLZ35" s="774"/>
      <c r="DMA35" s="774"/>
      <c r="DMB35" s="774"/>
      <c r="DMC35" s="774"/>
      <c r="DMD35" s="774"/>
      <c r="DME35" s="774"/>
      <c r="DMF35" s="774"/>
      <c r="DMG35" s="774"/>
      <c r="DMH35" s="774"/>
      <c r="DMI35" s="774"/>
      <c r="DMJ35" s="774"/>
      <c r="DMK35" s="774"/>
      <c r="DML35" s="774"/>
      <c r="DMM35" s="774"/>
      <c r="DMN35" s="774"/>
      <c r="DMO35" s="774"/>
      <c r="DMP35" s="774"/>
      <c r="DMQ35" s="774"/>
      <c r="DMR35" s="774"/>
      <c r="DMS35" s="774"/>
      <c r="DMT35" s="774"/>
      <c r="DMU35" s="774"/>
      <c r="DMV35" s="774"/>
      <c r="DMW35" s="774"/>
      <c r="DMX35" s="774"/>
      <c r="DMY35" s="774"/>
      <c r="DMZ35" s="774"/>
      <c r="DNA35" s="774"/>
      <c r="DNB35" s="774"/>
      <c r="DNC35" s="774"/>
      <c r="DND35" s="774"/>
      <c r="DNE35" s="774"/>
      <c r="DNF35" s="774"/>
      <c r="DNG35" s="774"/>
      <c r="DNH35" s="774"/>
      <c r="DNI35" s="774"/>
      <c r="DNJ35" s="774"/>
      <c r="DNK35" s="774"/>
      <c r="DNL35" s="774"/>
      <c r="DNM35" s="774"/>
      <c r="DNN35" s="774"/>
      <c r="DNO35" s="774"/>
      <c r="DNP35" s="774"/>
      <c r="DNQ35" s="774"/>
      <c r="DNR35" s="774"/>
      <c r="DNS35" s="774"/>
      <c r="DNT35" s="774"/>
      <c r="DNU35" s="774"/>
      <c r="DNV35" s="774"/>
      <c r="DNW35" s="774"/>
      <c r="DNX35" s="774"/>
      <c r="DNY35" s="774"/>
      <c r="DNZ35" s="774"/>
      <c r="DOA35" s="774"/>
      <c r="DOB35" s="774"/>
      <c r="DOC35" s="774"/>
      <c r="DOD35" s="774"/>
      <c r="DOE35" s="774"/>
      <c r="DOF35" s="774"/>
      <c r="DOG35" s="774"/>
      <c r="DOH35" s="774"/>
      <c r="DOI35" s="774"/>
      <c r="DOJ35" s="774"/>
      <c r="DOK35" s="774"/>
      <c r="DOL35" s="774"/>
      <c r="DOM35" s="774"/>
      <c r="DON35" s="774"/>
      <c r="DOO35" s="774"/>
      <c r="DOP35" s="774"/>
      <c r="DOQ35" s="774"/>
      <c r="DOR35" s="774"/>
      <c r="DOS35" s="774"/>
      <c r="DOT35" s="774"/>
      <c r="DOU35" s="774"/>
      <c r="DOV35" s="774"/>
      <c r="DOW35" s="774"/>
      <c r="DOX35" s="774"/>
      <c r="DOY35" s="774"/>
      <c r="DOZ35" s="774"/>
      <c r="DPA35" s="774"/>
      <c r="DPB35" s="774"/>
      <c r="DPC35" s="774"/>
      <c r="DPD35" s="774"/>
      <c r="DPE35" s="774"/>
      <c r="DPF35" s="774"/>
      <c r="DPG35" s="774"/>
      <c r="DPH35" s="774"/>
      <c r="DPI35" s="774"/>
      <c r="DPJ35" s="774"/>
      <c r="DPK35" s="774"/>
      <c r="DPL35" s="774"/>
      <c r="DPM35" s="774"/>
      <c r="DPN35" s="774"/>
      <c r="DPO35" s="774"/>
      <c r="DPP35" s="774"/>
      <c r="DPQ35" s="774"/>
      <c r="DPR35" s="774"/>
      <c r="DPS35" s="774"/>
      <c r="DPT35" s="774"/>
      <c r="DPU35" s="774"/>
      <c r="DPV35" s="774"/>
      <c r="DPW35" s="774"/>
      <c r="DPX35" s="774"/>
      <c r="DPY35" s="774"/>
      <c r="DPZ35" s="774"/>
      <c r="DQA35" s="774"/>
      <c r="DQB35" s="774"/>
      <c r="DQC35" s="774"/>
      <c r="DQD35" s="774"/>
      <c r="DQE35" s="774"/>
      <c r="DQF35" s="774"/>
      <c r="DQG35" s="774"/>
      <c r="DQH35" s="774"/>
      <c r="DQI35" s="774"/>
      <c r="DQJ35" s="774"/>
      <c r="DQK35" s="774"/>
      <c r="DQL35" s="774"/>
      <c r="DQM35" s="774"/>
      <c r="DQN35" s="774"/>
      <c r="DQO35" s="774"/>
      <c r="DQP35" s="774"/>
      <c r="DQQ35" s="774"/>
      <c r="DQR35" s="774"/>
      <c r="DQS35" s="774"/>
      <c r="DQT35" s="774"/>
      <c r="DQU35" s="774"/>
      <c r="DQV35" s="774"/>
      <c r="DQW35" s="774"/>
      <c r="DQX35" s="774"/>
      <c r="DQY35" s="774"/>
      <c r="DQZ35" s="774"/>
      <c r="DRA35" s="774"/>
      <c r="DRB35" s="774"/>
      <c r="DRC35" s="774"/>
      <c r="DRD35" s="774"/>
      <c r="DRE35" s="774"/>
      <c r="DRF35" s="774"/>
      <c r="DRG35" s="774"/>
      <c r="DRH35" s="774"/>
      <c r="DRI35" s="774"/>
      <c r="DRJ35" s="774"/>
      <c r="DRK35" s="774"/>
      <c r="DRL35" s="774"/>
      <c r="DRM35" s="774"/>
      <c r="DRN35" s="774"/>
      <c r="DRO35" s="774"/>
      <c r="DRP35" s="774"/>
      <c r="DRQ35" s="774"/>
      <c r="DRR35" s="774"/>
      <c r="DRS35" s="774"/>
      <c r="DRT35" s="774"/>
      <c r="DRU35" s="774"/>
      <c r="DRV35" s="774"/>
      <c r="DRW35" s="774"/>
      <c r="DRX35" s="774"/>
      <c r="DRY35" s="774"/>
      <c r="DRZ35" s="774"/>
      <c r="DSA35" s="774"/>
      <c r="DSB35" s="774"/>
      <c r="DSC35" s="774"/>
      <c r="DSD35" s="774"/>
      <c r="DSE35" s="774"/>
      <c r="DSF35" s="774"/>
      <c r="DSG35" s="774"/>
      <c r="DSH35" s="774"/>
      <c r="DSI35" s="774"/>
      <c r="DSJ35" s="774"/>
      <c r="DSK35" s="774"/>
      <c r="DSL35" s="774"/>
      <c r="DSM35" s="774"/>
      <c r="DSN35" s="774"/>
      <c r="DSO35" s="774"/>
      <c r="DSP35" s="774"/>
      <c r="DSQ35" s="774"/>
      <c r="DSR35" s="774"/>
      <c r="DSS35" s="774"/>
      <c r="DST35" s="774"/>
      <c r="DSU35" s="774"/>
      <c r="DSV35" s="774"/>
      <c r="DSW35" s="774"/>
      <c r="DSX35" s="774"/>
      <c r="DSY35" s="774"/>
      <c r="DSZ35" s="774"/>
      <c r="DTA35" s="774"/>
      <c r="DTB35" s="774"/>
      <c r="DTC35" s="774"/>
      <c r="DTD35" s="774"/>
      <c r="DTE35" s="774"/>
      <c r="DTF35" s="774"/>
      <c r="DTG35" s="774"/>
      <c r="DTH35" s="774"/>
      <c r="DTI35" s="774"/>
      <c r="DTJ35" s="774"/>
      <c r="DTK35" s="774"/>
      <c r="DTL35" s="774"/>
      <c r="DTM35" s="774"/>
      <c r="DTN35" s="774"/>
      <c r="DTO35" s="774"/>
      <c r="DTP35" s="774"/>
      <c r="DTQ35" s="774"/>
      <c r="DTR35" s="774"/>
      <c r="DTS35" s="774"/>
      <c r="DTT35" s="774"/>
      <c r="DTU35" s="774"/>
      <c r="DTV35" s="774"/>
      <c r="DTW35" s="774"/>
      <c r="DTX35" s="774"/>
      <c r="DTY35" s="774"/>
      <c r="DTZ35" s="774"/>
      <c r="DUA35" s="774"/>
      <c r="DUB35" s="774"/>
      <c r="DUC35" s="774"/>
      <c r="DUD35" s="774"/>
      <c r="DUE35" s="774"/>
      <c r="DUF35" s="774"/>
      <c r="DUG35" s="774"/>
      <c r="DUH35" s="774"/>
      <c r="DUI35" s="774"/>
      <c r="DUJ35" s="774"/>
      <c r="DUK35" s="774"/>
      <c r="DUL35" s="774"/>
      <c r="DUM35" s="774"/>
      <c r="DUN35" s="774"/>
      <c r="DUO35" s="774"/>
      <c r="DUP35" s="774"/>
      <c r="DUQ35" s="774"/>
      <c r="DUR35" s="774"/>
      <c r="DUS35" s="774"/>
      <c r="DUT35" s="774"/>
      <c r="DUU35" s="774"/>
      <c r="DUV35" s="774"/>
      <c r="DUW35" s="774"/>
      <c r="DUX35" s="774"/>
      <c r="DUY35" s="774"/>
      <c r="DUZ35" s="774"/>
      <c r="DVA35" s="774"/>
      <c r="DVB35" s="774"/>
      <c r="DVC35" s="774"/>
      <c r="DVD35" s="774"/>
      <c r="DVE35" s="774"/>
      <c r="DVF35" s="774"/>
      <c r="DVG35" s="774"/>
      <c r="DVH35" s="774"/>
      <c r="DVI35" s="774"/>
      <c r="DVJ35" s="774"/>
      <c r="DVK35" s="774"/>
      <c r="DVL35" s="774"/>
      <c r="DVM35" s="774"/>
      <c r="DVN35" s="774"/>
      <c r="DVO35" s="774"/>
      <c r="DVP35" s="774"/>
      <c r="DVQ35" s="774"/>
      <c r="DVR35" s="774"/>
      <c r="DVS35" s="774"/>
      <c r="DVT35" s="774"/>
      <c r="DVU35" s="774"/>
      <c r="DVV35" s="774"/>
      <c r="DVW35" s="774"/>
      <c r="DVX35" s="774"/>
      <c r="DVY35" s="774"/>
      <c r="DVZ35" s="774"/>
      <c r="DWA35" s="774"/>
      <c r="DWB35" s="774"/>
      <c r="DWC35" s="774"/>
      <c r="DWD35" s="774"/>
      <c r="DWE35" s="774"/>
      <c r="DWF35" s="774"/>
      <c r="DWG35" s="774"/>
      <c r="DWH35" s="774"/>
      <c r="DWI35" s="774"/>
      <c r="DWJ35" s="774"/>
      <c r="DWK35" s="774"/>
      <c r="DWL35" s="774"/>
      <c r="DWM35" s="774"/>
      <c r="DWN35" s="774"/>
      <c r="DWO35" s="774"/>
      <c r="DWP35" s="774"/>
      <c r="DWQ35" s="774"/>
      <c r="DWR35" s="774"/>
      <c r="DWS35" s="774"/>
      <c r="DWT35" s="774"/>
      <c r="DWU35" s="774"/>
      <c r="DWV35" s="774"/>
      <c r="DWW35" s="774"/>
      <c r="DWX35" s="774"/>
      <c r="DWY35" s="774"/>
      <c r="DWZ35" s="774"/>
      <c r="DXA35" s="774"/>
      <c r="DXB35" s="774"/>
      <c r="DXC35" s="774"/>
      <c r="DXD35" s="774"/>
      <c r="DXE35" s="774"/>
      <c r="DXF35" s="774"/>
      <c r="DXG35" s="774"/>
      <c r="DXH35" s="774"/>
      <c r="DXI35" s="774"/>
      <c r="DXJ35" s="774"/>
      <c r="DXK35" s="774"/>
      <c r="DXL35" s="774"/>
      <c r="DXM35" s="774"/>
      <c r="DXN35" s="774"/>
      <c r="DXO35" s="774"/>
      <c r="DXP35" s="774"/>
      <c r="DXQ35" s="774"/>
      <c r="DXR35" s="774"/>
      <c r="DXS35" s="774"/>
      <c r="DXT35" s="774"/>
      <c r="DXU35" s="774"/>
      <c r="DXV35" s="774"/>
      <c r="DXW35" s="774"/>
      <c r="DXX35" s="774"/>
      <c r="DXY35" s="774"/>
      <c r="DXZ35" s="774"/>
      <c r="DYA35" s="774"/>
      <c r="DYB35" s="774"/>
      <c r="DYC35" s="774"/>
      <c r="DYD35" s="774"/>
      <c r="DYE35" s="774"/>
      <c r="DYF35" s="774"/>
      <c r="DYG35" s="774"/>
      <c r="DYH35" s="774"/>
      <c r="DYI35" s="774"/>
      <c r="DYJ35" s="774"/>
      <c r="DYK35" s="774"/>
      <c r="DYL35" s="774"/>
      <c r="DYM35" s="774"/>
      <c r="DYN35" s="774"/>
      <c r="DYO35" s="774"/>
      <c r="DYP35" s="774"/>
      <c r="DYQ35" s="774"/>
      <c r="DYR35" s="774"/>
      <c r="DYS35" s="774"/>
      <c r="DYT35" s="774"/>
      <c r="DYU35" s="774"/>
      <c r="DYV35" s="774"/>
      <c r="DYW35" s="774"/>
      <c r="DYX35" s="774"/>
      <c r="DYY35" s="774"/>
      <c r="DYZ35" s="774"/>
      <c r="DZA35" s="774"/>
      <c r="DZB35" s="774"/>
      <c r="DZC35" s="774"/>
      <c r="DZD35" s="774"/>
      <c r="DZE35" s="774"/>
      <c r="DZF35" s="774"/>
      <c r="DZG35" s="774"/>
      <c r="DZH35" s="774"/>
      <c r="DZI35" s="774"/>
      <c r="DZJ35" s="774"/>
      <c r="DZK35" s="774"/>
      <c r="DZL35" s="774"/>
      <c r="DZM35" s="774"/>
      <c r="DZN35" s="774"/>
      <c r="DZO35" s="774"/>
      <c r="DZP35" s="774"/>
      <c r="DZQ35" s="774"/>
      <c r="DZR35" s="774"/>
      <c r="DZS35" s="774"/>
      <c r="DZT35" s="774"/>
      <c r="DZU35" s="774"/>
      <c r="DZV35" s="774"/>
      <c r="DZW35" s="774"/>
      <c r="DZX35" s="774"/>
      <c r="DZY35" s="774"/>
      <c r="DZZ35" s="774"/>
      <c r="EAA35" s="774"/>
      <c r="EAB35" s="774"/>
      <c r="EAC35" s="774"/>
      <c r="EAD35" s="774"/>
      <c r="EAE35" s="774"/>
      <c r="EAF35" s="774"/>
      <c r="EAG35" s="774"/>
      <c r="EAH35" s="774"/>
      <c r="EAI35" s="774"/>
      <c r="EAJ35" s="774"/>
      <c r="EAK35" s="774"/>
      <c r="EAL35" s="774"/>
      <c r="EAM35" s="774"/>
      <c r="EAN35" s="774"/>
      <c r="EAO35" s="774"/>
      <c r="EAP35" s="774"/>
      <c r="EAQ35" s="774"/>
      <c r="EAR35" s="774"/>
      <c r="EAS35" s="774"/>
      <c r="EAT35" s="774"/>
      <c r="EAU35" s="774"/>
      <c r="EAV35" s="774"/>
      <c r="EAW35" s="774"/>
      <c r="EAX35" s="774"/>
      <c r="EAY35" s="774"/>
      <c r="EAZ35" s="774"/>
      <c r="EBA35" s="774"/>
      <c r="EBB35" s="774"/>
      <c r="EBC35" s="774"/>
      <c r="EBD35" s="774"/>
      <c r="EBE35" s="774"/>
      <c r="EBF35" s="774"/>
      <c r="EBG35" s="774"/>
      <c r="EBH35" s="774"/>
      <c r="EBI35" s="774"/>
      <c r="EBJ35" s="774"/>
      <c r="EBK35" s="774"/>
      <c r="EBL35" s="774"/>
      <c r="EBM35" s="774"/>
      <c r="EBN35" s="774"/>
      <c r="EBO35" s="774"/>
      <c r="EBP35" s="774"/>
      <c r="EBQ35" s="774"/>
      <c r="EBR35" s="774"/>
      <c r="EBS35" s="774"/>
      <c r="EBT35" s="774"/>
      <c r="EBU35" s="774"/>
      <c r="EBV35" s="774"/>
      <c r="EBW35" s="774"/>
      <c r="EBX35" s="774"/>
      <c r="EBY35" s="774"/>
      <c r="EBZ35" s="774"/>
      <c r="ECA35" s="774"/>
      <c r="ECB35" s="774"/>
      <c r="ECC35" s="774"/>
      <c r="ECD35" s="774"/>
      <c r="ECE35" s="774"/>
      <c r="ECF35" s="774"/>
      <c r="ECG35" s="774"/>
      <c r="ECH35" s="774"/>
      <c r="ECI35" s="774"/>
      <c r="ECJ35" s="774"/>
      <c r="ECK35" s="774"/>
      <c r="ECL35" s="774"/>
      <c r="ECM35" s="774"/>
      <c r="ECN35" s="774"/>
      <c r="ECO35" s="774"/>
      <c r="ECP35" s="774"/>
      <c r="ECQ35" s="774"/>
      <c r="ECR35" s="774"/>
      <c r="ECS35" s="774"/>
      <c r="ECT35" s="774"/>
      <c r="ECU35" s="774"/>
      <c r="ECV35" s="774"/>
      <c r="ECW35" s="774"/>
      <c r="ECX35" s="774"/>
      <c r="ECY35" s="774"/>
      <c r="ECZ35" s="774"/>
      <c r="EDA35" s="774"/>
      <c r="EDB35" s="774"/>
      <c r="EDC35" s="774"/>
      <c r="EDD35" s="774"/>
      <c r="EDE35" s="774"/>
      <c r="EDF35" s="774"/>
      <c r="EDG35" s="774"/>
      <c r="EDH35" s="774"/>
      <c r="EDI35" s="774"/>
      <c r="EDJ35" s="774"/>
      <c r="EDK35" s="774"/>
      <c r="EDL35" s="774"/>
      <c r="EDM35" s="774"/>
      <c r="EDN35" s="774"/>
      <c r="EDO35" s="774"/>
      <c r="EDP35" s="774"/>
      <c r="EDQ35" s="774"/>
      <c r="EDR35" s="774"/>
      <c r="EDS35" s="774"/>
      <c r="EDT35" s="774"/>
      <c r="EDU35" s="774"/>
      <c r="EDV35" s="774"/>
      <c r="EDW35" s="774"/>
      <c r="EDX35" s="774"/>
      <c r="EDY35" s="774"/>
      <c r="EDZ35" s="774"/>
      <c r="EEA35" s="774"/>
      <c r="EEB35" s="774"/>
      <c r="EEC35" s="774"/>
      <c r="EED35" s="774"/>
      <c r="EEE35" s="774"/>
      <c r="EEF35" s="774"/>
      <c r="EEG35" s="774"/>
      <c r="EEH35" s="774"/>
      <c r="EEI35" s="774"/>
      <c r="EEJ35" s="774"/>
      <c r="EEK35" s="774"/>
      <c r="EEL35" s="774"/>
      <c r="EEM35" s="774"/>
      <c r="EEN35" s="774"/>
      <c r="EEO35" s="774"/>
      <c r="EEP35" s="774"/>
      <c r="EEQ35" s="774"/>
      <c r="EER35" s="774"/>
      <c r="EES35" s="774"/>
      <c r="EET35" s="774"/>
      <c r="EEU35" s="774"/>
      <c r="EEV35" s="774"/>
      <c r="EEW35" s="774"/>
      <c r="EEX35" s="774"/>
      <c r="EEY35" s="774"/>
      <c r="EEZ35" s="774"/>
      <c r="EFA35" s="774"/>
      <c r="EFB35" s="774"/>
      <c r="EFC35" s="774"/>
      <c r="EFD35" s="774"/>
      <c r="EFE35" s="774"/>
      <c r="EFF35" s="774"/>
      <c r="EFG35" s="774"/>
      <c r="EFH35" s="774"/>
      <c r="EFI35" s="774"/>
      <c r="EFJ35" s="774"/>
      <c r="EFK35" s="774"/>
      <c r="EFL35" s="774"/>
      <c r="EFM35" s="774"/>
      <c r="EFN35" s="774"/>
      <c r="EFO35" s="774"/>
      <c r="EFP35" s="774"/>
      <c r="EFQ35" s="774"/>
      <c r="EFR35" s="774"/>
      <c r="EFS35" s="774"/>
      <c r="EFT35" s="774"/>
      <c r="EFU35" s="774"/>
      <c r="EFV35" s="774"/>
      <c r="EFW35" s="774"/>
      <c r="EFX35" s="774"/>
      <c r="EFY35" s="774"/>
      <c r="EFZ35" s="774"/>
      <c r="EGA35" s="774"/>
      <c r="EGB35" s="774"/>
      <c r="EGC35" s="774"/>
      <c r="EGD35" s="774"/>
      <c r="EGE35" s="774"/>
      <c r="EGF35" s="774"/>
      <c r="EGG35" s="774"/>
      <c r="EGH35" s="774"/>
      <c r="EGI35" s="774"/>
      <c r="EGJ35" s="774"/>
      <c r="EGK35" s="774"/>
      <c r="EGL35" s="774"/>
      <c r="EGM35" s="774"/>
      <c r="EGN35" s="774"/>
      <c r="EGO35" s="774"/>
      <c r="EGP35" s="774"/>
      <c r="EGQ35" s="774"/>
      <c r="EGR35" s="774"/>
      <c r="EGS35" s="774"/>
      <c r="EGT35" s="774"/>
      <c r="EGU35" s="774"/>
      <c r="EGV35" s="774"/>
      <c r="EGW35" s="774"/>
      <c r="EGX35" s="774"/>
      <c r="EGY35" s="774"/>
      <c r="EGZ35" s="774"/>
      <c r="EHA35" s="774"/>
      <c r="EHB35" s="774"/>
      <c r="EHC35" s="774"/>
      <c r="EHD35" s="774"/>
      <c r="EHE35" s="774"/>
      <c r="EHF35" s="774"/>
      <c r="EHG35" s="774"/>
      <c r="EHH35" s="774"/>
      <c r="EHI35" s="774"/>
      <c r="EHJ35" s="774"/>
      <c r="EHK35" s="774"/>
      <c r="EHL35" s="774"/>
      <c r="EHM35" s="774"/>
      <c r="EHN35" s="774"/>
      <c r="EHO35" s="774"/>
      <c r="EHP35" s="774"/>
      <c r="EHQ35" s="774"/>
      <c r="EHR35" s="774"/>
      <c r="EHS35" s="774"/>
      <c r="EHT35" s="774"/>
      <c r="EHU35" s="774"/>
      <c r="EHV35" s="774"/>
      <c r="EHW35" s="774"/>
      <c r="EHX35" s="774"/>
      <c r="EHY35" s="774"/>
      <c r="EHZ35" s="774"/>
      <c r="EIA35" s="774"/>
      <c r="EIB35" s="774"/>
      <c r="EIC35" s="774"/>
      <c r="EID35" s="774"/>
      <c r="EIE35" s="774"/>
      <c r="EIF35" s="774"/>
      <c r="EIG35" s="774"/>
      <c r="EIH35" s="774"/>
      <c r="EII35" s="774"/>
      <c r="EIJ35" s="774"/>
      <c r="EIK35" s="774"/>
      <c r="EIL35" s="774"/>
      <c r="EIM35" s="774"/>
      <c r="EIN35" s="774"/>
      <c r="EIO35" s="774"/>
      <c r="EIP35" s="774"/>
      <c r="EIQ35" s="774"/>
      <c r="EIR35" s="774"/>
      <c r="EIS35" s="774"/>
      <c r="EIT35" s="774"/>
      <c r="EIU35" s="774"/>
      <c r="EIV35" s="774"/>
      <c r="EIW35" s="774"/>
      <c r="EIX35" s="774"/>
      <c r="EIY35" s="774"/>
      <c r="EIZ35" s="774"/>
      <c r="EJA35" s="774"/>
      <c r="EJB35" s="774"/>
      <c r="EJC35" s="774"/>
      <c r="EJD35" s="774"/>
      <c r="EJE35" s="774"/>
      <c r="EJF35" s="774"/>
      <c r="EJG35" s="774"/>
      <c r="EJH35" s="774"/>
      <c r="EJI35" s="774"/>
      <c r="EJJ35" s="774"/>
      <c r="EJK35" s="774"/>
      <c r="EJL35" s="774"/>
      <c r="EJM35" s="774"/>
      <c r="EJN35" s="774"/>
      <c r="EJO35" s="774"/>
      <c r="EJP35" s="774"/>
      <c r="EJQ35" s="774"/>
      <c r="EJR35" s="774"/>
      <c r="EJS35" s="774"/>
      <c r="EJT35" s="774"/>
      <c r="EJU35" s="774"/>
      <c r="EJV35" s="774"/>
      <c r="EJW35" s="774"/>
      <c r="EJX35" s="774"/>
      <c r="EJY35" s="774"/>
      <c r="EJZ35" s="774"/>
      <c r="EKA35" s="774"/>
      <c r="EKB35" s="774"/>
      <c r="EKC35" s="774"/>
      <c r="EKD35" s="774"/>
      <c r="EKE35" s="774"/>
      <c r="EKF35" s="774"/>
      <c r="EKG35" s="774"/>
      <c r="EKH35" s="774"/>
      <c r="EKI35" s="774"/>
      <c r="EKJ35" s="774"/>
      <c r="EKK35" s="774"/>
      <c r="EKL35" s="774"/>
      <c r="EKM35" s="774"/>
      <c r="EKN35" s="774"/>
      <c r="EKO35" s="774"/>
      <c r="EKP35" s="774"/>
      <c r="EKQ35" s="774"/>
      <c r="EKR35" s="774"/>
      <c r="EKS35" s="774"/>
      <c r="EKT35" s="774"/>
      <c r="EKU35" s="774"/>
      <c r="EKV35" s="774"/>
      <c r="EKW35" s="774"/>
      <c r="EKX35" s="774"/>
      <c r="EKY35" s="774"/>
      <c r="EKZ35" s="774"/>
      <c r="ELA35" s="774"/>
      <c r="ELB35" s="774"/>
      <c r="ELC35" s="774"/>
      <c r="ELD35" s="774"/>
      <c r="ELE35" s="774"/>
      <c r="ELF35" s="774"/>
      <c r="ELG35" s="774"/>
      <c r="ELH35" s="774"/>
      <c r="ELI35" s="774"/>
      <c r="ELJ35" s="774"/>
      <c r="ELK35" s="774"/>
      <c r="ELL35" s="774"/>
      <c r="ELM35" s="774"/>
      <c r="ELN35" s="774"/>
      <c r="ELO35" s="774"/>
      <c r="ELP35" s="774"/>
      <c r="ELQ35" s="774"/>
      <c r="ELR35" s="774"/>
      <c r="ELS35" s="774"/>
      <c r="ELT35" s="774"/>
      <c r="ELU35" s="774"/>
      <c r="ELV35" s="774"/>
      <c r="ELW35" s="774"/>
      <c r="ELX35" s="774"/>
      <c r="ELY35" s="774"/>
      <c r="ELZ35" s="774"/>
      <c r="EMA35" s="774"/>
      <c r="EMB35" s="774"/>
      <c r="EMC35" s="774"/>
      <c r="EMD35" s="774"/>
      <c r="EME35" s="774"/>
      <c r="EMF35" s="774"/>
      <c r="EMG35" s="774"/>
      <c r="EMH35" s="774"/>
      <c r="EMI35" s="774"/>
      <c r="EMJ35" s="774"/>
      <c r="EMK35" s="774"/>
      <c r="EML35" s="774"/>
      <c r="EMM35" s="774"/>
      <c r="EMN35" s="774"/>
      <c r="EMO35" s="774"/>
      <c r="EMP35" s="774"/>
      <c r="EMQ35" s="774"/>
      <c r="EMR35" s="774"/>
      <c r="EMS35" s="774"/>
      <c r="EMT35" s="774"/>
      <c r="EMU35" s="774"/>
      <c r="EMV35" s="774"/>
      <c r="EMW35" s="774"/>
      <c r="EMX35" s="774"/>
      <c r="EMY35" s="774"/>
      <c r="EMZ35" s="774"/>
      <c r="ENA35" s="774"/>
      <c r="ENB35" s="774"/>
      <c r="ENC35" s="774"/>
      <c r="END35" s="774"/>
      <c r="ENE35" s="774"/>
      <c r="ENF35" s="774"/>
      <c r="ENG35" s="774"/>
      <c r="ENH35" s="774"/>
      <c r="ENI35" s="774"/>
      <c r="ENJ35" s="774"/>
      <c r="ENK35" s="774"/>
      <c r="ENL35" s="774"/>
      <c r="ENM35" s="774"/>
      <c r="ENN35" s="774"/>
      <c r="ENO35" s="774"/>
      <c r="ENP35" s="774"/>
      <c r="ENQ35" s="774"/>
      <c r="ENR35" s="774"/>
      <c r="ENS35" s="774"/>
      <c r="ENT35" s="774"/>
      <c r="ENU35" s="774"/>
      <c r="ENV35" s="774"/>
      <c r="ENW35" s="774"/>
      <c r="ENX35" s="774"/>
      <c r="ENY35" s="774"/>
      <c r="ENZ35" s="774"/>
      <c r="EOA35" s="774"/>
      <c r="EOB35" s="774"/>
      <c r="EOC35" s="774"/>
      <c r="EOD35" s="774"/>
      <c r="EOE35" s="774"/>
      <c r="EOF35" s="774"/>
      <c r="EOG35" s="774"/>
      <c r="EOH35" s="774"/>
      <c r="EOI35" s="774"/>
      <c r="EOJ35" s="774"/>
      <c r="EOK35" s="774"/>
      <c r="EOL35" s="774"/>
      <c r="EOM35" s="774"/>
      <c r="EON35" s="774"/>
      <c r="EOO35" s="774"/>
      <c r="EOP35" s="774"/>
      <c r="EOQ35" s="774"/>
      <c r="EOR35" s="774"/>
      <c r="EOS35" s="774"/>
      <c r="EOT35" s="774"/>
      <c r="EOU35" s="774"/>
      <c r="EOV35" s="774"/>
      <c r="EOW35" s="774"/>
      <c r="EOX35" s="774"/>
      <c r="EOY35" s="774"/>
      <c r="EOZ35" s="774"/>
      <c r="EPA35" s="774"/>
      <c r="EPB35" s="774"/>
      <c r="EPC35" s="774"/>
      <c r="EPD35" s="774"/>
      <c r="EPE35" s="774"/>
      <c r="EPF35" s="774"/>
      <c r="EPG35" s="774"/>
      <c r="EPH35" s="774"/>
      <c r="EPI35" s="774"/>
      <c r="EPJ35" s="774"/>
      <c r="EPK35" s="774"/>
      <c r="EPL35" s="774"/>
      <c r="EPM35" s="774"/>
      <c r="EPN35" s="774"/>
      <c r="EPO35" s="774"/>
      <c r="EPP35" s="774"/>
      <c r="EPQ35" s="774"/>
      <c r="EPR35" s="774"/>
      <c r="EPS35" s="774"/>
      <c r="EPT35" s="774"/>
      <c r="EPU35" s="774"/>
      <c r="EPV35" s="774"/>
      <c r="EPW35" s="774"/>
      <c r="EPX35" s="774"/>
      <c r="EPY35" s="774"/>
      <c r="EPZ35" s="774"/>
      <c r="EQA35" s="774"/>
      <c r="EQB35" s="774"/>
      <c r="EQC35" s="774"/>
      <c r="EQD35" s="774"/>
      <c r="EQE35" s="774"/>
      <c r="EQF35" s="774"/>
      <c r="EQG35" s="774"/>
      <c r="EQH35" s="774"/>
      <c r="EQI35" s="774"/>
      <c r="EQJ35" s="774"/>
      <c r="EQK35" s="774"/>
      <c r="EQL35" s="774"/>
      <c r="EQM35" s="774"/>
      <c r="EQN35" s="774"/>
      <c r="EQO35" s="774"/>
      <c r="EQP35" s="774"/>
      <c r="EQQ35" s="774"/>
      <c r="EQR35" s="774"/>
      <c r="EQS35" s="774"/>
      <c r="EQT35" s="774"/>
      <c r="EQU35" s="774"/>
      <c r="EQV35" s="774"/>
      <c r="EQW35" s="774"/>
      <c r="EQX35" s="774"/>
      <c r="EQY35" s="774"/>
      <c r="EQZ35" s="774"/>
      <c r="ERA35" s="774"/>
      <c r="ERB35" s="774"/>
      <c r="ERC35" s="774"/>
      <c r="ERD35" s="774"/>
      <c r="ERE35" s="774"/>
      <c r="ERF35" s="774"/>
      <c r="ERG35" s="774"/>
      <c r="ERH35" s="774"/>
      <c r="ERI35" s="774"/>
      <c r="ERJ35" s="774"/>
      <c r="ERK35" s="774"/>
      <c r="ERL35" s="774"/>
      <c r="ERM35" s="774"/>
      <c r="ERN35" s="774"/>
      <c r="ERO35" s="774"/>
      <c r="ERP35" s="774"/>
      <c r="ERQ35" s="774"/>
      <c r="ERR35" s="774"/>
      <c r="ERS35" s="774"/>
      <c r="ERT35" s="774"/>
      <c r="ERU35" s="774"/>
      <c r="ERV35" s="774"/>
      <c r="ERW35" s="774"/>
      <c r="ERX35" s="774"/>
      <c r="ERY35" s="774"/>
      <c r="ERZ35" s="774"/>
      <c r="ESA35" s="774"/>
      <c r="ESB35" s="774"/>
      <c r="ESC35" s="774"/>
      <c r="ESD35" s="774"/>
      <c r="ESE35" s="774"/>
      <c r="ESF35" s="774"/>
      <c r="ESG35" s="774"/>
      <c r="ESH35" s="774"/>
      <c r="ESI35" s="774"/>
      <c r="ESJ35" s="774"/>
      <c r="ESK35" s="774"/>
      <c r="ESL35" s="774"/>
      <c r="ESM35" s="774"/>
      <c r="ESN35" s="774"/>
      <c r="ESO35" s="774"/>
      <c r="ESP35" s="774"/>
      <c r="ESQ35" s="774"/>
      <c r="ESR35" s="774"/>
      <c r="ESS35" s="774"/>
      <c r="EST35" s="774"/>
      <c r="ESU35" s="774"/>
      <c r="ESV35" s="774"/>
      <c r="ESW35" s="774"/>
      <c r="ESX35" s="774"/>
      <c r="ESY35" s="774"/>
      <c r="ESZ35" s="774"/>
      <c r="ETA35" s="774"/>
      <c r="ETB35" s="774"/>
      <c r="ETC35" s="774"/>
      <c r="ETD35" s="774"/>
      <c r="ETE35" s="774"/>
      <c r="ETF35" s="774"/>
      <c r="ETG35" s="774"/>
      <c r="ETH35" s="774"/>
      <c r="ETI35" s="774"/>
      <c r="ETJ35" s="774"/>
      <c r="ETK35" s="774"/>
      <c r="ETL35" s="774"/>
      <c r="ETM35" s="774"/>
      <c r="ETN35" s="774"/>
      <c r="ETO35" s="774"/>
      <c r="ETP35" s="774"/>
      <c r="ETQ35" s="774"/>
      <c r="ETR35" s="774"/>
      <c r="ETS35" s="774"/>
      <c r="ETT35" s="774"/>
      <c r="ETU35" s="774"/>
      <c r="ETV35" s="774"/>
      <c r="ETW35" s="774"/>
      <c r="ETX35" s="774"/>
      <c r="ETY35" s="774"/>
      <c r="ETZ35" s="774"/>
      <c r="EUA35" s="774"/>
      <c r="EUB35" s="774"/>
      <c r="EUC35" s="774"/>
      <c r="EUD35" s="774"/>
      <c r="EUE35" s="774"/>
      <c r="EUF35" s="774"/>
      <c r="EUG35" s="774"/>
      <c r="EUH35" s="774"/>
      <c r="EUI35" s="774"/>
      <c r="EUJ35" s="774"/>
      <c r="EUK35" s="774"/>
      <c r="EUL35" s="774"/>
      <c r="EUM35" s="774"/>
      <c r="EUN35" s="774"/>
      <c r="EUO35" s="774"/>
      <c r="EUP35" s="774"/>
      <c r="EUQ35" s="774"/>
      <c r="EUR35" s="774"/>
      <c r="EUS35" s="774"/>
      <c r="EUT35" s="774"/>
      <c r="EUU35" s="774"/>
      <c r="EUV35" s="774"/>
      <c r="EUW35" s="774"/>
      <c r="EUX35" s="774"/>
      <c r="EUY35" s="774"/>
      <c r="EUZ35" s="774"/>
      <c r="EVA35" s="774"/>
      <c r="EVB35" s="774"/>
      <c r="EVC35" s="774"/>
      <c r="EVD35" s="774"/>
      <c r="EVE35" s="774"/>
      <c r="EVF35" s="774"/>
      <c r="EVG35" s="774"/>
      <c r="EVH35" s="774"/>
      <c r="EVI35" s="774"/>
      <c r="EVJ35" s="774"/>
      <c r="EVK35" s="774"/>
      <c r="EVL35" s="774"/>
      <c r="EVM35" s="774"/>
      <c r="EVN35" s="774"/>
      <c r="EVO35" s="774"/>
      <c r="EVP35" s="774"/>
      <c r="EVQ35" s="774"/>
      <c r="EVR35" s="774"/>
      <c r="EVS35" s="774"/>
      <c r="EVT35" s="774"/>
      <c r="EVU35" s="774"/>
      <c r="EVV35" s="774"/>
      <c r="EVW35" s="774"/>
      <c r="EVX35" s="774"/>
      <c r="EVY35" s="774"/>
      <c r="EVZ35" s="774"/>
      <c r="EWA35" s="774"/>
      <c r="EWB35" s="774"/>
      <c r="EWC35" s="774"/>
      <c r="EWD35" s="774"/>
      <c r="EWE35" s="774"/>
      <c r="EWF35" s="774"/>
      <c r="EWG35" s="774"/>
      <c r="EWH35" s="774"/>
      <c r="EWI35" s="774"/>
      <c r="EWJ35" s="774"/>
      <c r="EWK35" s="774"/>
      <c r="EWL35" s="774"/>
      <c r="EWM35" s="774"/>
      <c r="EWN35" s="774"/>
      <c r="EWO35" s="774"/>
      <c r="EWP35" s="774"/>
      <c r="EWQ35" s="774"/>
      <c r="EWR35" s="774"/>
      <c r="EWS35" s="774"/>
      <c r="EWT35" s="774"/>
      <c r="EWU35" s="774"/>
      <c r="EWV35" s="774"/>
      <c r="EWW35" s="774"/>
      <c r="EWX35" s="774"/>
      <c r="EWY35" s="774"/>
      <c r="EWZ35" s="774"/>
      <c r="EXA35" s="774"/>
      <c r="EXB35" s="774"/>
      <c r="EXC35" s="774"/>
      <c r="EXD35" s="774"/>
      <c r="EXE35" s="774"/>
      <c r="EXF35" s="774"/>
      <c r="EXG35" s="774"/>
      <c r="EXH35" s="774"/>
      <c r="EXI35" s="774"/>
      <c r="EXJ35" s="774"/>
      <c r="EXK35" s="774"/>
      <c r="EXL35" s="774"/>
      <c r="EXM35" s="774"/>
      <c r="EXN35" s="774"/>
      <c r="EXO35" s="774"/>
      <c r="EXP35" s="774"/>
      <c r="EXQ35" s="774"/>
      <c r="EXR35" s="774"/>
      <c r="EXS35" s="774"/>
      <c r="EXT35" s="774"/>
      <c r="EXU35" s="774"/>
      <c r="EXV35" s="774"/>
      <c r="EXW35" s="774"/>
      <c r="EXX35" s="774"/>
      <c r="EXY35" s="774"/>
      <c r="EXZ35" s="774"/>
      <c r="EYA35" s="774"/>
      <c r="EYB35" s="774"/>
      <c r="EYC35" s="774"/>
      <c r="EYD35" s="774"/>
      <c r="EYE35" s="774"/>
      <c r="EYF35" s="774"/>
      <c r="EYG35" s="774"/>
      <c r="EYH35" s="774"/>
      <c r="EYI35" s="774"/>
      <c r="EYJ35" s="774"/>
      <c r="EYK35" s="774"/>
      <c r="EYL35" s="774"/>
      <c r="EYM35" s="774"/>
      <c r="EYN35" s="774"/>
      <c r="EYO35" s="774"/>
      <c r="EYP35" s="774"/>
      <c r="EYQ35" s="774"/>
      <c r="EYR35" s="774"/>
      <c r="EYS35" s="774"/>
      <c r="EYT35" s="774"/>
      <c r="EYU35" s="774"/>
      <c r="EYV35" s="774"/>
      <c r="EYW35" s="774"/>
      <c r="EYX35" s="774"/>
      <c r="EYY35" s="774"/>
      <c r="EYZ35" s="774"/>
      <c r="EZA35" s="774"/>
      <c r="EZB35" s="774"/>
      <c r="EZC35" s="774"/>
      <c r="EZD35" s="774"/>
      <c r="EZE35" s="774"/>
      <c r="EZF35" s="774"/>
      <c r="EZG35" s="774"/>
      <c r="EZH35" s="774"/>
      <c r="EZI35" s="774"/>
      <c r="EZJ35" s="774"/>
      <c r="EZK35" s="774"/>
      <c r="EZL35" s="774"/>
      <c r="EZM35" s="774"/>
      <c r="EZN35" s="774"/>
      <c r="EZO35" s="774"/>
      <c r="EZP35" s="774"/>
      <c r="EZQ35" s="774"/>
      <c r="EZR35" s="774"/>
      <c r="EZS35" s="774"/>
      <c r="EZT35" s="774"/>
      <c r="EZU35" s="774"/>
      <c r="EZV35" s="774"/>
      <c r="EZW35" s="774"/>
      <c r="EZX35" s="774"/>
      <c r="EZY35" s="774"/>
      <c r="EZZ35" s="774"/>
      <c r="FAA35" s="774"/>
      <c r="FAB35" s="774"/>
      <c r="FAC35" s="774"/>
      <c r="FAD35" s="774"/>
      <c r="FAE35" s="774"/>
      <c r="FAF35" s="774"/>
      <c r="FAG35" s="774"/>
      <c r="FAH35" s="774"/>
      <c r="FAI35" s="774"/>
      <c r="FAJ35" s="774"/>
      <c r="FAK35" s="774"/>
      <c r="FAL35" s="774"/>
      <c r="FAM35" s="774"/>
      <c r="FAN35" s="774"/>
      <c r="FAO35" s="774"/>
      <c r="FAP35" s="774"/>
      <c r="FAQ35" s="774"/>
      <c r="FAR35" s="774"/>
      <c r="FAS35" s="774"/>
      <c r="FAT35" s="774"/>
      <c r="FAU35" s="774"/>
      <c r="FAV35" s="774"/>
      <c r="FAW35" s="774"/>
      <c r="FAX35" s="774"/>
      <c r="FAY35" s="774"/>
      <c r="FAZ35" s="774"/>
      <c r="FBA35" s="774"/>
      <c r="FBB35" s="774"/>
      <c r="FBC35" s="774"/>
      <c r="FBD35" s="774"/>
      <c r="FBE35" s="774"/>
      <c r="FBF35" s="774"/>
      <c r="FBG35" s="774"/>
      <c r="FBH35" s="774"/>
      <c r="FBI35" s="774"/>
      <c r="FBJ35" s="774"/>
      <c r="FBK35" s="774"/>
      <c r="FBL35" s="774"/>
      <c r="FBM35" s="774"/>
      <c r="FBN35" s="774"/>
      <c r="FBO35" s="774"/>
      <c r="FBP35" s="774"/>
      <c r="FBQ35" s="774"/>
      <c r="FBR35" s="774"/>
      <c r="FBS35" s="774"/>
      <c r="FBT35" s="774"/>
      <c r="FBU35" s="774"/>
      <c r="FBV35" s="774"/>
      <c r="FBW35" s="774"/>
      <c r="FBX35" s="774"/>
      <c r="FBY35" s="774"/>
      <c r="FBZ35" s="774"/>
      <c r="FCA35" s="774"/>
      <c r="FCB35" s="774"/>
      <c r="FCC35" s="774"/>
      <c r="FCD35" s="774"/>
      <c r="FCE35" s="774"/>
      <c r="FCF35" s="774"/>
      <c r="FCG35" s="774"/>
      <c r="FCH35" s="774"/>
      <c r="FCI35" s="774"/>
      <c r="FCJ35" s="774"/>
      <c r="FCK35" s="774"/>
      <c r="FCL35" s="774"/>
      <c r="FCM35" s="774"/>
      <c r="FCN35" s="774"/>
      <c r="FCO35" s="774"/>
      <c r="FCP35" s="774"/>
      <c r="FCQ35" s="774"/>
      <c r="FCR35" s="774"/>
      <c r="FCS35" s="774"/>
      <c r="FCT35" s="774"/>
      <c r="FCU35" s="774"/>
      <c r="FCV35" s="774"/>
      <c r="FCW35" s="774"/>
      <c r="FCX35" s="774"/>
      <c r="FCY35" s="774"/>
      <c r="FCZ35" s="774"/>
      <c r="FDA35" s="774"/>
      <c r="FDB35" s="774"/>
      <c r="FDC35" s="774"/>
      <c r="FDD35" s="774"/>
      <c r="FDE35" s="774"/>
      <c r="FDF35" s="774"/>
      <c r="FDG35" s="774"/>
      <c r="FDH35" s="774"/>
      <c r="FDI35" s="774"/>
      <c r="FDJ35" s="774"/>
      <c r="FDK35" s="774"/>
      <c r="FDL35" s="774"/>
      <c r="FDM35" s="774"/>
      <c r="FDN35" s="774"/>
      <c r="FDO35" s="774"/>
      <c r="FDP35" s="774"/>
      <c r="FDQ35" s="774"/>
      <c r="FDR35" s="774"/>
      <c r="FDS35" s="774"/>
      <c r="FDT35" s="774"/>
      <c r="FDU35" s="774"/>
      <c r="FDV35" s="774"/>
      <c r="FDW35" s="774"/>
      <c r="FDX35" s="774"/>
      <c r="FDY35" s="774"/>
      <c r="FDZ35" s="774"/>
      <c r="FEA35" s="774"/>
      <c r="FEB35" s="774"/>
      <c r="FEC35" s="774"/>
      <c r="FED35" s="774"/>
      <c r="FEE35" s="774"/>
      <c r="FEF35" s="774"/>
      <c r="FEG35" s="774"/>
      <c r="FEH35" s="774"/>
      <c r="FEI35" s="774"/>
      <c r="FEJ35" s="774"/>
      <c r="FEK35" s="774"/>
      <c r="FEL35" s="774"/>
      <c r="FEM35" s="774"/>
      <c r="FEN35" s="774"/>
      <c r="FEO35" s="774"/>
      <c r="FEP35" s="774"/>
      <c r="FEQ35" s="774"/>
      <c r="FER35" s="774"/>
      <c r="FES35" s="774"/>
      <c r="FET35" s="774"/>
      <c r="FEU35" s="774"/>
      <c r="FEV35" s="774"/>
      <c r="FEW35" s="774"/>
      <c r="FEX35" s="774"/>
      <c r="FEY35" s="774"/>
      <c r="FEZ35" s="774"/>
      <c r="FFA35" s="774"/>
      <c r="FFB35" s="774"/>
      <c r="FFC35" s="774"/>
      <c r="FFD35" s="774"/>
      <c r="FFE35" s="774"/>
      <c r="FFF35" s="774"/>
      <c r="FFG35" s="774"/>
      <c r="FFH35" s="774"/>
      <c r="FFI35" s="774"/>
      <c r="FFJ35" s="774"/>
      <c r="FFK35" s="774"/>
      <c r="FFL35" s="774"/>
      <c r="FFM35" s="774"/>
      <c r="FFN35" s="774"/>
      <c r="FFO35" s="774"/>
      <c r="FFP35" s="774"/>
      <c r="FFQ35" s="774"/>
      <c r="FFR35" s="774"/>
      <c r="FFS35" s="774"/>
      <c r="FFT35" s="774"/>
      <c r="FFU35" s="774"/>
      <c r="FFV35" s="774"/>
      <c r="FFW35" s="774"/>
      <c r="FFX35" s="774"/>
      <c r="FFY35" s="774"/>
      <c r="FFZ35" s="774"/>
      <c r="FGA35" s="774"/>
      <c r="FGB35" s="774"/>
      <c r="FGC35" s="774"/>
      <c r="FGD35" s="774"/>
      <c r="FGE35" s="774"/>
      <c r="FGF35" s="774"/>
      <c r="FGG35" s="774"/>
      <c r="FGH35" s="774"/>
      <c r="FGI35" s="774"/>
      <c r="FGJ35" s="774"/>
      <c r="FGK35" s="774"/>
      <c r="FGL35" s="774"/>
      <c r="FGM35" s="774"/>
      <c r="FGN35" s="774"/>
      <c r="FGO35" s="774"/>
      <c r="FGP35" s="774"/>
      <c r="FGQ35" s="774"/>
      <c r="FGR35" s="774"/>
      <c r="FGS35" s="774"/>
      <c r="FGT35" s="774"/>
      <c r="FGU35" s="774"/>
      <c r="FGV35" s="774"/>
      <c r="FGW35" s="774"/>
      <c r="FGX35" s="774"/>
      <c r="FGY35" s="774"/>
      <c r="FGZ35" s="774"/>
      <c r="FHA35" s="774"/>
      <c r="FHB35" s="774"/>
      <c r="FHC35" s="774"/>
      <c r="FHD35" s="774"/>
      <c r="FHE35" s="774"/>
      <c r="FHF35" s="774"/>
      <c r="FHG35" s="774"/>
      <c r="FHH35" s="774"/>
      <c r="FHI35" s="774"/>
      <c r="FHJ35" s="774"/>
      <c r="FHK35" s="774"/>
      <c r="FHL35" s="774"/>
      <c r="FHM35" s="774"/>
      <c r="FHN35" s="774"/>
      <c r="FHO35" s="774"/>
      <c r="FHP35" s="774"/>
      <c r="FHQ35" s="774"/>
      <c r="FHR35" s="774"/>
      <c r="FHS35" s="774"/>
      <c r="FHT35" s="774"/>
      <c r="FHU35" s="774"/>
      <c r="FHV35" s="774"/>
      <c r="FHW35" s="774"/>
      <c r="FHX35" s="774"/>
      <c r="FHY35" s="774"/>
      <c r="FHZ35" s="774"/>
      <c r="FIA35" s="774"/>
      <c r="FIB35" s="774"/>
      <c r="FIC35" s="774"/>
      <c r="FID35" s="774"/>
      <c r="FIE35" s="774"/>
      <c r="FIF35" s="774"/>
      <c r="FIG35" s="774"/>
      <c r="FIH35" s="774"/>
      <c r="FII35" s="774"/>
      <c r="FIJ35" s="774"/>
      <c r="FIK35" s="774"/>
      <c r="FIL35" s="774"/>
      <c r="FIM35" s="774"/>
      <c r="FIN35" s="774"/>
      <c r="FIO35" s="774"/>
      <c r="FIP35" s="774"/>
      <c r="FIQ35" s="774"/>
      <c r="FIR35" s="774"/>
      <c r="FIS35" s="774"/>
      <c r="FIT35" s="774"/>
      <c r="FIU35" s="774"/>
      <c r="FIV35" s="774"/>
      <c r="FIW35" s="774"/>
      <c r="FIX35" s="774"/>
      <c r="FIY35" s="774"/>
      <c r="FIZ35" s="774"/>
      <c r="FJA35" s="774"/>
      <c r="FJB35" s="774"/>
      <c r="FJC35" s="774"/>
      <c r="FJD35" s="774"/>
      <c r="FJE35" s="774"/>
      <c r="FJF35" s="774"/>
      <c r="FJG35" s="774"/>
      <c r="FJH35" s="774"/>
      <c r="FJI35" s="774"/>
      <c r="FJJ35" s="774"/>
      <c r="FJK35" s="774"/>
      <c r="FJL35" s="774"/>
      <c r="FJM35" s="774"/>
      <c r="FJN35" s="774"/>
      <c r="FJO35" s="774"/>
      <c r="FJP35" s="774"/>
      <c r="FJQ35" s="774"/>
      <c r="FJR35" s="774"/>
      <c r="FJS35" s="774"/>
      <c r="FJT35" s="774"/>
      <c r="FJU35" s="774"/>
      <c r="FJV35" s="774"/>
      <c r="FJW35" s="774"/>
      <c r="FJX35" s="774"/>
      <c r="FJY35" s="774"/>
      <c r="FJZ35" s="774"/>
      <c r="FKA35" s="774"/>
      <c r="FKB35" s="774"/>
      <c r="FKC35" s="774"/>
      <c r="FKD35" s="774"/>
      <c r="FKE35" s="774"/>
      <c r="FKF35" s="774"/>
      <c r="FKG35" s="774"/>
      <c r="FKH35" s="774"/>
      <c r="FKI35" s="774"/>
      <c r="FKJ35" s="774"/>
      <c r="FKK35" s="774"/>
      <c r="FKL35" s="774"/>
      <c r="FKM35" s="774"/>
      <c r="FKN35" s="774"/>
      <c r="FKO35" s="774"/>
      <c r="FKP35" s="774"/>
      <c r="FKQ35" s="774"/>
      <c r="FKR35" s="774"/>
      <c r="FKS35" s="774"/>
      <c r="FKT35" s="774"/>
      <c r="FKU35" s="774"/>
      <c r="FKV35" s="774"/>
      <c r="FKW35" s="774"/>
      <c r="FKX35" s="774"/>
      <c r="FKY35" s="774"/>
      <c r="FKZ35" s="774"/>
      <c r="FLA35" s="774"/>
      <c r="FLB35" s="774"/>
      <c r="FLC35" s="774"/>
      <c r="FLD35" s="774"/>
      <c r="FLE35" s="774"/>
      <c r="FLF35" s="774"/>
      <c r="FLG35" s="774"/>
      <c r="FLH35" s="774"/>
      <c r="FLI35" s="774"/>
      <c r="FLJ35" s="774"/>
      <c r="FLK35" s="774"/>
      <c r="FLL35" s="774"/>
      <c r="FLM35" s="774"/>
      <c r="FLN35" s="774"/>
      <c r="FLO35" s="774"/>
      <c r="FLP35" s="774"/>
      <c r="FLQ35" s="774"/>
      <c r="FLR35" s="774"/>
      <c r="FLS35" s="774"/>
      <c r="FLT35" s="774"/>
      <c r="FLU35" s="774"/>
      <c r="FLV35" s="774"/>
      <c r="FLW35" s="774"/>
      <c r="FLX35" s="774"/>
      <c r="FLY35" s="774"/>
      <c r="FLZ35" s="774"/>
      <c r="FMA35" s="774"/>
      <c r="FMB35" s="774"/>
      <c r="FMC35" s="774"/>
      <c r="FMD35" s="774"/>
      <c r="FME35" s="774"/>
      <c r="FMF35" s="774"/>
      <c r="FMG35" s="774"/>
      <c r="FMH35" s="774"/>
      <c r="FMI35" s="774"/>
      <c r="FMJ35" s="774"/>
      <c r="FMK35" s="774"/>
      <c r="FML35" s="774"/>
      <c r="FMM35" s="774"/>
      <c r="FMN35" s="774"/>
      <c r="FMO35" s="774"/>
      <c r="FMP35" s="774"/>
      <c r="FMQ35" s="774"/>
      <c r="FMR35" s="774"/>
      <c r="FMS35" s="774"/>
      <c r="FMT35" s="774"/>
      <c r="FMU35" s="774"/>
      <c r="FMV35" s="774"/>
      <c r="FMW35" s="774"/>
      <c r="FMX35" s="774"/>
      <c r="FMY35" s="774"/>
      <c r="FMZ35" s="774"/>
      <c r="FNA35" s="774"/>
      <c r="FNB35" s="774"/>
      <c r="FNC35" s="774"/>
      <c r="FND35" s="774"/>
      <c r="FNE35" s="774"/>
      <c r="FNF35" s="774"/>
      <c r="FNG35" s="774"/>
      <c r="FNH35" s="774"/>
      <c r="FNI35" s="774"/>
      <c r="FNJ35" s="774"/>
      <c r="FNK35" s="774"/>
      <c r="FNL35" s="774"/>
      <c r="FNM35" s="774"/>
      <c r="FNN35" s="774"/>
      <c r="FNO35" s="774"/>
      <c r="FNP35" s="774"/>
      <c r="FNQ35" s="774"/>
      <c r="FNR35" s="774"/>
      <c r="FNS35" s="774"/>
      <c r="FNT35" s="774"/>
      <c r="FNU35" s="774"/>
      <c r="FNV35" s="774"/>
      <c r="FNW35" s="774"/>
      <c r="FNX35" s="774"/>
      <c r="FNY35" s="774"/>
      <c r="FNZ35" s="774"/>
      <c r="FOA35" s="774"/>
      <c r="FOB35" s="774"/>
      <c r="FOC35" s="774"/>
      <c r="FOD35" s="774"/>
      <c r="FOE35" s="774"/>
      <c r="FOF35" s="774"/>
      <c r="FOG35" s="774"/>
      <c r="FOH35" s="774"/>
      <c r="FOI35" s="774"/>
      <c r="FOJ35" s="774"/>
      <c r="FOK35" s="774"/>
      <c r="FOL35" s="774"/>
      <c r="FOM35" s="774"/>
      <c r="FON35" s="774"/>
      <c r="FOO35" s="774"/>
      <c r="FOP35" s="774"/>
      <c r="FOQ35" s="774"/>
      <c r="FOR35" s="774"/>
      <c r="FOS35" s="774"/>
      <c r="FOT35" s="774"/>
      <c r="FOU35" s="774"/>
      <c r="FOV35" s="774"/>
      <c r="FOW35" s="774"/>
      <c r="FOX35" s="774"/>
      <c r="FOY35" s="774"/>
      <c r="FOZ35" s="774"/>
      <c r="FPA35" s="774"/>
      <c r="FPB35" s="774"/>
      <c r="FPC35" s="774"/>
      <c r="FPD35" s="774"/>
      <c r="FPE35" s="774"/>
      <c r="FPF35" s="774"/>
      <c r="FPG35" s="774"/>
      <c r="FPH35" s="774"/>
      <c r="FPI35" s="774"/>
      <c r="FPJ35" s="774"/>
      <c r="FPK35" s="774"/>
      <c r="FPL35" s="774"/>
      <c r="FPM35" s="774"/>
      <c r="FPN35" s="774"/>
      <c r="FPO35" s="774"/>
      <c r="FPP35" s="774"/>
      <c r="FPQ35" s="774"/>
      <c r="FPR35" s="774"/>
      <c r="FPS35" s="774"/>
      <c r="FPT35" s="774"/>
      <c r="FPU35" s="774"/>
      <c r="FPV35" s="774"/>
      <c r="FPW35" s="774"/>
      <c r="FPX35" s="774"/>
      <c r="FPY35" s="774"/>
      <c r="FPZ35" s="774"/>
      <c r="FQA35" s="774"/>
      <c r="FQB35" s="774"/>
      <c r="FQC35" s="774"/>
      <c r="FQD35" s="774"/>
      <c r="FQE35" s="774"/>
      <c r="FQF35" s="774"/>
      <c r="FQG35" s="774"/>
      <c r="FQH35" s="774"/>
      <c r="FQI35" s="774"/>
      <c r="FQJ35" s="774"/>
      <c r="FQK35" s="774"/>
      <c r="FQL35" s="774"/>
      <c r="FQM35" s="774"/>
      <c r="FQN35" s="774"/>
      <c r="FQO35" s="774"/>
      <c r="FQP35" s="774"/>
      <c r="FQQ35" s="774"/>
      <c r="FQR35" s="774"/>
      <c r="FQS35" s="774"/>
      <c r="FQT35" s="774"/>
      <c r="FQU35" s="774"/>
      <c r="FQV35" s="774"/>
      <c r="FQW35" s="774"/>
      <c r="FQX35" s="774"/>
      <c r="FQY35" s="774"/>
      <c r="FQZ35" s="774"/>
      <c r="FRA35" s="774"/>
      <c r="FRB35" s="774"/>
      <c r="FRC35" s="774"/>
      <c r="FRD35" s="774"/>
      <c r="FRE35" s="774"/>
      <c r="FRF35" s="774"/>
      <c r="FRG35" s="774"/>
      <c r="FRH35" s="774"/>
      <c r="FRI35" s="774"/>
      <c r="FRJ35" s="774"/>
      <c r="FRK35" s="774"/>
      <c r="FRL35" s="774"/>
      <c r="FRM35" s="774"/>
      <c r="FRN35" s="774"/>
      <c r="FRO35" s="774"/>
      <c r="FRP35" s="774"/>
      <c r="FRQ35" s="774"/>
      <c r="FRR35" s="774"/>
      <c r="FRS35" s="774"/>
      <c r="FRT35" s="774"/>
      <c r="FRU35" s="774"/>
      <c r="FRV35" s="774"/>
      <c r="FRW35" s="774"/>
      <c r="FRX35" s="774"/>
      <c r="FRY35" s="774"/>
      <c r="FRZ35" s="774"/>
      <c r="FSA35" s="774"/>
      <c r="FSB35" s="774"/>
      <c r="FSC35" s="774"/>
      <c r="FSD35" s="774"/>
      <c r="FSE35" s="774"/>
      <c r="FSF35" s="774"/>
      <c r="FSG35" s="774"/>
      <c r="FSH35" s="774"/>
      <c r="FSI35" s="774"/>
      <c r="FSJ35" s="774"/>
      <c r="FSK35" s="774"/>
      <c r="FSL35" s="774"/>
      <c r="FSM35" s="774"/>
      <c r="FSN35" s="774"/>
      <c r="FSO35" s="774"/>
      <c r="FSP35" s="774"/>
      <c r="FSQ35" s="774"/>
      <c r="FSR35" s="774"/>
      <c r="FSS35" s="774"/>
      <c r="FST35" s="774"/>
      <c r="FSU35" s="774"/>
      <c r="FSV35" s="774"/>
      <c r="FSW35" s="774"/>
      <c r="FSX35" s="774"/>
      <c r="FSY35" s="774"/>
      <c r="FSZ35" s="774"/>
      <c r="FTA35" s="774"/>
      <c r="FTB35" s="774"/>
      <c r="FTC35" s="774"/>
      <c r="FTD35" s="774"/>
      <c r="FTE35" s="774"/>
      <c r="FTF35" s="774"/>
      <c r="FTG35" s="774"/>
      <c r="FTH35" s="774"/>
      <c r="FTI35" s="774"/>
      <c r="FTJ35" s="774"/>
      <c r="FTK35" s="774"/>
      <c r="FTL35" s="774"/>
      <c r="FTM35" s="774"/>
      <c r="FTN35" s="774"/>
      <c r="FTO35" s="774"/>
      <c r="FTP35" s="774"/>
      <c r="FTQ35" s="774"/>
      <c r="FTR35" s="774"/>
      <c r="FTS35" s="774"/>
      <c r="FTT35" s="774"/>
      <c r="FTU35" s="774"/>
      <c r="FTV35" s="774"/>
      <c r="FTW35" s="774"/>
      <c r="FTX35" s="774"/>
      <c r="FTY35" s="774"/>
      <c r="FTZ35" s="774"/>
      <c r="FUA35" s="774"/>
      <c r="FUB35" s="774"/>
      <c r="FUC35" s="774"/>
      <c r="FUD35" s="774"/>
      <c r="FUE35" s="774"/>
      <c r="FUF35" s="774"/>
      <c r="FUG35" s="774"/>
      <c r="FUH35" s="774"/>
      <c r="FUI35" s="774"/>
      <c r="FUJ35" s="774"/>
      <c r="FUK35" s="774"/>
      <c r="FUL35" s="774"/>
      <c r="FUM35" s="774"/>
      <c r="FUN35" s="774"/>
      <c r="FUO35" s="774"/>
      <c r="FUP35" s="774"/>
      <c r="FUQ35" s="774"/>
      <c r="FUR35" s="774"/>
      <c r="FUS35" s="774"/>
      <c r="FUT35" s="774"/>
      <c r="FUU35" s="774"/>
      <c r="FUV35" s="774"/>
      <c r="FUW35" s="774"/>
      <c r="FUX35" s="774"/>
      <c r="FUY35" s="774"/>
      <c r="FUZ35" s="774"/>
      <c r="FVA35" s="774"/>
      <c r="FVB35" s="774"/>
      <c r="FVC35" s="774"/>
      <c r="FVD35" s="774"/>
      <c r="FVE35" s="774"/>
      <c r="FVF35" s="774"/>
      <c r="FVG35" s="774"/>
      <c r="FVH35" s="774"/>
      <c r="FVI35" s="774"/>
      <c r="FVJ35" s="774"/>
      <c r="FVK35" s="774"/>
      <c r="FVL35" s="774"/>
      <c r="FVM35" s="774"/>
      <c r="FVN35" s="774"/>
      <c r="FVO35" s="774"/>
      <c r="FVP35" s="774"/>
      <c r="FVQ35" s="774"/>
      <c r="FVR35" s="774"/>
      <c r="FVS35" s="774"/>
      <c r="FVT35" s="774"/>
      <c r="FVU35" s="774"/>
      <c r="FVV35" s="774"/>
      <c r="FVW35" s="774"/>
      <c r="FVX35" s="774"/>
      <c r="FVY35" s="774"/>
      <c r="FVZ35" s="774"/>
      <c r="FWA35" s="774"/>
      <c r="FWB35" s="774"/>
      <c r="FWC35" s="774"/>
      <c r="FWD35" s="774"/>
      <c r="FWE35" s="774"/>
      <c r="FWF35" s="774"/>
      <c r="FWG35" s="774"/>
      <c r="FWH35" s="774"/>
      <c r="FWI35" s="774"/>
      <c r="FWJ35" s="774"/>
      <c r="FWK35" s="774"/>
      <c r="FWL35" s="774"/>
      <c r="FWM35" s="774"/>
      <c r="FWN35" s="774"/>
      <c r="FWO35" s="774"/>
      <c r="FWP35" s="774"/>
      <c r="FWQ35" s="774"/>
      <c r="FWR35" s="774"/>
      <c r="FWS35" s="774"/>
      <c r="FWT35" s="774"/>
      <c r="FWU35" s="774"/>
      <c r="FWV35" s="774"/>
      <c r="FWW35" s="774"/>
      <c r="FWX35" s="774"/>
      <c r="FWY35" s="774"/>
      <c r="FWZ35" s="774"/>
      <c r="FXA35" s="774"/>
      <c r="FXB35" s="774"/>
      <c r="FXC35" s="774"/>
      <c r="FXD35" s="774"/>
      <c r="FXE35" s="774"/>
      <c r="FXF35" s="774"/>
      <c r="FXG35" s="774"/>
      <c r="FXH35" s="774"/>
      <c r="FXI35" s="774"/>
      <c r="FXJ35" s="774"/>
      <c r="FXK35" s="774"/>
      <c r="FXL35" s="774"/>
      <c r="FXM35" s="774"/>
      <c r="FXN35" s="774"/>
      <c r="FXO35" s="774"/>
      <c r="FXP35" s="774"/>
      <c r="FXQ35" s="774"/>
      <c r="FXR35" s="774"/>
      <c r="FXS35" s="774"/>
      <c r="FXT35" s="774"/>
      <c r="FXU35" s="774"/>
      <c r="FXV35" s="774"/>
      <c r="FXW35" s="774"/>
      <c r="FXX35" s="774"/>
      <c r="FXY35" s="774"/>
      <c r="FXZ35" s="774"/>
      <c r="FYA35" s="774"/>
      <c r="FYB35" s="774"/>
      <c r="FYC35" s="774"/>
      <c r="FYD35" s="774"/>
      <c r="FYE35" s="774"/>
      <c r="FYF35" s="774"/>
      <c r="FYG35" s="774"/>
      <c r="FYH35" s="774"/>
      <c r="FYI35" s="774"/>
      <c r="FYJ35" s="774"/>
      <c r="FYK35" s="774"/>
      <c r="FYL35" s="774"/>
      <c r="FYM35" s="774"/>
      <c r="FYN35" s="774"/>
      <c r="FYO35" s="774"/>
      <c r="FYP35" s="774"/>
      <c r="FYQ35" s="774"/>
      <c r="FYR35" s="774"/>
      <c r="FYS35" s="774"/>
      <c r="FYT35" s="774"/>
      <c r="FYU35" s="774"/>
      <c r="FYV35" s="774"/>
      <c r="FYW35" s="774"/>
      <c r="FYX35" s="774"/>
      <c r="FYY35" s="774"/>
      <c r="FYZ35" s="774"/>
      <c r="FZA35" s="774"/>
      <c r="FZB35" s="774"/>
      <c r="FZC35" s="774"/>
      <c r="FZD35" s="774"/>
      <c r="FZE35" s="774"/>
      <c r="FZF35" s="774"/>
      <c r="FZG35" s="774"/>
      <c r="FZH35" s="774"/>
      <c r="FZI35" s="774"/>
      <c r="FZJ35" s="774"/>
      <c r="FZK35" s="774"/>
      <c r="FZL35" s="774"/>
      <c r="FZM35" s="774"/>
      <c r="FZN35" s="774"/>
      <c r="FZO35" s="774"/>
      <c r="FZP35" s="774"/>
      <c r="FZQ35" s="774"/>
      <c r="FZR35" s="774"/>
      <c r="FZS35" s="774"/>
      <c r="FZT35" s="774"/>
      <c r="FZU35" s="774"/>
      <c r="FZV35" s="774"/>
      <c r="FZW35" s="774"/>
      <c r="FZX35" s="774"/>
      <c r="FZY35" s="774"/>
      <c r="FZZ35" s="774"/>
      <c r="GAA35" s="774"/>
      <c r="GAB35" s="774"/>
      <c r="GAC35" s="774"/>
      <c r="GAD35" s="774"/>
      <c r="GAE35" s="774"/>
      <c r="GAF35" s="774"/>
      <c r="GAG35" s="774"/>
      <c r="GAH35" s="774"/>
      <c r="GAI35" s="774"/>
      <c r="GAJ35" s="774"/>
      <c r="GAK35" s="774"/>
      <c r="GAL35" s="774"/>
      <c r="GAM35" s="774"/>
      <c r="GAN35" s="774"/>
      <c r="GAO35" s="774"/>
      <c r="GAP35" s="774"/>
      <c r="GAQ35" s="774"/>
      <c r="GAR35" s="774"/>
      <c r="GAS35" s="774"/>
      <c r="GAT35" s="774"/>
      <c r="GAU35" s="774"/>
      <c r="GAV35" s="774"/>
      <c r="GAW35" s="774"/>
      <c r="GAX35" s="774"/>
      <c r="GAY35" s="774"/>
      <c r="GAZ35" s="774"/>
      <c r="GBA35" s="774"/>
      <c r="GBB35" s="774"/>
      <c r="GBC35" s="774"/>
      <c r="GBD35" s="774"/>
      <c r="GBE35" s="774"/>
      <c r="GBF35" s="774"/>
      <c r="GBG35" s="774"/>
      <c r="GBH35" s="774"/>
      <c r="GBI35" s="774"/>
      <c r="GBJ35" s="774"/>
      <c r="GBK35" s="774"/>
      <c r="GBL35" s="774"/>
      <c r="GBM35" s="774"/>
      <c r="GBN35" s="774"/>
      <c r="GBO35" s="774"/>
      <c r="GBP35" s="774"/>
      <c r="GBQ35" s="774"/>
      <c r="GBR35" s="774"/>
      <c r="GBS35" s="774"/>
      <c r="GBT35" s="774"/>
      <c r="GBU35" s="774"/>
      <c r="GBV35" s="774"/>
      <c r="GBW35" s="774"/>
      <c r="GBX35" s="774"/>
      <c r="GBY35" s="774"/>
      <c r="GBZ35" s="774"/>
      <c r="GCA35" s="774"/>
      <c r="GCB35" s="774"/>
      <c r="GCC35" s="774"/>
      <c r="GCD35" s="774"/>
      <c r="GCE35" s="774"/>
      <c r="GCF35" s="774"/>
      <c r="GCG35" s="774"/>
      <c r="GCH35" s="774"/>
      <c r="GCI35" s="774"/>
      <c r="GCJ35" s="774"/>
      <c r="GCK35" s="774"/>
      <c r="GCL35" s="774"/>
      <c r="GCM35" s="774"/>
      <c r="GCN35" s="774"/>
      <c r="GCO35" s="774"/>
      <c r="GCP35" s="774"/>
      <c r="GCQ35" s="774"/>
      <c r="GCR35" s="774"/>
      <c r="GCS35" s="774"/>
      <c r="GCT35" s="774"/>
      <c r="GCU35" s="774"/>
      <c r="GCV35" s="774"/>
      <c r="GCW35" s="774"/>
      <c r="GCX35" s="774"/>
      <c r="GCY35" s="774"/>
      <c r="GCZ35" s="774"/>
      <c r="GDA35" s="774"/>
      <c r="GDB35" s="774"/>
      <c r="GDC35" s="774"/>
      <c r="GDD35" s="774"/>
      <c r="GDE35" s="774"/>
      <c r="GDF35" s="774"/>
      <c r="GDG35" s="774"/>
      <c r="GDH35" s="774"/>
      <c r="GDI35" s="774"/>
      <c r="GDJ35" s="774"/>
      <c r="GDK35" s="774"/>
      <c r="GDL35" s="774"/>
      <c r="GDM35" s="774"/>
      <c r="GDN35" s="774"/>
      <c r="GDO35" s="774"/>
      <c r="GDP35" s="774"/>
      <c r="GDQ35" s="774"/>
      <c r="GDR35" s="774"/>
      <c r="GDS35" s="774"/>
      <c r="GDT35" s="774"/>
      <c r="GDU35" s="774"/>
      <c r="GDV35" s="774"/>
      <c r="GDW35" s="774"/>
      <c r="GDX35" s="774"/>
      <c r="GDY35" s="774"/>
      <c r="GDZ35" s="774"/>
      <c r="GEA35" s="774"/>
      <c r="GEB35" s="774"/>
      <c r="GEC35" s="774"/>
      <c r="GED35" s="774"/>
      <c r="GEE35" s="774"/>
      <c r="GEF35" s="774"/>
      <c r="GEG35" s="774"/>
      <c r="GEH35" s="774"/>
      <c r="GEI35" s="774"/>
      <c r="GEJ35" s="774"/>
      <c r="GEK35" s="774"/>
      <c r="GEL35" s="774"/>
      <c r="GEM35" s="774"/>
      <c r="GEN35" s="774"/>
      <c r="GEO35" s="774"/>
      <c r="GEP35" s="774"/>
      <c r="GEQ35" s="774"/>
      <c r="GER35" s="774"/>
      <c r="GES35" s="774"/>
      <c r="GET35" s="774"/>
      <c r="GEU35" s="774"/>
      <c r="GEV35" s="774"/>
      <c r="GEW35" s="774"/>
      <c r="GEX35" s="774"/>
      <c r="GEY35" s="774"/>
      <c r="GEZ35" s="774"/>
      <c r="GFA35" s="774"/>
      <c r="GFB35" s="774"/>
      <c r="GFC35" s="774"/>
      <c r="GFD35" s="774"/>
      <c r="GFE35" s="774"/>
      <c r="GFF35" s="774"/>
      <c r="GFG35" s="774"/>
      <c r="GFH35" s="774"/>
      <c r="GFI35" s="774"/>
      <c r="GFJ35" s="774"/>
      <c r="GFK35" s="774"/>
      <c r="GFL35" s="774"/>
      <c r="GFM35" s="774"/>
      <c r="GFN35" s="774"/>
      <c r="GFO35" s="774"/>
      <c r="GFP35" s="774"/>
      <c r="GFQ35" s="774"/>
      <c r="GFR35" s="774"/>
      <c r="GFS35" s="774"/>
      <c r="GFT35" s="774"/>
      <c r="GFU35" s="774"/>
      <c r="GFV35" s="774"/>
      <c r="GFW35" s="774"/>
      <c r="GFX35" s="774"/>
      <c r="GFY35" s="774"/>
      <c r="GFZ35" s="774"/>
      <c r="GGA35" s="774"/>
      <c r="GGB35" s="774"/>
      <c r="GGC35" s="774"/>
      <c r="GGD35" s="774"/>
      <c r="GGE35" s="774"/>
      <c r="GGF35" s="774"/>
      <c r="GGG35" s="774"/>
      <c r="GGH35" s="774"/>
      <c r="GGI35" s="774"/>
      <c r="GGJ35" s="774"/>
      <c r="GGK35" s="774"/>
      <c r="GGL35" s="774"/>
      <c r="GGM35" s="774"/>
      <c r="GGN35" s="774"/>
      <c r="GGO35" s="774"/>
      <c r="GGP35" s="774"/>
      <c r="GGQ35" s="774"/>
      <c r="GGR35" s="774"/>
      <c r="GGS35" s="774"/>
      <c r="GGT35" s="774"/>
      <c r="GGU35" s="774"/>
      <c r="GGV35" s="774"/>
      <c r="GGW35" s="774"/>
      <c r="GGX35" s="774"/>
      <c r="GGY35" s="774"/>
      <c r="GGZ35" s="774"/>
      <c r="GHA35" s="774"/>
      <c r="GHB35" s="774"/>
      <c r="GHC35" s="774"/>
      <c r="GHD35" s="774"/>
      <c r="GHE35" s="774"/>
      <c r="GHF35" s="774"/>
      <c r="GHG35" s="774"/>
      <c r="GHH35" s="774"/>
      <c r="GHI35" s="774"/>
      <c r="GHJ35" s="774"/>
      <c r="GHK35" s="774"/>
      <c r="GHL35" s="774"/>
      <c r="GHM35" s="774"/>
      <c r="GHN35" s="774"/>
      <c r="GHO35" s="774"/>
      <c r="GHP35" s="774"/>
      <c r="GHQ35" s="774"/>
      <c r="GHR35" s="774"/>
      <c r="GHS35" s="774"/>
      <c r="GHT35" s="774"/>
      <c r="GHU35" s="774"/>
      <c r="GHV35" s="774"/>
      <c r="GHW35" s="774"/>
      <c r="GHX35" s="774"/>
      <c r="GHY35" s="774"/>
      <c r="GHZ35" s="774"/>
      <c r="GIA35" s="774"/>
      <c r="GIB35" s="774"/>
      <c r="GIC35" s="774"/>
      <c r="GID35" s="774"/>
      <c r="GIE35" s="774"/>
      <c r="GIF35" s="774"/>
      <c r="GIG35" s="774"/>
      <c r="GIH35" s="774"/>
      <c r="GII35" s="774"/>
      <c r="GIJ35" s="774"/>
      <c r="GIK35" s="774"/>
      <c r="GIL35" s="774"/>
      <c r="GIM35" s="774"/>
      <c r="GIN35" s="774"/>
      <c r="GIO35" s="774"/>
      <c r="GIP35" s="774"/>
      <c r="GIQ35" s="774"/>
      <c r="GIR35" s="774"/>
      <c r="GIS35" s="774"/>
      <c r="GIT35" s="774"/>
      <c r="GIU35" s="774"/>
      <c r="GIV35" s="774"/>
      <c r="GIW35" s="774"/>
      <c r="GIX35" s="774"/>
      <c r="GIY35" s="774"/>
      <c r="GIZ35" s="774"/>
      <c r="GJA35" s="774"/>
      <c r="GJB35" s="774"/>
      <c r="GJC35" s="774"/>
      <c r="GJD35" s="774"/>
      <c r="GJE35" s="774"/>
      <c r="GJF35" s="774"/>
      <c r="GJG35" s="774"/>
      <c r="GJH35" s="774"/>
      <c r="GJI35" s="774"/>
      <c r="GJJ35" s="774"/>
      <c r="GJK35" s="774"/>
      <c r="GJL35" s="774"/>
      <c r="GJM35" s="774"/>
      <c r="GJN35" s="774"/>
      <c r="GJO35" s="774"/>
      <c r="GJP35" s="774"/>
      <c r="GJQ35" s="774"/>
      <c r="GJR35" s="774"/>
      <c r="GJS35" s="774"/>
      <c r="GJT35" s="774"/>
      <c r="GJU35" s="774"/>
      <c r="GJV35" s="774"/>
      <c r="GJW35" s="774"/>
      <c r="GJX35" s="774"/>
      <c r="GJY35" s="774"/>
      <c r="GJZ35" s="774"/>
      <c r="GKA35" s="774"/>
      <c r="GKB35" s="774"/>
      <c r="GKC35" s="774"/>
      <c r="GKD35" s="774"/>
      <c r="GKE35" s="774"/>
      <c r="GKF35" s="774"/>
      <c r="GKG35" s="774"/>
      <c r="GKH35" s="774"/>
      <c r="GKI35" s="774"/>
      <c r="GKJ35" s="774"/>
      <c r="GKK35" s="774"/>
      <c r="GKL35" s="774"/>
      <c r="GKM35" s="774"/>
      <c r="GKN35" s="774"/>
      <c r="GKO35" s="774"/>
      <c r="GKP35" s="774"/>
      <c r="GKQ35" s="774"/>
      <c r="GKR35" s="774"/>
      <c r="GKS35" s="774"/>
      <c r="GKT35" s="774"/>
      <c r="GKU35" s="774"/>
      <c r="GKV35" s="774"/>
      <c r="GKW35" s="774"/>
      <c r="GKX35" s="774"/>
      <c r="GKY35" s="774"/>
      <c r="GKZ35" s="774"/>
      <c r="GLA35" s="774"/>
      <c r="GLB35" s="774"/>
      <c r="GLC35" s="774"/>
      <c r="GLD35" s="774"/>
      <c r="GLE35" s="774"/>
      <c r="GLF35" s="774"/>
      <c r="GLG35" s="774"/>
      <c r="GLH35" s="774"/>
      <c r="GLI35" s="774"/>
      <c r="GLJ35" s="774"/>
      <c r="GLK35" s="774"/>
      <c r="GLL35" s="774"/>
      <c r="GLM35" s="774"/>
      <c r="GLN35" s="774"/>
      <c r="GLO35" s="774"/>
      <c r="GLP35" s="774"/>
      <c r="GLQ35" s="774"/>
      <c r="GLR35" s="774"/>
      <c r="GLS35" s="774"/>
      <c r="GLT35" s="774"/>
      <c r="GLU35" s="774"/>
      <c r="GLV35" s="774"/>
      <c r="GLW35" s="774"/>
      <c r="GLX35" s="774"/>
      <c r="GLY35" s="774"/>
      <c r="GLZ35" s="774"/>
      <c r="GMA35" s="774"/>
      <c r="GMB35" s="774"/>
      <c r="GMC35" s="774"/>
      <c r="GMD35" s="774"/>
      <c r="GME35" s="774"/>
      <c r="GMF35" s="774"/>
      <c r="GMG35" s="774"/>
      <c r="GMH35" s="774"/>
      <c r="GMI35" s="774"/>
      <c r="GMJ35" s="774"/>
      <c r="GMK35" s="774"/>
      <c r="GML35" s="774"/>
      <c r="GMM35" s="774"/>
      <c r="GMN35" s="774"/>
      <c r="GMO35" s="774"/>
      <c r="GMP35" s="774"/>
      <c r="GMQ35" s="774"/>
      <c r="GMR35" s="774"/>
      <c r="GMS35" s="774"/>
      <c r="GMT35" s="774"/>
      <c r="GMU35" s="774"/>
      <c r="GMV35" s="774"/>
      <c r="GMW35" s="774"/>
      <c r="GMX35" s="774"/>
      <c r="GMY35" s="774"/>
      <c r="GMZ35" s="774"/>
      <c r="GNA35" s="774"/>
      <c r="GNB35" s="774"/>
      <c r="GNC35" s="774"/>
      <c r="GND35" s="774"/>
      <c r="GNE35" s="774"/>
      <c r="GNF35" s="774"/>
      <c r="GNG35" s="774"/>
      <c r="GNH35" s="774"/>
      <c r="GNI35" s="774"/>
      <c r="GNJ35" s="774"/>
      <c r="GNK35" s="774"/>
      <c r="GNL35" s="774"/>
      <c r="GNM35" s="774"/>
      <c r="GNN35" s="774"/>
      <c r="GNO35" s="774"/>
      <c r="GNP35" s="774"/>
      <c r="GNQ35" s="774"/>
      <c r="GNR35" s="774"/>
      <c r="GNS35" s="774"/>
      <c r="GNT35" s="774"/>
      <c r="GNU35" s="774"/>
      <c r="GNV35" s="774"/>
      <c r="GNW35" s="774"/>
      <c r="GNX35" s="774"/>
      <c r="GNY35" s="774"/>
      <c r="GNZ35" s="774"/>
      <c r="GOA35" s="774"/>
      <c r="GOB35" s="774"/>
      <c r="GOC35" s="774"/>
      <c r="GOD35" s="774"/>
      <c r="GOE35" s="774"/>
      <c r="GOF35" s="774"/>
      <c r="GOG35" s="774"/>
      <c r="GOH35" s="774"/>
      <c r="GOI35" s="774"/>
      <c r="GOJ35" s="774"/>
      <c r="GOK35" s="774"/>
      <c r="GOL35" s="774"/>
      <c r="GOM35" s="774"/>
      <c r="GON35" s="774"/>
      <c r="GOO35" s="774"/>
      <c r="GOP35" s="774"/>
      <c r="GOQ35" s="774"/>
      <c r="GOR35" s="774"/>
      <c r="GOS35" s="774"/>
      <c r="GOT35" s="774"/>
      <c r="GOU35" s="774"/>
      <c r="GOV35" s="774"/>
      <c r="GOW35" s="774"/>
      <c r="GOX35" s="774"/>
      <c r="GOY35" s="774"/>
      <c r="GOZ35" s="774"/>
      <c r="GPA35" s="774"/>
      <c r="GPB35" s="774"/>
      <c r="GPC35" s="774"/>
      <c r="GPD35" s="774"/>
      <c r="GPE35" s="774"/>
      <c r="GPF35" s="774"/>
      <c r="GPG35" s="774"/>
      <c r="GPH35" s="774"/>
      <c r="GPI35" s="774"/>
      <c r="GPJ35" s="774"/>
      <c r="GPK35" s="774"/>
      <c r="GPL35" s="774"/>
      <c r="GPM35" s="774"/>
      <c r="GPN35" s="774"/>
      <c r="GPO35" s="774"/>
      <c r="GPP35" s="774"/>
      <c r="GPQ35" s="774"/>
      <c r="GPR35" s="774"/>
      <c r="GPS35" s="774"/>
      <c r="GPT35" s="774"/>
      <c r="GPU35" s="774"/>
      <c r="GPV35" s="774"/>
      <c r="GPW35" s="774"/>
      <c r="GPX35" s="774"/>
      <c r="GPY35" s="774"/>
      <c r="GPZ35" s="774"/>
      <c r="GQA35" s="774"/>
      <c r="GQB35" s="774"/>
      <c r="GQC35" s="774"/>
      <c r="GQD35" s="774"/>
      <c r="GQE35" s="774"/>
      <c r="GQF35" s="774"/>
      <c r="GQG35" s="774"/>
      <c r="GQH35" s="774"/>
      <c r="GQI35" s="774"/>
      <c r="GQJ35" s="774"/>
      <c r="GQK35" s="774"/>
      <c r="GQL35" s="774"/>
      <c r="GQM35" s="774"/>
      <c r="GQN35" s="774"/>
      <c r="GQO35" s="774"/>
      <c r="GQP35" s="774"/>
      <c r="GQQ35" s="774"/>
      <c r="GQR35" s="774"/>
      <c r="GQS35" s="774"/>
      <c r="GQT35" s="774"/>
      <c r="GQU35" s="774"/>
      <c r="GQV35" s="774"/>
      <c r="GQW35" s="774"/>
      <c r="GQX35" s="774"/>
      <c r="GQY35" s="774"/>
      <c r="GQZ35" s="774"/>
      <c r="GRA35" s="774"/>
      <c r="GRB35" s="774"/>
      <c r="GRC35" s="774"/>
      <c r="GRD35" s="774"/>
      <c r="GRE35" s="774"/>
      <c r="GRF35" s="774"/>
      <c r="GRG35" s="774"/>
      <c r="GRH35" s="774"/>
      <c r="GRI35" s="774"/>
      <c r="GRJ35" s="774"/>
      <c r="GRK35" s="774"/>
      <c r="GRL35" s="774"/>
      <c r="GRM35" s="774"/>
      <c r="GRN35" s="774"/>
      <c r="GRO35" s="774"/>
      <c r="GRP35" s="774"/>
      <c r="GRQ35" s="774"/>
      <c r="GRR35" s="774"/>
      <c r="GRS35" s="774"/>
      <c r="GRT35" s="774"/>
      <c r="GRU35" s="774"/>
      <c r="GRV35" s="774"/>
      <c r="GRW35" s="774"/>
      <c r="GRX35" s="774"/>
      <c r="GRY35" s="774"/>
      <c r="GRZ35" s="774"/>
      <c r="GSA35" s="774"/>
      <c r="GSB35" s="774"/>
      <c r="GSC35" s="774"/>
      <c r="GSD35" s="774"/>
      <c r="GSE35" s="774"/>
      <c r="GSF35" s="774"/>
      <c r="GSG35" s="774"/>
      <c r="GSH35" s="774"/>
      <c r="GSI35" s="774"/>
      <c r="GSJ35" s="774"/>
      <c r="GSK35" s="774"/>
      <c r="GSL35" s="774"/>
      <c r="GSM35" s="774"/>
      <c r="GSN35" s="774"/>
      <c r="GSO35" s="774"/>
      <c r="GSP35" s="774"/>
      <c r="GSQ35" s="774"/>
      <c r="GSR35" s="774"/>
      <c r="GSS35" s="774"/>
      <c r="GST35" s="774"/>
      <c r="GSU35" s="774"/>
      <c r="GSV35" s="774"/>
      <c r="GSW35" s="774"/>
      <c r="GSX35" s="774"/>
      <c r="GSY35" s="774"/>
      <c r="GSZ35" s="774"/>
      <c r="GTA35" s="774"/>
      <c r="GTB35" s="774"/>
      <c r="GTC35" s="774"/>
      <c r="GTD35" s="774"/>
      <c r="GTE35" s="774"/>
      <c r="GTF35" s="774"/>
      <c r="GTG35" s="774"/>
      <c r="GTH35" s="774"/>
      <c r="GTI35" s="774"/>
      <c r="GTJ35" s="774"/>
      <c r="GTK35" s="774"/>
      <c r="GTL35" s="774"/>
      <c r="GTM35" s="774"/>
      <c r="GTN35" s="774"/>
      <c r="GTO35" s="774"/>
      <c r="GTP35" s="774"/>
      <c r="GTQ35" s="774"/>
      <c r="GTR35" s="774"/>
      <c r="GTS35" s="774"/>
      <c r="GTT35" s="774"/>
      <c r="GTU35" s="774"/>
      <c r="GTV35" s="774"/>
      <c r="GTW35" s="774"/>
      <c r="GTX35" s="774"/>
      <c r="GTY35" s="774"/>
      <c r="GTZ35" s="774"/>
      <c r="GUA35" s="774"/>
      <c r="GUB35" s="774"/>
      <c r="GUC35" s="774"/>
      <c r="GUD35" s="774"/>
      <c r="GUE35" s="774"/>
      <c r="GUF35" s="774"/>
      <c r="GUG35" s="774"/>
      <c r="GUH35" s="774"/>
      <c r="GUI35" s="774"/>
      <c r="GUJ35" s="774"/>
      <c r="GUK35" s="774"/>
      <c r="GUL35" s="774"/>
      <c r="GUM35" s="774"/>
      <c r="GUN35" s="774"/>
      <c r="GUO35" s="774"/>
      <c r="GUP35" s="774"/>
      <c r="GUQ35" s="774"/>
      <c r="GUR35" s="774"/>
      <c r="GUS35" s="774"/>
      <c r="GUT35" s="774"/>
      <c r="GUU35" s="774"/>
      <c r="GUV35" s="774"/>
      <c r="GUW35" s="774"/>
      <c r="GUX35" s="774"/>
      <c r="GUY35" s="774"/>
      <c r="GUZ35" s="774"/>
      <c r="GVA35" s="774"/>
      <c r="GVB35" s="774"/>
      <c r="GVC35" s="774"/>
      <c r="GVD35" s="774"/>
      <c r="GVE35" s="774"/>
      <c r="GVF35" s="774"/>
      <c r="GVG35" s="774"/>
      <c r="GVH35" s="774"/>
      <c r="GVI35" s="774"/>
      <c r="GVJ35" s="774"/>
      <c r="GVK35" s="774"/>
      <c r="GVL35" s="774"/>
      <c r="GVM35" s="774"/>
      <c r="GVN35" s="774"/>
      <c r="GVO35" s="774"/>
      <c r="GVP35" s="774"/>
      <c r="GVQ35" s="774"/>
      <c r="GVR35" s="774"/>
      <c r="GVS35" s="774"/>
      <c r="GVT35" s="774"/>
      <c r="GVU35" s="774"/>
      <c r="GVV35" s="774"/>
      <c r="GVW35" s="774"/>
      <c r="GVX35" s="774"/>
      <c r="GVY35" s="774"/>
      <c r="GVZ35" s="774"/>
      <c r="GWA35" s="774"/>
      <c r="GWB35" s="774"/>
      <c r="GWC35" s="774"/>
      <c r="GWD35" s="774"/>
      <c r="GWE35" s="774"/>
      <c r="GWF35" s="774"/>
      <c r="GWG35" s="774"/>
      <c r="GWH35" s="774"/>
      <c r="GWI35" s="774"/>
      <c r="GWJ35" s="774"/>
      <c r="GWK35" s="774"/>
      <c r="GWL35" s="774"/>
      <c r="GWM35" s="774"/>
      <c r="GWN35" s="774"/>
      <c r="GWO35" s="774"/>
      <c r="GWP35" s="774"/>
      <c r="GWQ35" s="774"/>
      <c r="GWR35" s="774"/>
      <c r="GWS35" s="774"/>
      <c r="GWT35" s="774"/>
      <c r="GWU35" s="774"/>
      <c r="GWV35" s="774"/>
      <c r="GWW35" s="774"/>
      <c r="GWX35" s="774"/>
      <c r="GWY35" s="774"/>
      <c r="GWZ35" s="774"/>
      <c r="GXA35" s="774"/>
      <c r="GXB35" s="774"/>
      <c r="GXC35" s="774"/>
      <c r="GXD35" s="774"/>
      <c r="GXE35" s="774"/>
      <c r="GXF35" s="774"/>
      <c r="GXG35" s="774"/>
      <c r="GXH35" s="774"/>
      <c r="GXI35" s="774"/>
      <c r="GXJ35" s="774"/>
      <c r="GXK35" s="774"/>
      <c r="GXL35" s="774"/>
      <c r="GXM35" s="774"/>
      <c r="GXN35" s="774"/>
      <c r="GXO35" s="774"/>
      <c r="GXP35" s="774"/>
      <c r="GXQ35" s="774"/>
      <c r="GXR35" s="774"/>
      <c r="GXS35" s="774"/>
      <c r="GXT35" s="774"/>
      <c r="GXU35" s="774"/>
      <c r="GXV35" s="774"/>
      <c r="GXW35" s="774"/>
      <c r="GXX35" s="774"/>
      <c r="GXY35" s="774"/>
      <c r="GXZ35" s="774"/>
      <c r="GYA35" s="774"/>
      <c r="GYB35" s="774"/>
      <c r="GYC35" s="774"/>
      <c r="GYD35" s="774"/>
      <c r="GYE35" s="774"/>
      <c r="GYF35" s="774"/>
      <c r="GYG35" s="774"/>
      <c r="GYH35" s="774"/>
      <c r="GYI35" s="774"/>
      <c r="GYJ35" s="774"/>
      <c r="GYK35" s="774"/>
      <c r="GYL35" s="774"/>
      <c r="GYM35" s="774"/>
      <c r="GYN35" s="774"/>
      <c r="GYO35" s="774"/>
      <c r="GYP35" s="774"/>
      <c r="GYQ35" s="774"/>
      <c r="GYR35" s="774"/>
      <c r="GYS35" s="774"/>
      <c r="GYT35" s="774"/>
      <c r="GYU35" s="774"/>
      <c r="GYV35" s="774"/>
      <c r="GYW35" s="774"/>
      <c r="GYX35" s="774"/>
      <c r="GYY35" s="774"/>
      <c r="GYZ35" s="774"/>
      <c r="GZA35" s="774"/>
      <c r="GZB35" s="774"/>
      <c r="GZC35" s="774"/>
      <c r="GZD35" s="774"/>
      <c r="GZE35" s="774"/>
      <c r="GZF35" s="774"/>
      <c r="GZG35" s="774"/>
      <c r="GZH35" s="774"/>
      <c r="GZI35" s="774"/>
      <c r="GZJ35" s="774"/>
      <c r="GZK35" s="774"/>
      <c r="GZL35" s="774"/>
      <c r="GZM35" s="774"/>
      <c r="GZN35" s="774"/>
      <c r="GZO35" s="774"/>
      <c r="GZP35" s="774"/>
      <c r="GZQ35" s="774"/>
      <c r="GZR35" s="774"/>
      <c r="GZS35" s="774"/>
      <c r="GZT35" s="774"/>
      <c r="GZU35" s="774"/>
      <c r="GZV35" s="774"/>
      <c r="GZW35" s="774"/>
      <c r="GZX35" s="774"/>
      <c r="GZY35" s="774"/>
      <c r="GZZ35" s="774"/>
      <c r="HAA35" s="774"/>
      <c r="HAB35" s="774"/>
      <c r="HAC35" s="774"/>
      <c r="HAD35" s="774"/>
      <c r="HAE35" s="774"/>
      <c r="HAF35" s="774"/>
      <c r="HAG35" s="774"/>
      <c r="HAH35" s="774"/>
      <c r="HAI35" s="774"/>
      <c r="HAJ35" s="774"/>
      <c r="HAK35" s="774"/>
      <c r="HAL35" s="774"/>
      <c r="HAM35" s="774"/>
      <c r="HAN35" s="774"/>
      <c r="HAO35" s="774"/>
      <c r="HAP35" s="774"/>
      <c r="HAQ35" s="774"/>
      <c r="HAR35" s="774"/>
      <c r="HAS35" s="774"/>
      <c r="HAT35" s="774"/>
      <c r="HAU35" s="774"/>
      <c r="HAV35" s="774"/>
      <c r="HAW35" s="774"/>
      <c r="HAX35" s="774"/>
      <c r="HAY35" s="774"/>
      <c r="HAZ35" s="774"/>
      <c r="HBA35" s="774"/>
      <c r="HBB35" s="774"/>
      <c r="HBC35" s="774"/>
      <c r="HBD35" s="774"/>
      <c r="HBE35" s="774"/>
      <c r="HBF35" s="774"/>
      <c r="HBG35" s="774"/>
      <c r="HBH35" s="774"/>
      <c r="HBI35" s="774"/>
      <c r="HBJ35" s="774"/>
      <c r="HBK35" s="774"/>
      <c r="HBL35" s="774"/>
      <c r="HBM35" s="774"/>
      <c r="HBN35" s="774"/>
      <c r="HBO35" s="774"/>
      <c r="HBP35" s="774"/>
      <c r="HBQ35" s="774"/>
      <c r="HBR35" s="774"/>
      <c r="HBS35" s="774"/>
      <c r="HBT35" s="774"/>
      <c r="HBU35" s="774"/>
      <c r="HBV35" s="774"/>
      <c r="HBW35" s="774"/>
      <c r="HBX35" s="774"/>
      <c r="HBY35" s="774"/>
      <c r="HBZ35" s="774"/>
      <c r="HCA35" s="774"/>
      <c r="HCB35" s="774"/>
      <c r="HCC35" s="774"/>
      <c r="HCD35" s="774"/>
      <c r="HCE35" s="774"/>
      <c r="HCF35" s="774"/>
      <c r="HCG35" s="774"/>
      <c r="HCH35" s="774"/>
      <c r="HCI35" s="774"/>
      <c r="HCJ35" s="774"/>
      <c r="HCK35" s="774"/>
      <c r="HCL35" s="774"/>
      <c r="HCM35" s="774"/>
      <c r="HCN35" s="774"/>
      <c r="HCO35" s="774"/>
      <c r="HCP35" s="774"/>
      <c r="HCQ35" s="774"/>
      <c r="HCR35" s="774"/>
      <c r="HCS35" s="774"/>
      <c r="HCT35" s="774"/>
      <c r="HCU35" s="774"/>
      <c r="HCV35" s="774"/>
      <c r="HCW35" s="774"/>
      <c r="HCX35" s="774"/>
      <c r="HCY35" s="774"/>
      <c r="HCZ35" s="774"/>
      <c r="HDA35" s="774"/>
      <c r="HDB35" s="774"/>
      <c r="HDC35" s="774"/>
      <c r="HDD35" s="774"/>
      <c r="HDE35" s="774"/>
      <c r="HDF35" s="774"/>
      <c r="HDG35" s="774"/>
      <c r="HDH35" s="774"/>
      <c r="HDI35" s="774"/>
      <c r="HDJ35" s="774"/>
      <c r="HDK35" s="774"/>
      <c r="HDL35" s="774"/>
      <c r="HDM35" s="774"/>
      <c r="HDN35" s="774"/>
      <c r="HDO35" s="774"/>
      <c r="HDP35" s="774"/>
      <c r="HDQ35" s="774"/>
      <c r="HDR35" s="774"/>
      <c r="HDS35" s="774"/>
      <c r="HDT35" s="774"/>
      <c r="HDU35" s="774"/>
      <c r="HDV35" s="774"/>
      <c r="HDW35" s="774"/>
      <c r="HDX35" s="774"/>
      <c r="HDY35" s="774"/>
      <c r="HDZ35" s="774"/>
      <c r="HEA35" s="774"/>
      <c r="HEB35" s="774"/>
      <c r="HEC35" s="774"/>
      <c r="HED35" s="774"/>
      <c r="HEE35" s="774"/>
      <c r="HEF35" s="774"/>
      <c r="HEG35" s="774"/>
      <c r="HEH35" s="774"/>
      <c r="HEI35" s="774"/>
      <c r="HEJ35" s="774"/>
      <c r="HEK35" s="774"/>
      <c r="HEL35" s="774"/>
      <c r="HEM35" s="774"/>
      <c r="HEN35" s="774"/>
      <c r="HEO35" s="774"/>
      <c r="HEP35" s="774"/>
      <c r="HEQ35" s="774"/>
      <c r="HER35" s="774"/>
      <c r="HES35" s="774"/>
      <c r="HET35" s="774"/>
      <c r="HEU35" s="774"/>
      <c r="HEV35" s="774"/>
      <c r="HEW35" s="774"/>
      <c r="HEX35" s="774"/>
      <c r="HEY35" s="774"/>
      <c r="HEZ35" s="774"/>
      <c r="HFA35" s="774"/>
      <c r="HFB35" s="774"/>
      <c r="HFC35" s="774"/>
      <c r="HFD35" s="774"/>
      <c r="HFE35" s="774"/>
      <c r="HFF35" s="774"/>
      <c r="HFG35" s="774"/>
      <c r="HFH35" s="774"/>
      <c r="HFI35" s="774"/>
      <c r="HFJ35" s="774"/>
      <c r="HFK35" s="774"/>
      <c r="HFL35" s="774"/>
      <c r="HFM35" s="774"/>
      <c r="HFN35" s="774"/>
      <c r="HFO35" s="774"/>
      <c r="HFP35" s="774"/>
      <c r="HFQ35" s="774"/>
      <c r="HFR35" s="774"/>
      <c r="HFS35" s="774"/>
      <c r="HFT35" s="774"/>
      <c r="HFU35" s="774"/>
      <c r="HFV35" s="774"/>
      <c r="HFW35" s="774"/>
      <c r="HFX35" s="774"/>
      <c r="HFY35" s="774"/>
      <c r="HFZ35" s="774"/>
      <c r="HGA35" s="774"/>
      <c r="HGB35" s="774"/>
      <c r="HGC35" s="774"/>
      <c r="HGD35" s="774"/>
      <c r="HGE35" s="774"/>
      <c r="HGF35" s="774"/>
      <c r="HGG35" s="774"/>
      <c r="HGH35" s="774"/>
      <c r="HGI35" s="774"/>
      <c r="HGJ35" s="774"/>
      <c r="HGK35" s="774"/>
      <c r="HGL35" s="774"/>
      <c r="HGM35" s="774"/>
      <c r="HGN35" s="774"/>
      <c r="HGO35" s="774"/>
      <c r="HGP35" s="774"/>
      <c r="HGQ35" s="774"/>
      <c r="HGR35" s="774"/>
      <c r="HGS35" s="774"/>
      <c r="HGT35" s="774"/>
      <c r="HGU35" s="774"/>
      <c r="HGV35" s="774"/>
      <c r="HGW35" s="774"/>
      <c r="HGX35" s="774"/>
      <c r="HGY35" s="774"/>
      <c r="HGZ35" s="774"/>
      <c r="HHA35" s="774"/>
      <c r="HHB35" s="774"/>
      <c r="HHC35" s="774"/>
      <c r="HHD35" s="774"/>
      <c r="HHE35" s="774"/>
      <c r="HHF35" s="774"/>
      <c r="HHG35" s="774"/>
      <c r="HHH35" s="774"/>
      <c r="HHI35" s="774"/>
      <c r="HHJ35" s="774"/>
      <c r="HHK35" s="774"/>
      <c r="HHL35" s="774"/>
      <c r="HHM35" s="774"/>
      <c r="HHN35" s="774"/>
      <c r="HHO35" s="774"/>
      <c r="HHP35" s="774"/>
      <c r="HHQ35" s="774"/>
      <c r="HHR35" s="774"/>
      <c r="HHS35" s="774"/>
      <c r="HHT35" s="774"/>
      <c r="HHU35" s="774"/>
      <c r="HHV35" s="774"/>
      <c r="HHW35" s="774"/>
      <c r="HHX35" s="774"/>
      <c r="HHY35" s="774"/>
      <c r="HHZ35" s="774"/>
      <c r="HIA35" s="774"/>
      <c r="HIB35" s="774"/>
      <c r="HIC35" s="774"/>
      <c r="HID35" s="774"/>
      <c r="HIE35" s="774"/>
      <c r="HIF35" s="774"/>
      <c r="HIG35" s="774"/>
      <c r="HIH35" s="774"/>
      <c r="HII35" s="774"/>
      <c r="HIJ35" s="774"/>
      <c r="HIK35" s="774"/>
      <c r="HIL35" s="774"/>
      <c r="HIM35" s="774"/>
      <c r="HIN35" s="774"/>
      <c r="HIO35" s="774"/>
      <c r="HIP35" s="774"/>
      <c r="HIQ35" s="774"/>
      <c r="HIR35" s="774"/>
      <c r="HIS35" s="774"/>
      <c r="HIT35" s="774"/>
      <c r="HIU35" s="774"/>
      <c r="HIV35" s="774"/>
      <c r="HIW35" s="774"/>
      <c r="HIX35" s="774"/>
      <c r="HIY35" s="774"/>
      <c r="HIZ35" s="774"/>
      <c r="HJA35" s="774"/>
      <c r="HJB35" s="774"/>
      <c r="HJC35" s="774"/>
      <c r="HJD35" s="774"/>
      <c r="HJE35" s="774"/>
      <c r="HJF35" s="774"/>
      <c r="HJG35" s="774"/>
      <c r="HJH35" s="774"/>
      <c r="HJI35" s="774"/>
      <c r="HJJ35" s="774"/>
      <c r="HJK35" s="774"/>
      <c r="HJL35" s="774"/>
      <c r="HJM35" s="774"/>
      <c r="HJN35" s="774"/>
      <c r="HJO35" s="774"/>
      <c r="HJP35" s="774"/>
      <c r="HJQ35" s="774"/>
      <c r="HJR35" s="774"/>
      <c r="HJS35" s="774"/>
      <c r="HJT35" s="774"/>
      <c r="HJU35" s="774"/>
      <c r="HJV35" s="774"/>
      <c r="HJW35" s="774"/>
      <c r="HJX35" s="774"/>
      <c r="HJY35" s="774"/>
      <c r="HJZ35" s="774"/>
      <c r="HKA35" s="774"/>
      <c r="HKB35" s="774"/>
      <c r="HKC35" s="774"/>
      <c r="HKD35" s="774"/>
      <c r="HKE35" s="774"/>
      <c r="HKF35" s="774"/>
      <c r="HKG35" s="774"/>
      <c r="HKH35" s="774"/>
      <c r="HKI35" s="774"/>
      <c r="HKJ35" s="774"/>
      <c r="HKK35" s="774"/>
      <c r="HKL35" s="774"/>
      <c r="HKM35" s="774"/>
      <c r="HKN35" s="774"/>
      <c r="HKO35" s="774"/>
      <c r="HKP35" s="774"/>
      <c r="HKQ35" s="774"/>
      <c r="HKR35" s="774"/>
      <c r="HKS35" s="774"/>
      <c r="HKT35" s="774"/>
      <c r="HKU35" s="774"/>
      <c r="HKV35" s="774"/>
      <c r="HKW35" s="774"/>
      <c r="HKX35" s="774"/>
      <c r="HKY35" s="774"/>
      <c r="HKZ35" s="774"/>
      <c r="HLA35" s="774"/>
      <c r="HLB35" s="774"/>
      <c r="HLC35" s="774"/>
      <c r="HLD35" s="774"/>
      <c r="HLE35" s="774"/>
      <c r="HLF35" s="774"/>
      <c r="HLG35" s="774"/>
      <c r="HLH35" s="774"/>
      <c r="HLI35" s="774"/>
      <c r="HLJ35" s="774"/>
      <c r="HLK35" s="774"/>
      <c r="HLL35" s="774"/>
      <c r="HLM35" s="774"/>
      <c r="HLN35" s="774"/>
      <c r="HLO35" s="774"/>
      <c r="HLP35" s="774"/>
      <c r="HLQ35" s="774"/>
      <c r="HLR35" s="774"/>
      <c r="HLS35" s="774"/>
      <c r="HLT35" s="774"/>
      <c r="HLU35" s="774"/>
      <c r="HLV35" s="774"/>
      <c r="HLW35" s="774"/>
      <c r="HLX35" s="774"/>
      <c r="HLY35" s="774"/>
      <c r="HLZ35" s="774"/>
      <c r="HMA35" s="774"/>
      <c r="HMB35" s="774"/>
      <c r="HMC35" s="774"/>
      <c r="HMD35" s="774"/>
      <c r="HME35" s="774"/>
      <c r="HMF35" s="774"/>
      <c r="HMG35" s="774"/>
      <c r="HMH35" s="774"/>
      <c r="HMI35" s="774"/>
      <c r="HMJ35" s="774"/>
      <c r="HMK35" s="774"/>
      <c r="HML35" s="774"/>
      <c r="HMM35" s="774"/>
      <c r="HMN35" s="774"/>
      <c r="HMO35" s="774"/>
      <c r="HMP35" s="774"/>
      <c r="HMQ35" s="774"/>
      <c r="HMR35" s="774"/>
      <c r="HMS35" s="774"/>
      <c r="HMT35" s="774"/>
      <c r="HMU35" s="774"/>
      <c r="HMV35" s="774"/>
      <c r="HMW35" s="774"/>
      <c r="HMX35" s="774"/>
      <c r="HMY35" s="774"/>
      <c r="HMZ35" s="774"/>
      <c r="HNA35" s="774"/>
      <c r="HNB35" s="774"/>
      <c r="HNC35" s="774"/>
      <c r="HND35" s="774"/>
      <c r="HNE35" s="774"/>
      <c r="HNF35" s="774"/>
      <c r="HNG35" s="774"/>
      <c r="HNH35" s="774"/>
      <c r="HNI35" s="774"/>
      <c r="HNJ35" s="774"/>
      <c r="HNK35" s="774"/>
      <c r="HNL35" s="774"/>
      <c r="HNM35" s="774"/>
      <c r="HNN35" s="774"/>
      <c r="HNO35" s="774"/>
      <c r="HNP35" s="774"/>
      <c r="HNQ35" s="774"/>
      <c r="HNR35" s="774"/>
      <c r="HNS35" s="774"/>
      <c r="HNT35" s="774"/>
      <c r="HNU35" s="774"/>
      <c r="HNV35" s="774"/>
      <c r="HNW35" s="774"/>
      <c r="HNX35" s="774"/>
      <c r="HNY35" s="774"/>
      <c r="HNZ35" s="774"/>
      <c r="HOA35" s="774"/>
      <c r="HOB35" s="774"/>
      <c r="HOC35" s="774"/>
      <c r="HOD35" s="774"/>
      <c r="HOE35" s="774"/>
      <c r="HOF35" s="774"/>
      <c r="HOG35" s="774"/>
      <c r="HOH35" s="774"/>
      <c r="HOI35" s="774"/>
      <c r="HOJ35" s="774"/>
      <c r="HOK35" s="774"/>
      <c r="HOL35" s="774"/>
      <c r="HOM35" s="774"/>
      <c r="HON35" s="774"/>
      <c r="HOO35" s="774"/>
      <c r="HOP35" s="774"/>
      <c r="HOQ35" s="774"/>
      <c r="HOR35" s="774"/>
      <c r="HOS35" s="774"/>
      <c r="HOT35" s="774"/>
      <c r="HOU35" s="774"/>
      <c r="HOV35" s="774"/>
      <c r="HOW35" s="774"/>
      <c r="HOX35" s="774"/>
      <c r="HOY35" s="774"/>
      <c r="HOZ35" s="774"/>
      <c r="HPA35" s="774"/>
      <c r="HPB35" s="774"/>
      <c r="HPC35" s="774"/>
      <c r="HPD35" s="774"/>
      <c r="HPE35" s="774"/>
      <c r="HPF35" s="774"/>
      <c r="HPG35" s="774"/>
      <c r="HPH35" s="774"/>
      <c r="HPI35" s="774"/>
      <c r="HPJ35" s="774"/>
      <c r="HPK35" s="774"/>
      <c r="HPL35" s="774"/>
      <c r="HPM35" s="774"/>
      <c r="HPN35" s="774"/>
      <c r="HPO35" s="774"/>
      <c r="HPP35" s="774"/>
      <c r="HPQ35" s="774"/>
      <c r="HPR35" s="774"/>
      <c r="HPS35" s="774"/>
      <c r="HPT35" s="774"/>
      <c r="HPU35" s="774"/>
      <c r="HPV35" s="774"/>
      <c r="HPW35" s="774"/>
      <c r="HPX35" s="774"/>
      <c r="HPY35" s="774"/>
      <c r="HPZ35" s="774"/>
      <c r="HQA35" s="774"/>
      <c r="HQB35" s="774"/>
      <c r="HQC35" s="774"/>
      <c r="HQD35" s="774"/>
      <c r="HQE35" s="774"/>
      <c r="HQF35" s="774"/>
      <c r="HQG35" s="774"/>
      <c r="HQH35" s="774"/>
      <c r="HQI35" s="774"/>
      <c r="HQJ35" s="774"/>
      <c r="HQK35" s="774"/>
      <c r="HQL35" s="774"/>
      <c r="HQM35" s="774"/>
      <c r="HQN35" s="774"/>
      <c r="HQO35" s="774"/>
      <c r="HQP35" s="774"/>
      <c r="HQQ35" s="774"/>
      <c r="HQR35" s="774"/>
      <c r="HQS35" s="774"/>
      <c r="HQT35" s="774"/>
      <c r="HQU35" s="774"/>
      <c r="HQV35" s="774"/>
      <c r="HQW35" s="774"/>
      <c r="HQX35" s="774"/>
      <c r="HQY35" s="774"/>
      <c r="HQZ35" s="774"/>
      <c r="HRA35" s="774"/>
      <c r="HRB35" s="774"/>
      <c r="HRC35" s="774"/>
      <c r="HRD35" s="774"/>
      <c r="HRE35" s="774"/>
      <c r="HRF35" s="774"/>
      <c r="HRG35" s="774"/>
      <c r="HRH35" s="774"/>
      <c r="HRI35" s="774"/>
      <c r="HRJ35" s="774"/>
      <c r="HRK35" s="774"/>
      <c r="HRL35" s="774"/>
      <c r="HRM35" s="774"/>
      <c r="HRN35" s="774"/>
      <c r="HRO35" s="774"/>
      <c r="HRP35" s="774"/>
      <c r="HRQ35" s="774"/>
      <c r="HRR35" s="774"/>
      <c r="HRS35" s="774"/>
      <c r="HRT35" s="774"/>
      <c r="HRU35" s="774"/>
      <c r="HRV35" s="774"/>
      <c r="HRW35" s="774"/>
      <c r="HRX35" s="774"/>
      <c r="HRY35" s="774"/>
      <c r="HRZ35" s="774"/>
      <c r="HSA35" s="774"/>
      <c r="HSB35" s="774"/>
      <c r="HSC35" s="774"/>
      <c r="HSD35" s="774"/>
      <c r="HSE35" s="774"/>
      <c r="HSF35" s="774"/>
      <c r="HSG35" s="774"/>
      <c r="HSH35" s="774"/>
      <c r="HSI35" s="774"/>
      <c r="HSJ35" s="774"/>
      <c r="HSK35" s="774"/>
      <c r="HSL35" s="774"/>
      <c r="HSM35" s="774"/>
      <c r="HSN35" s="774"/>
      <c r="HSO35" s="774"/>
      <c r="HSP35" s="774"/>
      <c r="HSQ35" s="774"/>
      <c r="HSR35" s="774"/>
      <c r="HSS35" s="774"/>
      <c r="HST35" s="774"/>
      <c r="HSU35" s="774"/>
      <c r="HSV35" s="774"/>
      <c r="HSW35" s="774"/>
      <c r="HSX35" s="774"/>
      <c r="HSY35" s="774"/>
      <c r="HSZ35" s="774"/>
      <c r="HTA35" s="774"/>
      <c r="HTB35" s="774"/>
      <c r="HTC35" s="774"/>
      <c r="HTD35" s="774"/>
      <c r="HTE35" s="774"/>
      <c r="HTF35" s="774"/>
      <c r="HTG35" s="774"/>
      <c r="HTH35" s="774"/>
      <c r="HTI35" s="774"/>
      <c r="HTJ35" s="774"/>
      <c r="HTK35" s="774"/>
      <c r="HTL35" s="774"/>
      <c r="HTM35" s="774"/>
      <c r="HTN35" s="774"/>
      <c r="HTO35" s="774"/>
      <c r="HTP35" s="774"/>
      <c r="HTQ35" s="774"/>
      <c r="HTR35" s="774"/>
      <c r="HTS35" s="774"/>
      <c r="HTT35" s="774"/>
      <c r="HTU35" s="774"/>
      <c r="HTV35" s="774"/>
      <c r="HTW35" s="774"/>
      <c r="HTX35" s="774"/>
      <c r="HTY35" s="774"/>
      <c r="HTZ35" s="774"/>
      <c r="HUA35" s="774"/>
      <c r="HUB35" s="774"/>
      <c r="HUC35" s="774"/>
      <c r="HUD35" s="774"/>
      <c r="HUE35" s="774"/>
      <c r="HUF35" s="774"/>
      <c r="HUG35" s="774"/>
      <c r="HUH35" s="774"/>
      <c r="HUI35" s="774"/>
      <c r="HUJ35" s="774"/>
      <c r="HUK35" s="774"/>
      <c r="HUL35" s="774"/>
      <c r="HUM35" s="774"/>
      <c r="HUN35" s="774"/>
      <c r="HUO35" s="774"/>
      <c r="HUP35" s="774"/>
      <c r="HUQ35" s="774"/>
      <c r="HUR35" s="774"/>
      <c r="HUS35" s="774"/>
      <c r="HUT35" s="774"/>
      <c r="HUU35" s="774"/>
      <c r="HUV35" s="774"/>
      <c r="HUW35" s="774"/>
      <c r="HUX35" s="774"/>
      <c r="HUY35" s="774"/>
      <c r="HUZ35" s="774"/>
      <c r="HVA35" s="774"/>
      <c r="HVB35" s="774"/>
      <c r="HVC35" s="774"/>
      <c r="HVD35" s="774"/>
      <c r="HVE35" s="774"/>
      <c r="HVF35" s="774"/>
      <c r="HVG35" s="774"/>
      <c r="HVH35" s="774"/>
      <c r="HVI35" s="774"/>
      <c r="HVJ35" s="774"/>
      <c r="HVK35" s="774"/>
      <c r="HVL35" s="774"/>
      <c r="HVM35" s="774"/>
      <c r="HVN35" s="774"/>
      <c r="HVO35" s="774"/>
      <c r="HVP35" s="774"/>
      <c r="HVQ35" s="774"/>
      <c r="HVR35" s="774"/>
      <c r="HVS35" s="774"/>
      <c r="HVT35" s="774"/>
      <c r="HVU35" s="774"/>
      <c r="HVV35" s="774"/>
      <c r="HVW35" s="774"/>
      <c r="HVX35" s="774"/>
      <c r="HVY35" s="774"/>
      <c r="HVZ35" s="774"/>
      <c r="HWA35" s="774"/>
      <c r="HWB35" s="774"/>
      <c r="HWC35" s="774"/>
      <c r="HWD35" s="774"/>
      <c r="HWE35" s="774"/>
      <c r="HWF35" s="774"/>
      <c r="HWG35" s="774"/>
      <c r="HWH35" s="774"/>
      <c r="HWI35" s="774"/>
      <c r="HWJ35" s="774"/>
      <c r="HWK35" s="774"/>
      <c r="HWL35" s="774"/>
      <c r="HWM35" s="774"/>
      <c r="HWN35" s="774"/>
      <c r="HWO35" s="774"/>
      <c r="HWP35" s="774"/>
      <c r="HWQ35" s="774"/>
      <c r="HWR35" s="774"/>
      <c r="HWS35" s="774"/>
      <c r="HWT35" s="774"/>
      <c r="HWU35" s="774"/>
      <c r="HWV35" s="774"/>
      <c r="HWW35" s="774"/>
      <c r="HWX35" s="774"/>
      <c r="HWY35" s="774"/>
      <c r="HWZ35" s="774"/>
      <c r="HXA35" s="774"/>
      <c r="HXB35" s="774"/>
      <c r="HXC35" s="774"/>
      <c r="HXD35" s="774"/>
      <c r="HXE35" s="774"/>
      <c r="HXF35" s="774"/>
      <c r="HXG35" s="774"/>
      <c r="HXH35" s="774"/>
      <c r="HXI35" s="774"/>
      <c r="HXJ35" s="774"/>
      <c r="HXK35" s="774"/>
      <c r="HXL35" s="774"/>
      <c r="HXM35" s="774"/>
      <c r="HXN35" s="774"/>
      <c r="HXO35" s="774"/>
      <c r="HXP35" s="774"/>
      <c r="HXQ35" s="774"/>
      <c r="HXR35" s="774"/>
      <c r="HXS35" s="774"/>
      <c r="HXT35" s="774"/>
      <c r="HXU35" s="774"/>
      <c r="HXV35" s="774"/>
      <c r="HXW35" s="774"/>
      <c r="HXX35" s="774"/>
      <c r="HXY35" s="774"/>
      <c r="HXZ35" s="774"/>
      <c r="HYA35" s="774"/>
      <c r="HYB35" s="774"/>
      <c r="HYC35" s="774"/>
      <c r="HYD35" s="774"/>
      <c r="HYE35" s="774"/>
      <c r="HYF35" s="774"/>
      <c r="HYG35" s="774"/>
      <c r="HYH35" s="774"/>
      <c r="HYI35" s="774"/>
      <c r="HYJ35" s="774"/>
      <c r="HYK35" s="774"/>
      <c r="HYL35" s="774"/>
      <c r="HYM35" s="774"/>
      <c r="HYN35" s="774"/>
      <c r="HYO35" s="774"/>
      <c r="HYP35" s="774"/>
      <c r="HYQ35" s="774"/>
      <c r="HYR35" s="774"/>
      <c r="HYS35" s="774"/>
      <c r="HYT35" s="774"/>
      <c r="HYU35" s="774"/>
      <c r="HYV35" s="774"/>
      <c r="HYW35" s="774"/>
      <c r="HYX35" s="774"/>
      <c r="HYY35" s="774"/>
      <c r="HYZ35" s="774"/>
      <c r="HZA35" s="774"/>
      <c r="HZB35" s="774"/>
      <c r="HZC35" s="774"/>
      <c r="HZD35" s="774"/>
      <c r="HZE35" s="774"/>
      <c r="HZF35" s="774"/>
      <c r="HZG35" s="774"/>
      <c r="HZH35" s="774"/>
      <c r="HZI35" s="774"/>
      <c r="HZJ35" s="774"/>
      <c r="HZK35" s="774"/>
      <c r="HZL35" s="774"/>
      <c r="HZM35" s="774"/>
      <c r="HZN35" s="774"/>
      <c r="HZO35" s="774"/>
      <c r="HZP35" s="774"/>
      <c r="HZQ35" s="774"/>
      <c r="HZR35" s="774"/>
      <c r="HZS35" s="774"/>
      <c r="HZT35" s="774"/>
      <c r="HZU35" s="774"/>
      <c r="HZV35" s="774"/>
      <c r="HZW35" s="774"/>
      <c r="HZX35" s="774"/>
      <c r="HZY35" s="774"/>
      <c r="HZZ35" s="774"/>
      <c r="IAA35" s="774"/>
      <c r="IAB35" s="774"/>
      <c r="IAC35" s="774"/>
      <c r="IAD35" s="774"/>
      <c r="IAE35" s="774"/>
      <c r="IAF35" s="774"/>
      <c r="IAG35" s="774"/>
      <c r="IAH35" s="774"/>
      <c r="IAI35" s="774"/>
      <c r="IAJ35" s="774"/>
      <c r="IAK35" s="774"/>
      <c r="IAL35" s="774"/>
      <c r="IAM35" s="774"/>
      <c r="IAN35" s="774"/>
      <c r="IAO35" s="774"/>
      <c r="IAP35" s="774"/>
      <c r="IAQ35" s="774"/>
      <c r="IAR35" s="774"/>
      <c r="IAS35" s="774"/>
      <c r="IAT35" s="774"/>
      <c r="IAU35" s="774"/>
      <c r="IAV35" s="774"/>
      <c r="IAW35" s="774"/>
      <c r="IAX35" s="774"/>
      <c r="IAY35" s="774"/>
      <c r="IAZ35" s="774"/>
      <c r="IBA35" s="774"/>
      <c r="IBB35" s="774"/>
      <c r="IBC35" s="774"/>
      <c r="IBD35" s="774"/>
      <c r="IBE35" s="774"/>
      <c r="IBF35" s="774"/>
      <c r="IBG35" s="774"/>
      <c r="IBH35" s="774"/>
      <c r="IBI35" s="774"/>
      <c r="IBJ35" s="774"/>
      <c r="IBK35" s="774"/>
      <c r="IBL35" s="774"/>
      <c r="IBM35" s="774"/>
      <c r="IBN35" s="774"/>
      <c r="IBO35" s="774"/>
      <c r="IBP35" s="774"/>
      <c r="IBQ35" s="774"/>
      <c r="IBR35" s="774"/>
      <c r="IBS35" s="774"/>
      <c r="IBT35" s="774"/>
      <c r="IBU35" s="774"/>
      <c r="IBV35" s="774"/>
      <c r="IBW35" s="774"/>
      <c r="IBX35" s="774"/>
      <c r="IBY35" s="774"/>
      <c r="IBZ35" s="774"/>
      <c r="ICA35" s="774"/>
      <c r="ICB35" s="774"/>
      <c r="ICC35" s="774"/>
      <c r="ICD35" s="774"/>
      <c r="ICE35" s="774"/>
      <c r="ICF35" s="774"/>
      <c r="ICG35" s="774"/>
      <c r="ICH35" s="774"/>
      <c r="ICI35" s="774"/>
      <c r="ICJ35" s="774"/>
      <c r="ICK35" s="774"/>
      <c r="ICL35" s="774"/>
      <c r="ICM35" s="774"/>
      <c r="ICN35" s="774"/>
      <c r="ICO35" s="774"/>
      <c r="ICP35" s="774"/>
      <c r="ICQ35" s="774"/>
      <c r="ICR35" s="774"/>
      <c r="ICS35" s="774"/>
      <c r="ICT35" s="774"/>
      <c r="ICU35" s="774"/>
      <c r="ICV35" s="774"/>
      <c r="ICW35" s="774"/>
      <c r="ICX35" s="774"/>
      <c r="ICY35" s="774"/>
      <c r="ICZ35" s="774"/>
      <c r="IDA35" s="774"/>
      <c r="IDB35" s="774"/>
      <c r="IDC35" s="774"/>
      <c r="IDD35" s="774"/>
      <c r="IDE35" s="774"/>
      <c r="IDF35" s="774"/>
      <c r="IDG35" s="774"/>
      <c r="IDH35" s="774"/>
      <c r="IDI35" s="774"/>
      <c r="IDJ35" s="774"/>
      <c r="IDK35" s="774"/>
      <c r="IDL35" s="774"/>
      <c r="IDM35" s="774"/>
      <c r="IDN35" s="774"/>
      <c r="IDO35" s="774"/>
      <c r="IDP35" s="774"/>
      <c r="IDQ35" s="774"/>
      <c r="IDR35" s="774"/>
      <c r="IDS35" s="774"/>
      <c r="IDT35" s="774"/>
      <c r="IDU35" s="774"/>
      <c r="IDV35" s="774"/>
      <c r="IDW35" s="774"/>
      <c r="IDX35" s="774"/>
      <c r="IDY35" s="774"/>
      <c r="IDZ35" s="774"/>
      <c r="IEA35" s="774"/>
      <c r="IEB35" s="774"/>
      <c r="IEC35" s="774"/>
      <c r="IED35" s="774"/>
      <c r="IEE35" s="774"/>
      <c r="IEF35" s="774"/>
      <c r="IEG35" s="774"/>
      <c r="IEH35" s="774"/>
      <c r="IEI35" s="774"/>
      <c r="IEJ35" s="774"/>
      <c r="IEK35" s="774"/>
      <c r="IEL35" s="774"/>
      <c r="IEM35" s="774"/>
      <c r="IEN35" s="774"/>
      <c r="IEO35" s="774"/>
      <c r="IEP35" s="774"/>
      <c r="IEQ35" s="774"/>
      <c r="IER35" s="774"/>
      <c r="IES35" s="774"/>
      <c r="IET35" s="774"/>
      <c r="IEU35" s="774"/>
      <c r="IEV35" s="774"/>
      <c r="IEW35" s="774"/>
      <c r="IEX35" s="774"/>
      <c r="IEY35" s="774"/>
      <c r="IEZ35" s="774"/>
      <c r="IFA35" s="774"/>
      <c r="IFB35" s="774"/>
      <c r="IFC35" s="774"/>
      <c r="IFD35" s="774"/>
      <c r="IFE35" s="774"/>
      <c r="IFF35" s="774"/>
      <c r="IFG35" s="774"/>
      <c r="IFH35" s="774"/>
      <c r="IFI35" s="774"/>
      <c r="IFJ35" s="774"/>
      <c r="IFK35" s="774"/>
      <c r="IFL35" s="774"/>
      <c r="IFM35" s="774"/>
      <c r="IFN35" s="774"/>
      <c r="IFO35" s="774"/>
      <c r="IFP35" s="774"/>
      <c r="IFQ35" s="774"/>
      <c r="IFR35" s="774"/>
      <c r="IFS35" s="774"/>
      <c r="IFT35" s="774"/>
      <c r="IFU35" s="774"/>
      <c r="IFV35" s="774"/>
      <c r="IFW35" s="774"/>
      <c r="IFX35" s="774"/>
      <c r="IFY35" s="774"/>
      <c r="IFZ35" s="774"/>
      <c r="IGA35" s="774"/>
      <c r="IGB35" s="774"/>
      <c r="IGC35" s="774"/>
      <c r="IGD35" s="774"/>
      <c r="IGE35" s="774"/>
      <c r="IGF35" s="774"/>
      <c r="IGG35" s="774"/>
      <c r="IGH35" s="774"/>
      <c r="IGI35" s="774"/>
      <c r="IGJ35" s="774"/>
      <c r="IGK35" s="774"/>
      <c r="IGL35" s="774"/>
      <c r="IGM35" s="774"/>
      <c r="IGN35" s="774"/>
      <c r="IGO35" s="774"/>
      <c r="IGP35" s="774"/>
      <c r="IGQ35" s="774"/>
      <c r="IGR35" s="774"/>
      <c r="IGS35" s="774"/>
      <c r="IGT35" s="774"/>
      <c r="IGU35" s="774"/>
      <c r="IGV35" s="774"/>
      <c r="IGW35" s="774"/>
      <c r="IGX35" s="774"/>
      <c r="IGY35" s="774"/>
      <c r="IGZ35" s="774"/>
      <c r="IHA35" s="774"/>
      <c r="IHB35" s="774"/>
      <c r="IHC35" s="774"/>
      <c r="IHD35" s="774"/>
      <c r="IHE35" s="774"/>
      <c r="IHF35" s="774"/>
      <c r="IHG35" s="774"/>
      <c r="IHH35" s="774"/>
      <c r="IHI35" s="774"/>
      <c r="IHJ35" s="774"/>
      <c r="IHK35" s="774"/>
      <c r="IHL35" s="774"/>
      <c r="IHM35" s="774"/>
      <c r="IHN35" s="774"/>
      <c r="IHO35" s="774"/>
      <c r="IHP35" s="774"/>
      <c r="IHQ35" s="774"/>
      <c r="IHR35" s="774"/>
      <c r="IHS35" s="774"/>
      <c r="IHT35" s="774"/>
      <c r="IHU35" s="774"/>
      <c r="IHV35" s="774"/>
      <c r="IHW35" s="774"/>
      <c r="IHX35" s="774"/>
      <c r="IHY35" s="774"/>
      <c r="IHZ35" s="774"/>
      <c r="IIA35" s="774"/>
      <c r="IIB35" s="774"/>
      <c r="IIC35" s="774"/>
      <c r="IID35" s="774"/>
      <c r="IIE35" s="774"/>
      <c r="IIF35" s="774"/>
      <c r="IIG35" s="774"/>
      <c r="IIH35" s="774"/>
      <c r="III35" s="774"/>
      <c r="IIJ35" s="774"/>
      <c r="IIK35" s="774"/>
      <c r="IIL35" s="774"/>
      <c r="IIM35" s="774"/>
      <c r="IIN35" s="774"/>
      <c r="IIO35" s="774"/>
      <c r="IIP35" s="774"/>
      <c r="IIQ35" s="774"/>
      <c r="IIR35" s="774"/>
      <c r="IIS35" s="774"/>
      <c r="IIT35" s="774"/>
      <c r="IIU35" s="774"/>
      <c r="IIV35" s="774"/>
      <c r="IIW35" s="774"/>
      <c r="IIX35" s="774"/>
      <c r="IIY35" s="774"/>
      <c r="IIZ35" s="774"/>
      <c r="IJA35" s="774"/>
      <c r="IJB35" s="774"/>
      <c r="IJC35" s="774"/>
      <c r="IJD35" s="774"/>
      <c r="IJE35" s="774"/>
      <c r="IJF35" s="774"/>
      <c r="IJG35" s="774"/>
      <c r="IJH35" s="774"/>
      <c r="IJI35" s="774"/>
      <c r="IJJ35" s="774"/>
      <c r="IJK35" s="774"/>
      <c r="IJL35" s="774"/>
      <c r="IJM35" s="774"/>
      <c r="IJN35" s="774"/>
      <c r="IJO35" s="774"/>
      <c r="IJP35" s="774"/>
      <c r="IJQ35" s="774"/>
      <c r="IJR35" s="774"/>
      <c r="IJS35" s="774"/>
      <c r="IJT35" s="774"/>
      <c r="IJU35" s="774"/>
      <c r="IJV35" s="774"/>
      <c r="IJW35" s="774"/>
      <c r="IJX35" s="774"/>
      <c r="IJY35" s="774"/>
      <c r="IJZ35" s="774"/>
      <c r="IKA35" s="774"/>
      <c r="IKB35" s="774"/>
      <c r="IKC35" s="774"/>
      <c r="IKD35" s="774"/>
      <c r="IKE35" s="774"/>
      <c r="IKF35" s="774"/>
      <c r="IKG35" s="774"/>
      <c r="IKH35" s="774"/>
      <c r="IKI35" s="774"/>
      <c r="IKJ35" s="774"/>
      <c r="IKK35" s="774"/>
      <c r="IKL35" s="774"/>
      <c r="IKM35" s="774"/>
      <c r="IKN35" s="774"/>
      <c r="IKO35" s="774"/>
      <c r="IKP35" s="774"/>
      <c r="IKQ35" s="774"/>
      <c r="IKR35" s="774"/>
      <c r="IKS35" s="774"/>
      <c r="IKT35" s="774"/>
      <c r="IKU35" s="774"/>
      <c r="IKV35" s="774"/>
      <c r="IKW35" s="774"/>
      <c r="IKX35" s="774"/>
      <c r="IKY35" s="774"/>
      <c r="IKZ35" s="774"/>
      <c r="ILA35" s="774"/>
      <c r="ILB35" s="774"/>
      <c r="ILC35" s="774"/>
      <c r="ILD35" s="774"/>
      <c r="ILE35" s="774"/>
      <c r="ILF35" s="774"/>
      <c r="ILG35" s="774"/>
      <c r="ILH35" s="774"/>
      <c r="ILI35" s="774"/>
      <c r="ILJ35" s="774"/>
      <c r="ILK35" s="774"/>
      <c r="ILL35" s="774"/>
      <c r="ILM35" s="774"/>
      <c r="ILN35" s="774"/>
      <c r="ILO35" s="774"/>
      <c r="ILP35" s="774"/>
      <c r="ILQ35" s="774"/>
      <c r="ILR35" s="774"/>
      <c r="ILS35" s="774"/>
      <c r="ILT35" s="774"/>
      <c r="ILU35" s="774"/>
      <c r="ILV35" s="774"/>
      <c r="ILW35" s="774"/>
      <c r="ILX35" s="774"/>
      <c r="ILY35" s="774"/>
      <c r="ILZ35" s="774"/>
      <c r="IMA35" s="774"/>
      <c r="IMB35" s="774"/>
      <c r="IMC35" s="774"/>
      <c r="IMD35" s="774"/>
      <c r="IME35" s="774"/>
      <c r="IMF35" s="774"/>
      <c r="IMG35" s="774"/>
      <c r="IMH35" s="774"/>
      <c r="IMI35" s="774"/>
      <c r="IMJ35" s="774"/>
      <c r="IMK35" s="774"/>
      <c r="IML35" s="774"/>
      <c r="IMM35" s="774"/>
      <c r="IMN35" s="774"/>
      <c r="IMO35" s="774"/>
      <c r="IMP35" s="774"/>
      <c r="IMQ35" s="774"/>
      <c r="IMR35" s="774"/>
      <c r="IMS35" s="774"/>
      <c r="IMT35" s="774"/>
      <c r="IMU35" s="774"/>
      <c r="IMV35" s="774"/>
      <c r="IMW35" s="774"/>
      <c r="IMX35" s="774"/>
      <c r="IMY35" s="774"/>
      <c r="IMZ35" s="774"/>
      <c r="INA35" s="774"/>
      <c r="INB35" s="774"/>
      <c r="INC35" s="774"/>
      <c r="IND35" s="774"/>
      <c r="INE35" s="774"/>
      <c r="INF35" s="774"/>
      <c r="ING35" s="774"/>
      <c r="INH35" s="774"/>
      <c r="INI35" s="774"/>
      <c r="INJ35" s="774"/>
      <c r="INK35" s="774"/>
      <c r="INL35" s="774"/>
      <c r="INM35" s="774"/>
      <c r="INN35" s="774"/>
      <c r="INO35" s="774"/>
      <c r="INP35" s="774"/>
      <c r="INQ35" s="774"/>
      <c r="INR35" s="774"/>
      <c r="INS35" s="774"/>
      <c r="INT35" s="774"/>
      <c r="INU35" s="774"/>
      <c r="INV35" s="774"/>
      <c r="INW35" s="774"/>
      <c r="INX35" s="774"/>
      <c r="INY35" s="774"/>
      <c r="INZ35" s="774"/>
      <c r="IOA35" s="774"/>
      <c r="IOB35" s="774"/>
      <c r="IOC35" s="774"/>
      <c r="IOD35" s="774"/>
      <c r="IOE35" s="774"/>
      <c r="IOF35" s="774"/>
      <c r="IOG35" s="774"/>
      <c r="IOH35" s="774"/>
      <c r="IOI35" s="774"/>
      <c r="IOJ35" s="774"/>
      <c r="IOK35" s="774"/>
      <c r="IOL35" s="774"/>
      <c r="IOM35" s="774"/>
      <c r="ION35" s="774"/>
      <c r="IOO35" s="774"/>
      <c r="IOP35" s="774"/>
      <c r="IOQ35" s="774"/>
      <c r="IOR35" s="774"/>
      <c r="IOS35" s="774"/>
      <c r="IOT35" s="774"/>
      <c r="IOU35" s="774"/>
      <c r="IOV35" s="774"/>
      <c r="IOW35" s="774"/>
      <c r="IOX35" s="774"/>
      <c r="IOY35" s="774"/>
      <c r="IOZ35" s="774"/>
      <c r="IPA35" s="774"/>
      <c r="IPB35" s="774"/>
      <c r="IPC35" s="774"/>
      <c r="IPD35" s="774"/>
      <c r="IPE35" s="774"/>
      <c r="IPF35" s="774"/>
      <c r="IPG35" s="774"/>
      <c r="IPH35" s="774"/>
      <c r="IPI35" s="774"/>
      <c r="IPJ35" s="774"/>
      <c r="IPK35" s="774"/>
      <c r="IPL35" s="774"/>
      <c r="IPM35" s="774"/>
      <c r="IPN35" s="774"/>
      <c r="IPO35" s="774"/>
      <c r="IPP35" s="774"/>
      <c r="IPQ35" s="774"/>
      <c r="IPR35" s="774"/>
      <c r="IPS35" s="774"/>
      <c r="IPT35" s="774"/>
      <c r="IPU35" s="774"/>
      <c r="IPV35" s="774"/>
      <c r="IPW35" s="774"/>
      <c r="IPX35" s="774"/>
      <c r="IPY35" s="774"/>
      <c r="IPZ35" s="774"/>
      <c r="IQA35" s="774"/>
      <c r="IQB35" s="774"/>
      <c r="IQC35" s="774"/>
      <c r="IQD35" s="774"/>
      <c r="IQE35" s="774"/>
      <c r="IQF35" s="774"/>
      <c r="IQG35" s="774"/>
      <c r="IQH35" s="774"/>
      <c r="IQI35" s="774"/>
      <c r="IQJ35" s="774"/>
      <c r="IQK35" s="774"/>
      <c r="IQL35" s="774"/>
      <c r="IQM35" s="774"/>
      <c r="IQN35" s="774"/>
      <c r="IQO35" s="774"/>
      <c r="IQP35" s="774"/>
      <c r="IQQ35" s="774"/>
      <c r="IQR35" s="774"/>
      <c r="IQS35" s="774"/>
      <c r="IQT35" s="774"/>
      <c r="IQU35" s="774"/>
      <c r="IQV35" s="774"/>
      <c r="IQW35" s="774"/>
      <c r="IQX35" s="774"/>
      <c r="IQY35" s="774"/>
      <c r="IQZ35" s="774"/>
      <c r="IRA35" s="774"/>
      <c r="IRB35" s="774"/>
      <c r="IRC35" s="774"/>
      <c r="IRD35" s="774"/>
      <c r="IRE35" s="774"/>
      <c r="IRF35" s="774"/>
      <c r="IRG35" s="774"/>
      <c r="IRH35" s="774"/>
      <c r="IRI35" s="774"/>
      <c r="IRJ35" s="774"/>
      <c r="IRK35" s="774"/>
      <c r="IRL35" s="774"/>
      <c r="IRM35" s="774"/>
      <c r="IRN35" s="774"/>
      <c r="IRO35" s="774"/>
      <c r="IRP35" s="774"/>
      <c r="IRQ35" s="774"/>
      <c r="IRR35" s="774"/>
      <c r="IRS35" s="774"/>
      <c r="IRT35" s="774"/>
      <c r="IRU35" s="774"/>
      <c r="IRV35" s="774"/>
      <c r="IRW35" s="774"/>
      <c r="IRX35" s="774"/>
      <c r="IRY35" s="774"/>
      <c r="IRZ35" s="774"/>
      <c r="ISA35" s="774"/>
      <c r="ISB35" s="774"/>
      <c r="ISC35" s="774"/>
      <c r="ISD35" s="774"/>
      <c r="ISE35" s="774"/>
      <c r="ISF35" s="774"/>
      <c r="ISG35" s="774"/>
      <c r="ISH35" s="774"/>
      <c r="ISI35" s="774"/>
      <c r="ISJ35" s="774"/>
      <c r="ISK35" s="774"/>
      <c r="ISL35" s="774"/>
      <c r="ISM35" s="774"/>
      <c r="ISN35" s="774"/>
      <c r="ISO35" s="774"/>
      <c r="ISP35" s="774"/>
      <c r="ISQ35" s="774"/>
      <c r="ISR35" s="774"/>
      <c r="ISS35" s="774"/>
      <c r="IST35" s="774"/>
      <c r="ISU35" s="774"/>
      <c r="ISV35" s="774"/>
      <c r="ISW35" s="774"/>
      <c r="ISX35" s="774"/>
      <c r="ISY35" s="774"/>
      <c r="ISZ35" s="774"/>
      <c r="ITA35" s="774"/>
      <c r="ITB35" s="774"/>
      <c r="ITC35" s="774"/>
      <c r="ITD35" s="774"/>
      <c r="ITE35" s="774"/>
      <c r="ITF35" s="774"/>
      <c r="ITG35" s="774"/>
      <c r="ITH35" s="774"/>
      <c r="ITI35" s="774"/>
      <c r="ITJ35" s="774"/>
      <c r="ITK35" s="774"/>
      <c r="ITL35" s="774"/>
      <c r="ITM35" s="774"/>
      <c r="ITN35" s="774"/>
      <c r="ITO35" s="774"/>
      <c r="ITP35" s="774"/>
      <c r="ITQ35" s="774"/>
      <c r="ITR35" s="774"/>
      <c r="ITS35" s="774"/>
      <c r="ITT35" s="774"/>
      <c r="ITU35" s="774"/>
      <c r="ITV35" s="774"/>
      <c r="ITW35" s="774"/>
      <c r="ITX35" s="774"/>
      <c r="ITY35" s="774"/>
      <c r="ITZ35" s="774"/>
      <c r="IUA35" s="774"/>
      <c r="IUB35" s="774"/>
      <c r="IUC35" s="774"/>
      <c r="IUD35" s="774"/>
      <c r="IUE35" s="774"/>
      <c r="IUF35" s="774"/>
      <c r="IUG35" s="774"/>
      <c r="IUH35" s="774"/>
      <c r="IUI35" s="774"/>
      <c r="IUJ35" s="774"/>
      <c r="IUK35" s="774"/>
      <c r="IUL35" s="774"/>
      <c r="IUM35" s="774"/>
      <c r="IUN35" s="774"/>
      <c r="IUO35" s="774"/>
      <c r="IUP35" s="774"/>
      <c r="IUQ35" s="774"/>
      <c r="IUR35" s="774"/>
      <c r="IUS35" s="774"/>
      <c r="IUT35" s="774"/>
      <c r="IUU35" s="774"/>
      <c r="IUV35" s="774"/>
      <c r="IUW35" s="774"/>
      <c r="IUX35" s="774"/>
      <c r="IUY35" s="774"/>
      <c r="IUZ35" s="774"/>
      <c r="IVA35" s="774"/>
      <c r="IVB35" s="774"/>
      <c r="IVC35" s="774"/>
      <c r="IVD35" s="774"/>
      <c r="IVE35" s="774"/>
      <c r="IVF35" s="774"/>
      <c r="IVG35" s="774"/>
      <c r="IVH35" s="774"/>
      <c r="IVI35" s="774"/>
      <c r="IVJ35" s="774"/>
      <c r="IVK35" s="774"/>
      <c r="IVL35" s="774"/>
      <c r="IVM35" s="774"/>
      <c r="IVN35" s="774"/>
      <c r="IVO35" s="774"/>
      <c r="IVP35" s="774"/>
      <c r="IVQ35" s="774"/>
      <c r="IVR35" s="774"/>
      <c r="IVS35" s="774"/>
      <c r="IVT35" s="774"/>
      <c r="IVU35" s="774"/>
      <c r="IVV35" s="774"/>
      <c r="IVW35" s="774"/>
      <c r="IVX35" s="774"/>
      <c r="IVY35" s="774"/>
      <c r="IVZ35" s="774"/>
      <c r="IWA35" s="774"/>
      <c r="IWB35" s="774"/>
      <c r="IWC35" s="774"/>
      <c r="IWD35" s="774"/>
      <c r="IWE35" s="774"/>
      <c r="IWF35" s="774"/>
      <c r="IWG35" s="774"/>
      <c r="IWH35" s="774"/>
      <c r="IWI35" s="774"/>
      <c r="IWJ35" s="774"/>
      <c r="IWK35" s="774"/>
      <c r="IWL35" s="774"/>
      <c r="IWM35" s="774"/>
      <c r="IWN35" s="774"/>
      <c r="IWO35" s="774"/>
      <c r="IWP35" s="774"/>
      <c r="IWQ35" s="774"/>
      <c r="IWR35" s="774"/>
      <c r="IWS35" s="774"/>
      <c r="IWT35" s="774"/>
      <c r="IWU35" s="774"/>
      <c r="IWV35" s="774"/>
      <c r="IWW35" s="774"/>
      <c r="IWX35" s="774"/>
      <c r="IWY35" s="774"/>
      <c r="IWZ35" s="774"/>
      <c r="IXA35" s="774"/>
      <c r="IXB35" s="774"/>
      <c r="IXC35" s="774"/>
      <c r="IXD35" s="774"/>
      <c r="IXE35" s="774"/>
      <c r="IXF35" s="774"/>
      <c r="IXG35" s="774"/>
      <c r="IXH35" s="774"/>
      <c r="IXI35" s="774"/>
      <c r="IXJ35" s="774"/>
      <c r="IXK35" s="774"/>
      <c r="IXL35" s="774"/>
      <c r="IXM35" s="774"/>
      <c r="IXN35" s="774"/>
      <c r="IXO35" s="774"/>
      <c r="IXP35" s="774"/>
      <c r="IXQ35" s="774"/>
      <c r="IXR35" s="774"/>
      <c r="IXS35" s="774"/>
      <c r="IXT35" s="774"/>
      <c r="IXU35" s="774"/>
      <c r="IXV35" s="774"/>
      <c r="IXW35" s="774"/>
      <c r="IXX35" s="774"/>
      <c r="IXY35" s="774"/>
      <c r="IXZ35" s="774"/>
      <c r="IYA35" s="774"/>
      <c r="IYB35" s="774"/>
      <c r="IYC35" s="774"/>
      <c r="IYD35" s="774"/>
      <c r="IYE35" s="774"/>
      <c r="IYF35" s="774"/>
      <c r="IYG35" s="774"/>
      <c r="IYH35" s="774"/>
      <c r="IYI35" s="774"/>
      <c r="IYJ35" s="774"/>
      <c r="IYK35" s="774"/>
      <c r="IYL35" s="774"/>
      <c r="IYM35" s="774"/>
      <c r="IYN35" s="774"/>
      <c r="IYO35" s="774"/>
      <c r="IYP35" s="774"/>
      <c r="IYQ35" s="774"/>
      <c r="IYR35" s="774"/>
      <c r="IYS35" s="774"/>
      <c r="IYT35" s="774"/>
      <c r="IYU35" s="774"/>
      <c r="IYV35" s="774"/>
      <c r="IYW35" s="774"/>
      <c r="IYX35" s="774"/>
      <c r="IYY35" s="774"/>
      <c r="IYZ35" s="774"/>
      <c r="IZA35" s="774"/>
      <c r="IZB35" s="774"/>
      <c r="IZC35" s="774"/>
      <c r="IZD35" s="774"/>
      <c r="IZE35" s="774"/>
      <c r="IZF35" s="774"/>
      <c r="IZG35" s="774"/>
      <c r="IZH35" s="774"/>
      <c r="IZI35" s="774"/>
      <c r="IZJ35" s="774"/>
      <c r="IZK35" s="774"/>
      <c r="IZL35" s="774"/>
      <c r="IZM35" s="774"/>
      <c r="IZN35" s="774"/>
      <c r="IZO35" s="774"/>
      <c r="IZP35" s="774"/>
      <c r="IZQ35" s="774"/>
      <c r="IZR35" s="774"/>
      <c r="IZS35" s="774"/>
      <c r="IZT35" s="774"/>
      <c r="IZU35" s="774"/>
      <c r="IZV35" s="774"/>
      <c r="IZW35" s="774"/>
      <c r="IZX35" s="774"/>
      <c r="IZY35" s="774"/>
      <c r="IZZ35" s="774"/>
      <c r="JAA35" s="774"/>
      <c r="JAB35" s="774"/>
      <c r="JAC35" s="774"/>
      <c r="JAD35" s="774"/>
      <c r="JAE35" s="774"/>
      <c r="JAF35" s="774"/>
      <c r="JAG35" s="774"/>
      <c r="JAH35" s="774"/>
      <c r="JAI35" s="774"/>
      <c r="JAJ35" s="774"/>
      <c r="JAK35" s="774"/>
      <c r="JAL35" s="774"/>
      <c r="JAM35" s="774"/>
      <c r="JAN35" s="774"/>
      <c r="JAO35" s="774"/>
      <c r="JAP35" s="774"/>
      <c r="JAQ35" s="774"/>
      <c r="JAR35" s="774"/>
      <c r="JAS35" s="774"/>
      <c r="JAT35" s="774"/>
      <c r="JAU35" s="774"/>
      <c r="JAV35" s="774"/>
      <c r="JAW35" s="774"/>
      <c r="JAX35" s="774"/>
      <c r="JAY35" s="774"/>
      <c r="JAZ35" s="774"/>
      <c r="JBA35" s="774"/>
      <c r="JBB35" s="774"/>
      <c r="JBC35" s="774"/>
      <c r="JBD35" s="774"/>
      <c r="JBE35" s="774"/>
      <c r="JBF35" s="774"/>
      <c r="JBG35" s="774"/>
      <c r="JBH35" s="774"/>
      <c r="JBI35" s="774"/>
      <c r="JBJ35" s="774"/>
      <c r="JBK35" s="774"/>
      <c r="JBL35" s="774"/>
      <c r="JBM35" s="774"/>
      <c r="JBN35" s="774"/>
      <c r="JBO35" s="774"/>
      <c r="JBP35" s="774"/>
      <c r="JBQ35" s="774"/>
      <c r="JBR35" s="774"/>
      <c r="JBS35" s="774"/>
      <c r="JBT35" s="774"/>
      <c r="JBU35" s="774"/>
      <c r="JBV35" s="774"/>
      <c r="JBW35" s="774"/>
      <c r="JBX35" s="774"/>
      <c r="JBY35" s="774"/>
      <c r="JBZ35" s="774"/>
      <c r="JCA35" s="774"/>
      <c r="JCB35" s="774"/>
      <c r="JCC35" s="774"/>
      <c r="JCD35" s="774"/>
      <c r="JCE35" s="774"/>
      <c r="JCF35" s="774"/>
      <c r="JCG35" s="774"/>
      <c r="JCH35" s="774"/>
      <c r="JCI35" s="774"/>
      <c r="JCJ35" s="774"/>
      <c r="JCK35" s="774"/>
      <c r="JCL35" s="774"/>
      <c r="JCM35" s="774"/>
      <c r="JCN35" s="774"/>
      <c r="JCO35" s="774"/>
      <c r="JCP35" s="774"/>
      <c r="JCQ35" s="774"/>
      <c r="JCR35" s="774"/>
      <c r="JCS35" s="774"/>
      <c r="JCT35" s="774"/>
      <c r="JCU35" s="774"/>
      <c r="JCV35" s="774"/>
      <c r="JCW35" s="774"/>
      <c r="JCX35" s="774"/>
      <c r="JCY35" s="774"/>
      <c r="JCZ35" s="774"/>
      <c r="JDA35" s="774"/>
      <c r="JDB35" s="774"/>
      <c r="JDC35" s="774"/>
      <c r="JDD35" s="774"/>
      <c r="JDE35" s="774"/>
      <c r="JDF35" s="774"/>
      <c r="JDG35" s="774"/>
      <c r="JDH35" s="774"/>
      <c r="JDI35" s="774"/>
      <c r="JDJ35" s="774"/>
      <c r="JDK35" s="774"/>
      <c r="JDL35" s="774"/>
      <c r="JDM35" s="774"/>
      <c r="JDN35" s="774"/>
      <c r="JDO35" s="774"/>
      <c r="JDP35" s="774"/>
      <c r="JDQ35" s="774"/>
      <c r="JDR35" s="774"/>
      <c r="JDS35" s="774"/>
      <c r="JDT35" s="774"/>
      <c r="JDU35" s="774"/>
      <c r="JDV35" s="774"/>
      <c r="JDW35" s="774"/>
      <c r="JDX35" s="774"/>
      <c r="JDY35" s="774"/>
      <c r="JDZ35" s="774"/>
      <c r="JEA35" s="774"/>
      <c r="JEB35" s="774"/>
      <c r="JEC35" s="774"/>
      <c r="JED35" s="774"/>
      <c r="JEE35" s="774"/>
      <c r="JEF35" s="774"/>
      <c r="JEG35" s="774"/>
      <c r="JEH35" s="774"/>
      <c r="JEI35" s="774"/>
      <c r="JEJ35" s="774"/>
      <c r="JEK35" s="774"/>
      <c r="JEL35" s="774"/>
      <c r="JEM35" s="774"/>
      <c r="JEN35" s="774"/>
      <c r="JEO35" s="774"/>
      <c r="JEP35" s="774"/>
      <c r="JEQ35" s="774"/>
      <c r="JER35" s="774"/>
      <c r="JES35" s="774"/>
      <c r="JET35" s="774"/>
      <c r="JEU35" s="774"/>
      <c r="JEV35" s="774"/>
      <c r="JEW35" s="774"/>
      <c r="JEX35" s="774"/>
      <c r="JEY35" s="774"/>
      <c r="JEZ35" s="774"/>
      <c r="JFA35" s="774"/>
      <c r="JFB35" s="774"/>
      <c r="JFC35" s="774"/>
      <c r="JFD35" s="774"/>
      <c r="JFE35" s="774"/>
      <c r="JFF35" s="774"/>
      <c r="JFG35" s="774"/>
      <c r="JFH35" s="774"/>
      <c r="JFI35" s="774"/>
      <c r="JFJ35" s="774"/>
      <c r="JFK35" s="774"/>
      <c r="JFL35" s="774"/>
      <c r="JFM35" s="774"/>
      <c r="JFN35" s="774"/>
      <c r="JFO35" s="774"/>
      <c r="JFP35" s="774"/>
      <c r="JFQ35" s="774"/>
      <c r="JFR35" s="774"/>
      <c r="JFS35" s="774"/>
      <c r="JFT35" s="774"/>
      <c r="JFU35" s="774"/>
      <c r="JFV35" s="774"/>
      <c r="JFW35" s="774"/>
      <c r="JFX35" s="774"/>
      <c r="JFY35" s="774"/>
      <c r="JFZ35" s="774"/>
      <c r="JGA35" s="774"/>
      <c r="JGB35" s="774"/>
      <c r="JGC35" s="774"/>
      <c r="JGD35" s="774"/>
      <c r="JGE35" s="774"/>
      <c r="JGF35" s="774"/>
      <c r="JGG35" s="774"/>
      <c r="JGH35" s="774"/>
      <c r="JGI35" s="774"/>
      <c r="JGJ35" s="774"/>
      <c r="JGK35" s="774"/>
      <c r="JGL35" s="774"/>
      <c r="JGM35" s="774"/>
      <c r="JGN35" s="774"/>
      <c r="JGO35" s="774"/>
      <c r="JGP35" s="774"/>
      <c r="JGQ35" s="774"/>
      <c r="JGR35" s="774"/>
      <c r="JGS35" s="774"/>
      <c r="JGT35" s="774"/>
      <c r="JGU35" s="774"/>
      <c r="JGV35" s="774"/>
      <c r="JGW35" s="774"/>
      <c r="JGX35" s="774"/>
      <c r="JGY35" s="774"/>
      <c r="JGZ35" s="774"/>
      <c r="JHA35" s="774"/>
      <c r="JHB35" s="774"/>
      <c r="JHC35" s="774"/>
      <c r="JHD35" s="774"/>
      <c r="JHE35" s="774"/>
      <c r="JHF35" s="774"/>
      <c r="JHG35" s="774"/>
      <c r="JHH35" s="774"/>
      <c r="JHI35" s="774"/>
      <c r="JHJ35" s="774"/>
      <c r="JHK35" s="774"/>
      <c r="JHL35" s="774"/>
      <c r="JHM35" s="774"/>
      <c r="JHN35" s="774"/>
      <c r="JHO35" s="774"/>
      <c r="JHP35" s="774"/>
      <c r="JHQ35" s="774"/>
      <c r="JHR35" s="774"/>
      <c r="JHS35" s="774"/>
      <c r="JHT35" s="774"/>
      <c r="JHU35" s="774"/>
      <c r="JHV35" s="774"/>
      <c r="JHW35" s="774"/>
      <c r="JHX35" s="774"/>
      <c r="JHY35" s="774"/>
      <c r="JHZ35" s="774"/>
      <c r="JIA35" s="774"/>
      <c r="JIB35" s="774"/>
      <c r="JIC35" s="774"/>
      <c r="JID35" s="774"/>
      <c r="JIE35" s="774"/>
      <c r="JIF35" s="774"/>
      <c r="JIG35" s="774"/>
      <c r="JIH35" s="774"/>
      <c r="JII35" s="774"/>
      <c r="JIJ35" s="774"/>
      <c r="JIK35" s="774"/>
      <c r="JIL35" s="774"/>
      <c r="JIM35" s="774"/>
      <c r="JIN35" s="774"/>
      <c r="JIO35" s="774"/>
      <c r="JIP35" s="774"/>
      <c r="JIQ35" s="774"/>
      <c r="JIR35" s="774"/>
      <c r="JIS35" s="774"/>
      <c r="JIT35" s="774"/>
      <c r="JIU35" s="774"/>
      <c r="JIV35" s="774"/>
      <c r="JIW35" s="774"/>
      <c r="JIX35" s="774"/>
      <c r="JIY35" s="774"/>
      <c r="JIZ35" s="774"/>
      <c r="JJA35" s="774"/>
      <c r="JJB35" s="774"/>
      <c r="JJC35" s="774"/>
      <c r="JJD35" s="774"/>
      <c r="JJE35" s="774"/>
      <c r="JJF35" s="774"/>
      <c r="JJG35" s="774"/>
      <c r="JJH35" s="774"/>
      <c r="JJI35" s="774"/>
      <c r="JJJ35" s="774"/>
      <c r="JJK35" s="774"/>
      <c r="JJL35" s="774"/>
      <c r="JJM35" s="774"/>
      <c r="JJN35" s="774"/>
      <c r="JJO35" s="774"/>
      <c r="JJP35" s="774"/>
      <c r="JJQ35" s="774"/>
      <c r="JJR35" s="774"/>
      <c r="JJS35" s="774"/>
      <c r="JJT35" s="774"/>
      <c r="JJU35" s="774"/>
      <c r="JJV35" s="774"/>
      <c r="JJW35" s="774"/>
      <c r="JJX35" s="774"/>
      <c r="JJY35" s="774"/>
      <c r="JJZ35" s="774"/>
      <c r="JKA35" s="774"/>
      <c r="JKB35" s="774"/>
      <c r="JKC35" s="774"/>
      <c r="JKD35" s="774"/>
      <c r="JKE35" s="774"/>
      <c r="JKF35" s="774"/>
      <c r="JKG35" s="774"/>
      <c r="JKH35" s="774"/>
      <c r="JKI35" s="774"/>
      <c r="JKJ35" s="774"/>
      <c r="JKK35" s="774"/>
      <c r="JKL35" s="774"/>
      <c r="JKM35" s="774"/>
      <c r="JKN35" s="774"/>
      <c r="JKO35" s="774"/>
      <c r="JKP35" s="774"/>
      <c r="JKQ35" s="774"/>
      <c r="JKR35" s="774"/>
      <c r="JKS35" s="774"/>
      <c r="JKT35" s="774"/>
      <c r="JKU35" s="774"/>
      <c r="JKV35" s="774"/>
      <c r="JKW35" s="774"/>
      <c r="JKX35" s="774"/>
      <c r="JKY35" s="774"/>
      <c r="JKZ35" s="774"/>
      <c r="JLA35" s="774"/>
      <c r="JLB35" s="774"/>
      <c r="JLC35" s="774"/>
      <c r="JLD35" s="774"/>
      <c r="JLE35" s="774"/>
      <c r="JLF35" s="774"/>
      <c r="JLG35" s="774"/>
      <c r="JLH35" s="774"/>
      <c r="JLI35" s="774"/>
      <c r="JLJ35" s="774"/>
      <c r="JLK35" s="774"/>
      <c r="JLL35" s="774"/>
      <c r="JLM35" s="774"/>
      <c r="JLN35" s="774"/>
      <c r="JLO35" s="774"/>
      <c r="JLP35" s="774"/>
      <c r="JLQ35" s="774"/>
      <c r="JLR35" s="774"/>
      <c r="JLS35" s="774"/>
      <c r="JLT35" s="774"/>
      <c r="JLU35" s="774"/>
      <c r="JLV35" s="774"/>
      <c r="JLW35" s="774"/>
      <c r="JLX35" s="774"/>
      <c r="JLY35" s="774"/>
      <c r="JLZ35" s="774"/>
      <c r="JMA35" s="774"/>
      <c r="JMB35" s="774"/>
      <c r="JMC35" s="774"/>
      <c r="JMD35" s="774"/>
      <c r="JME35" s="774"/>
      <c r="JMF35" s="774"/>
      <c r="JMG35" s="774"/>
      <c r="JMH35" s="774"/>
      <c r="JMI35" s="774"/>
      <c r="JMJ35" s="774"/>
      <c r="JMK35" s="774"/>
      <c r="JML35" s="774"/>
      <c r="JMM35" s="774"/>
      <c r="JMN35" s="774"/>
      <c r="JMO35" s="774"/>
      <c r="JMP35" s="774"/>
      <c r="JMQ35" s="774"/>
      <c r="JMR35" s="774"/>
      <c r="JMS35" s="774"/>
      <c r="JMT35" s="774"/>
      <c r="JMU35" s="774"/>
      <c r="JMV35" s="774"/>
      <c r="JMW35" s="774"/>
      <c r="JMX35" s="774"/>
      <c r="JMY35" s="774"/>
      <c r="JMZ35" s="774"/>
      <c r="JNA35" s="774"/>
      <c r="JNB35" s="774"/>
      <c r="JNC35" s="774"/>
      <c r="JND35" s="774"/>
      <c r="JNE35" s="774"/>
      <c r="JNF35" s="774"/>
      <c r="JNG35" s="774"/>
      <c r="JNH35" s="774"/>
      <c r="JNI35" s="774"/>
      <c r="JNJ35" s="774"/>
      <c r="JNK35" s="774"/>
      <c r="JNL35" s="774"/>
      <c r="JNM35" s="774"/>
      <c r="JNN35" s="774"/>
      <c r="JNO35" s="774"/>
      <c r="JNP35" s="774"/>
      <c r="JNQ35" s="774"/>
      <c r="JNR35" s="774"/>
      <c r="JNS35" s="774"/>
      <c r="JNT35" s="774"/>
      <c r="JNU35" s="774"/>
      <c r="JNV35" s="774"/>
      <c r="JNW35" s="774"/>
      <c r="JNX35" s="774"/>
      <c r="JNY35" s="774"/>
      <c r="JNZ35" s="774"/>
      <c r="JOA35" s="774"/>
      <c r="JOB35" s="774"/>
      <c r="JOC35" s="774"/>
      <c r="JOD35" s="774"/>
      <c r="JOE35" s="774"/>
      <c r="JOF35" s="774"/>
      <c r="JOG35" s="774"/>
      <c r="JOH35" s="774"/>
      <c r="JOI35" s="774"/>
      <c r="JOJ35" s="774"/>
      <c r="JOK35" s="774"/>
      <c r="JOL35" s="774"/>
      <c r="JOM35" s="774"/>
      <c r="JON35" s="774"/>
      <c r="JOO35" s="774"/>
      <c r="JOP35" s="774"/>
      <c r="JOQ35" s="774"/>
      <c r="JOR35" s="774"/>
      <c r="JOS35" s="774"/>
      <c r="JOT35" s="774"/>
      <c r="JOU35" s="774"/>
      <c r="JOV35" s="774"/>
      <c r="JOW35" s="774"/>
      <c r="JOX35" s="774"/>
      <c r="JOY35" s="774"/>
      <c r="JOZ35" s="774"/>
      <c r="JPA35" s="774"/>
      <c r="JPB35" s="774"/>
      <c r="JPC35" s="774"/>
      <c r="JPD35" s="774"/>
      <c r="JPE35" s="774"/>
      <c r="JPF35" s="774"/>
      <c r="JPG35" s="774"/>
      <c r="JPH35" s="774"/>
      <c r="JPI35" s="774"/>
      <c r="JPJ35" s="774"/>
      <c r="JPK35" s="774"/>
      <c r="JPL35" s="774"/>
      <c r="JPM35" s="774"/>
      <c r="JPN35" s="774"/>
      <c r="JPO35" s="774"/>
      <c r="JPP35" s="774"/>
      <c r="JPQ35" s="774"/>
      <c r="JPR35" s="774"/>
      <c r="JPS35" s="774"/>
      <c r="JPT35" s="774"/>
      <c r="JPU35" s="774"/>
      <c r="JPV35" s="774"/>
      <c r="JPW35" s="774"/>
      <c r="JPX35" s="774"/>
      <c r="JPY35" s="774"/>
      <c r="JPZ35" s="774"/>
      <c r="JQA35" s="774"/>
      <c r="JQB35" s="774"/>
      <c r="JQC35" s="774"/>
      <c r="JQD35" s="774"/>
      <c r="JQE35" s="774"/>
      <c r="JQF35" s="774"/>
      <c r="JQG35" s="774"/>
      <c r="JQH35" s="774"/>
      <c r="JQI35" s="774"/>
      <c r="JQJ35" s="774"/>
      <c r="JQK35" s="774"/>
      <c r="JQL35" s="774"/>
      <c r="JQM35" s="774"/>
      <c r="JQN35" s="774"/>
      <c r="JQO35" s="774"/>
      <c r="JQP35" s="774"/>
      <c r="JQQ35" s="774"/>
      <c r="JQR35" s="774"/>
      <c r="JQS35" s="774"/>
      <c r="JQT35" s="774"/>
      <c r="JQU35" s="774"/>
      <c r="JQV35" s="774"/>
      <c r="JQW35" s="774"/>
      <c r="JQX35" s="774"/>
      <c r="JQY35" s="774"/>
      <c r="JQZ35" s="774"/>
      <c r="JRA35" s="774"/>
      <c r="JRB35" s="774"/>
      <c r="JRC35" s="774"/>
      <c r="JRD35" s="774"/>
      <c r="JRE35" s="774"/>
      <c r="JRF35" s="774"/>
      <c r="JRG35" s="774"/>
      <c r="JRH35" s="774"/>
      <c r="JRI35" s="774"/>
      <c r="JRJ35" s="774"/>
      <c r="JRK35" s="774"/>
      <c r="JRL35" s="774"/>
      <c r="JRM35" s="774"/>
      <c r="JRN35" s="774"/>
      <c r="JRO35" s="774"/>
      <c r="JRP35" s="774"/>
      <c r="JRQ35" s="774"/>
      <c r="JRR35" s="774"/>
      <c r="JRS35" s="774"/>
      <c r="JRT35" s="774"/>
      <c r="JRU35" s="774"/>
      <c r="JRV35" s="774"/>
      <c r="JRW35" s="774"/>
      <c r="JRX35" s="774"/>
      <c r="JRY35" s="774"/>
      <c r="JRZ35" s="774"/>
      <c r="JSA35" s="774"/>
      <c r="JSB35" s="774"/>
      <c r="JSC35" s="774"/>
      <c r="JSD35" s="774"/>
      <c r="JSE35" s="774"/>
      <c r="JSF35" s="774"/>
      <c r="JSG35" s="774"/>
      <c r="JSH35" s="774"/>
      <c r="JSI35" s="774"/>
      <c r="JSJ35" s="774"/>
      <c r="JSK35" s="774"/>
      <c r="JSL35" s="774"/>
      <c r="JSM35" s="774"/>
      <c r="JSN35" s="774"/>
      <c r="JSO35" s="774"/>
      <c r="JSP35" s="774"/>
      <c r="JSQ35" s="774"/>
      <c r="JSR35" s="774"/>
      <c r="JSS35" s="774"/>
      <c r="JST35" s="774"/>
      <c r="JSU35" s="774"/>
      <c r="JSV35" s="774"/>
      <c r="JSW35" s="774"/>
      <c r="JSX35" s="774"/>
      <c r="JSY35" s="774"/>
      <c r="JSZ35" s="774"/>
      <c r="JTA35" s="774"/>
      <c r="JTB35" s="774"/>
      <c r="JTC35" s="774"/>
      <c r="JTD35" s="774"/>
      <c r="JTE35" s="774"/>
      <c r="JTF35" s="774"/>
      <c r="JTG35" s="774"/>
      <c r="JTH35" s="774"/>
      <c r="JTI35" s="774"/>
      <c r="JTJ35" s="774"/>
      <c r="JTK35" s="774"/>
      <c r="JTL35" s="774"/>
      <c r="JTM35" s="774"/>
      <c r="JTN35" s="774"/>
      <c r="JTO35" s="774"/>
      <c r="JTP35" s="774"/>
      <c r="JTQ35" s="774"/>
      <c r="JTR35" s="774"/>
      <c r="JTS35" s="774"/>
      <c r="JTT35" s="774"/>
      <c r="JTU35" s="774"/>
      <c r="JTV35" s="774"/>
      <c r="JTW35" s="774"/>
      <c r="JTX35" s="774"/>
      <c r="JTY35" s="774"/>
      <c r="JTZ35" s="774"/>
      <c r="JUA35" s="774"/>
      <c r="JUB35" s="774"/>
      <c r="JUC35" s="774"/>
      <c r="JUD35" s="774"/>
      <c r="JUE35" s="774"/>
      <c r="JUF35" s="774"/>
      <c r="JUG35" s="774"/>
      <c r="JUH35" s="774"/>
      <c r="JUI35" s="774"/>
      <c r="JUJ35" s="774"/>
      <c r="JUK35" s="774"/>
      <c r="JUL35" s="774"/>
      <c r="JUM35" s="774"/>
      <c r="JUN35" s="774"/>
      <c r="JUO35" s="774"/>
      <c r="JUP35" s="774"/>
      <c r="JUQ35" s="774"/>
      <c r="JUR35" s="774"/>
      <c r="JUS35" s="774"/>
      <c r="JUT35" s="774"/>
      <c r="JUU35" s="774"/>
      <c r="JUV35" s="774"/>
      <c r="JUW35" s="774"/>
      <c r="JUX35" s="774"/>
      <c r="JUY35" s="774"/>
      <c r="JUZ35" s="774"/>
      <c r="JVA35" s="774"/>
      <c r="JVB35" s="774"/>
      <c r="JVC35" s="774"/>
      <c r="JVD35" s="774"/>
      <c r="JVE35" s="774"/>
      <c r="JVF35" s="774"/>
      <c r="JVG35" s="774"/>
      <c r="JVH35" s="774"/>
      <c r="JVI35" s="774"/>
      <c r="JVJ35" s="774"/>
      <c r="JVK35" s="774"/>
      <c r="JVL35" s="774"/>
      <c r="JVM35" s="774"/>
      <c r="JVN35" s="774"/>
      <c r="JVO35" s="774"/>
      <c r="JVP35" s="774"/>
      <c r="JVQ35" s="774"/>
      <c r="JVR35" s="774"/>
      <c r="JVS35" s="774"/>
      <c r="JVT35" s="774"/>
      <c r="JVU35" s="774"/>
      <c r="JVV35" s="774"/>
      <c r="JVW35" s="774"/>
      <c r="JVX35" s="774"/>
      <c r="JVY35" s="774"/>
      <c r="JVZ35" s="774"/>
      <c r="JWA35" s="774"/>
      <c r="JWB35" s="774"/>
      <c r="JWC35" s="774"/>
      <c r="JWD35" s="774"/>
      <c r="JWE35" s="774"/>
      <c r="JWF35" s="774"/>
      <c r="JWG35" s="774"/>
      <c r="JWH35" s="774"/>
      <c r="JWI35" s="774"/>
      <c r="JWJ35" s="774"/>
      <c r="JWK35" s="774"/>
      <c r="JWL35" s="774"/>
      <c r="JWM35" s="774"/>
      <c r="JWN35" s="774"/>
      <c r="JWO35" s="774"/>
      <c r="JWP35" s="774"/>
      <c r="JWQ35" s="774"/>
      <c r="JWR35" s="774"/>
      <c r="JWS35" s="774"/>
      <c r="JWT35" s="774"/>
      <c r="JWU35" s="774"/>
      <c r="JWV35" s="774"/>
      <c r="JWW35" s="774"/>
      <c r="JWX35" s="774"/>
      <c r="JWY35" s="774"/>
      <c r="JWZ35" s="774"/>
      <c r="JXA35" s="774"/>
      <c r="JXB35" s="774"/>
      <c r="JXC35" s="774"/>
      <c r="JXD35" s="774"/>
      <c r="JXE35" s="774"/>
      <c r="JXF35" s="774"/>
      <c r="JXG35" s="774"/>
      <c r="JXH35" s="774"/>
      <c r="JXI35" s="774"/>
      <c r="JXJ35" s="774"/>
      <c r="JXK35" s="774"/>
      <c r="JXL35" s="774"/>
      <c r="JXM35" s="774"/>
      <c r="JXN35" s="774"/>
      <c r="JXO35" s="774"/>
      <c r="JXP35" s="774"/>
      <c r="JXQ35" s="774"/>
      <c r="JXR35" s="774"/>
      <c r="JXS35" s="774"/>
      <c r="JXT35" s="774"/>
      <c r="JXU35" s="774"/>
      <c r="JXV35" s="774"/>
      <c r="JXW35" s="774"/>
      <c r="JXX35" s="774"/>
      <c r="JXY35" s="774"/>
      <c r="JXZ35" s="774"/>
      <c r="JYA35" s="774"/>
      <c r="JYB35" s="774"/>
      <c r="JYC35" s="774"/>
      <c r="JYD35" s="774"/>
      <c r="JYE35" s="774"/>
      <c r="JYF35" s="774"/>
      <c r="JYG35" s="774"/>
      <c r="JYH35" s="774"/>
      <c r="JYI35" s="774"/>
      <c r="JYJ35" s="774"/>
      <c r="JYK35" s="774"/>
      <c r="JYL35" s="774"/>
      <c r="JYM35" s="774"/>
      <c r="JYN35" s="774"/>
      <c r="JYO35" s="774"/>
      <c r="JYP35" s="774"/>
      <c r="JYQ35" s="774"/>
      <c r="JYR35" s="774"/>
      <c r="JYS35" s="774"/>
      <c r="JYT35" s="774"/>
      <c r="JYU35" s="774"/>
      <c r="JYV35" s="774"/>
      <c r="JYW35" s="774"/>
      <c r="JYX35" s="774"/>
      <c r="JYY35" s="774"/>
      <c r="JYZ35" s="774"/>
      <c r="JZA35" s="774"/>
      <c r="JZB35" s="774"/>
      <c r="JZC35" s="774"/>
      <c r="JZD35" s="774"/>
      <c r="JZE35" s="774"/>
      <c r="JZF35" s="774"/>
      <c r="JZG35" s="774"/>
      <c r="JZH35" s="774"/>
      <c r="JZI35" s="774"/>
      <c r="JZJ35" s="774"/>
      <c r="JZK35" s="774"/>
      <c r="JZL35" s="774"/>
      <c r="JZM35" s="774"/>
      <c r="JZN35" s="774"/>
      <c r="JZO35" s="774"/>
      <c r="JZP35" s="774"/>
      <c r="JZQ35" s="774"/>
      <c r="JZR35" s="774"/>
      <c r="JZS35" s="774"/>
      <c r="JZT35" s="774"/>
      <c r="JZU35" s="774"/>
      <c r="JZV35" s="774"/>
      <c r="JZW35" s="774"/>
      <c r="JZX35" s="774"/>
      <c r="JZY35" s="774"/>
      <c r="JZZ35" s="774"/>
      <c r="KAA35" s="774"/>
      <c r="KAB35" s="774"/>
      <c r="KAC35" s="774"/>
      <c r="KAD35" s="774"/>
      <c r="KAE35" s="774"/>
      <c r="KAF35" s="774"/>
      <c r="KAG35" s="774"/>
      <c r="KAH35" s="774"/>
      <c r="KAI35" s="774"/>
      <c r="KAJ35" s="774"/>
      <c r="KAK35" s="774"/>
      <c r="KAL35" s="774"/>
      <c r="KAM35" s="774"/>
      <c r="KAN35" s="774"/>
      <c r="KAO35" s="774"/>
      <c r="KAP35" s="774"/>
      <c r="KAQ35" s="774"/>
      <c r="KAR35" s="774"/>
      <c r="KAS35" s="774"/>
      <c r="KAT35" s="774"/>
      <c r="KAU35" s="774"/>
      <c r="KAV35" s="774"/>
      <c r="KAW35" s="774"/>
      <c r="KAX35" s="774"/>
      <c r="KAY35" s="774"/>
      <c r="KAZ35" s="774"/>
      <c r="KBA35" s="774"/>
      <c r="KBB35" s="774"/>
      <c r="KBC35" s="774"/>
      <c r="KBD35" s="774"/>
      <c r="KBE35" s="774"/>
      <c r="KBF35" s="774"/>
      <c r="KBG35" s="774"/>
      <c r="KBH35" s="774"/>
      <c r="KBI35" s="774"/>
      <c r="KBJ35" s="774"/>
      <c r="KBK35" s="774"/>
      <c r="KBL35" s="774"/>
      <c r="KBM35" s="774"/>
      <c r="KBN35" s="774"/>
      <c r="KBO35" s="774"/>
      <c r="KBP35" s="774"/>
      <c r="KBQ35" s="774"/>
      <c r="KBR35" s="774"/>
      <c r="KBS35" s="774"/>
      <c r="KBT35" s="774"/>
      <c r="KBU35" s="774"/>
      <c r="KBV35" s="774"/>
      <c r="KBW35" s="774"/>
      <c r="KBX35" s="774"/>
      <c r="KBY35" s="774"/>
      <c r="KBZ35" s="774"/>
      <c r="KCA35" s="774"/>
      <c r="KCB35" s="774"/>
      <c r="KCC35" s="774"/>
      <c r="KCD35" s="774"/>
      <c r="KCE35" s="774"/>
      <c r="KCF35" s="774"/>
      <c r="KCG35" s="774"/>
      <c r="KCH35" s="774"/>
      <c r="KCI35" s="774"/>
      <c r="KCJ35" s="774"/>
      <c r="KCK35" s="774"/>
      <c r="KCL35" s="774"/>
      <c r="KCM35" s="774"/>
      <c r="KCN35" s="774"/>
      <c r="KCO35" s="774"/>
      <c r="KCP35" s="774"/>
      <c r="KCQ35" s="774"/>
      <c r="KCR35" s="774"/>
      <c r="KCS35" s="774"/>
      <c r="KCT35" s="774"/>
      <c r="KCU35" s="774"/>
      <c r="KCV35" s="774"/>
      <c r="KCW35" s="774"/>
      <c r="KCX35" s="774"/>
      <c r="KCY35" s="774"/>
      <c r="KCZ35" s="774"/>
      <c r="KDA35" s="774"/>
      <c r="KDB35" s="774"/>
      <c r="KDC35" s="774"/>
      <c r="KDD35" s="774"/>
      <c r="KDE35" s="774"/>
      <c r="KDF35" s="774"/>
      <c r="KDG35" s="774"/>
      <c r="KDH35" s="774"/>
      <c r="KDI35" s="774"/>
      <c r="KDJ35" s="774"/>
      <c r="KDK35" s="774"/>
      <c r="KDL35" s="774"/>
      <c r="KDM35" s="774"/>
      <c r="KDN35" s="774"/>
      <c r="KDO35" s="774"/>
      <c r="KDP35" s="774"/>
      <c r="KDQ35" s="774"/>
      <c r="KDR35" s="774"/>
      <c r="KDS35" s="774"/>
      <c r="KDT35" s="774"/>
      <c r="KDU35" s="774"/>
      <c r="KDV35" s="774"/>
      <c r="KDW35" s="774"/>
      <c r="KDX35" s="774"/>
      <c r="KDY35" s="774"/>
      <c r="KDZ35" s="774"/>
      <c r="KEA35" s="774"/>
      <c r="KEB35" s="774"/>
      <c r="KEC35" s="774"/>
      <c r="KED35" s="774"/>
      <c r="KEE35" s="774"/>
      <c r="KEF35" s="774"/>
      <c r="KEG35" s="774"/>
      <c r="KEH35" s="774"/>
      <c r="KEI35" s="774"/>
      <c r="KEJ35" s="774"/>
      <c r="KEK35" s="774"/>
      <c r="KEL35" s="774"/>
      <c r="KEM35" s="774"/>
      <c r="KEN35" s="774"/>
      <c r="KEO35" s="774"/>
      <c r="KEP35" s="774"/>
      <c r="KEQ35" s="774"/>
      <c r="KER35" s="774"/>
      <c r="KES35" s="774"/>
      <c r="KET35" s="774"/>
      <c r="KEU35" s="774"/>
      <c r="KEV35" s="774"/>
      <c r="KEW35" s="774"/>
      <c r="KEX35" s="774"/>
      <c r="KEY35" s="774"/>
      <c r="KEZ35" s="774"/>
      <c r="KFA35" s="774"/>
      <c r="KFB35" s="774"/>
      <c r="KFC35" s="774"/>
      <c r="KFD35" s="774"/>
      <c r="KFE35" s="774"/>
      <c r="KFF35" s="774"/>
      <c r="KFG35" s="774"/>
      <c r="KFH35" s="774"/>
      <c r="KFI35" s="774"/>
      <c r="KFJ35" s="774"/>
      <c r="KFK35" s="774"/>
      <c r="KFL35" s="774"/>
      <c r="KFM35" s="774"/>
      <c r="KFN35" s="774"/>
      <c r="KFO35" s="774"/>
      <c r="KFP35" s="774"/>
      <c r="KFQ35" s="774"/>
      <c r="KFR35" s="774"/>
      <c r="KFS35" s="774"/>
      <c r="KFT35" s="774"/>
      <c r="KFU35" s="774"/>
      <c r="KFV35" s="774"/>
      <c r="KFW35" s="774"/>
      <c r="KFX35" s="774"/>
      <c r="KFY35" s="774"/>
      <c r="KFZ35" s="774"/>
      <c r="KGA35" s="774"/>
      <c r="KGB35" s="774"/>
      <c r="KGC35" s="774"/>
      <c r="KGD35" s="774"/>
      <c r="KGE35" s="774"/>
      <c r="KGF35" s="774"/>
      <c r="KGG35" s="774"/>
      <c r="KGH35" s="774"/>
      <c r="KGI35" s="774"/>
      <c r="KGJ35" s="774"/>
      <c r="KGK35" s="774"/>
      <c r="KGL35" s="774"/>
      <c r="KGM35" s="774"/>
      <c r="KGN35" s="774"/>
      <c r="KGO35" s="774"/>
      <c r="KGP35" s="774"/>
      <c r="KGQ35" s="774"/>
      <c r="KGR35" s="774"/>
      <c r="KGS35" s="774"/>
      <c r="KGT35" s="774"/>
      <c r="KGU35" s="774"/>
      <c r="KGV35" s="774"/>
      <c r="KGW35" s="774"/>
      <c r="KGX35" s="774"/>
      <c r="KGY35" s="774"/>
      <c r="KGZ35" s="774"/>
      <c r="KHA35" s="774"/>
      <c r="KHB35" s="774"/>
      <c r="KHC35" s="774"/>
      <c r="KHD35" s="774"/>
      <c r="KHE35" s="774"/>
      <c r="KHF35" s="774"/>
      <c r="KHG35" s="774"/>
      <c r="KHH35" s="774"/>
      <c r="KHI35" s="774"/>
      <c r="KHJ35" s="774"/>
      <c r="KHK35" s="774"/>
      <c r="KHL35" s="774"/>
      <c r="KHM35" s="774"/>
      <c r="KHN35" s="774"/>
      <c r="KHO35" s="774"/>
      <c r="KHP35" s="774"/>
      <c r="KHQ35" s="774"/>
      <c r="KHR35" s="774"/>
      <c r="KHS35" s="774"/>
      <c r="KHT35" s="774"/>
      <c r="KHU35" s="774"/>
      <c r="KHV35" s="774"/>
      <c r="KHW35" s="774"/>
      <c r="KHX35" s="774"/>
      <c r="KHY35" s="774"/>
      <c r="KHZ35" s="774"/>
      <c r="KIA35" s="774"/>
      <c r="KIB35" s="774"/>
      <c r="KIC35" s="774"/>
      <c r="KID35" s="774"/>
      <c r="KIE35" s="774"/>
      <c r="KIF35" s="774"/>
      <c r="KIG35" s="774"/>
      <c r="KIH35" s="774"/>
      <c r="KII35" s="774"/>
      <c r="KIJ35" s="774"/>
      <c r="KIK35" s="774"/>
      <c r="KIL35" s="774"/>
      <c r="KIM35" s="774"/>
      <c r="KIN35" s="774"/>
      <c r="KIO35" s="774"/>
      <c r="KIP35" s="774"/>
      <c r="KIQ35" s="774"/>
      <c r="KIR35" s="774"/>
      <c r="KIS35" s="774"/>
      <c r="KIT35" s="774"/>
      <c r="KIU35" s="774"/>
      <c r="KIV35" s="774"/>
      <c r="KIW35" s="774"/>
      <c r="KIX35" s="774"/>
      <c r="KIY35" s="774"/>
      <c r="KIZ35" s="774"/>
      <c r="KJA35" s="774"/>
      <c r="KJB35" s="774"/>
      <c r="KJC35" s="774"/>
      <c r="KJD35" s="774"/>
      <c r="KJE35" s="774"/>
      <c r="KJF35" s="774"/>
      <c r="KJG35" s="774"/>
      <c r="KJH35" s="774"/>
      <c r="KJI35" s="774"/>
      <c r="KJJ35" s="774"/>
      <c r="KJK35" s="774"/>
      <c r="KJL35" s="774"/>
      <c r="KJM35" s="774"/>
      <c r="KJN35" s="774"/>
      <c r="KJO35" s="774"/>
      <c r="KJP35" s="774"/>
      <c r="KJQ35" s="774"/>
      <c r="KJR35" s="774"/>
      <c r="KJS35" s="774"/>
      <c r="KJT35" s="774"/>
      <c r="KJU35" s="774"/>
      <c r="KJV35" s="774"/>
      <c r="KJW35" s="774"/>
      <c r="KJX35" s="774"/>
      <c r="KJY35" s="774"/>
      <c r="KJZ35" s="774"/>
      <c r="KKA35" s="774"/>
      <c r="KKB35" s="774"/>
      <c r="KKC35" s="774"/>
      <c r="KKD35" s="774"/>
      <c r="KKE35" s="774"/>
      <c r="KKF35" s="774"/>
      <c r="KKG35" s="774"/>
      <c r="KKH35" s="774"/>
      <c r="KKI35" s="774"/>
      <c r="KKJ35" s="774"/>
      <c r="KKK35" s="774"/>
      <c r="KKL35" s="774"/>
      <c r="KKM35" s="774"/>
      <c r="KKN35" s="774"/>
      <c r="KKO35" s="774"/>
      <c r="KKP35" s="774"/>
      <c r="KKQ35" s="774"/>
      <c r="KKR35" s="774"/>
      <c r="KKS35" s="774"/>
      <c r="KKT35" s="774"/>
      <c r="KKU35" s="774"/>
      <c r="KKV35" s="774"/>
      <c r="KKW35" s="774"/>
      <c r="KKX35" s="774"/>
      <c r="KKY35" s="774"/>
      <c r="KKZ35" s="774"/>
      <c r="KLA35" s="774"/>
      <c r="KLB35" s="774"/>
      <c r="KLC35" s="774"/>
      <c r="KLD35" s="774"/>
      <c r="KLE35" s="774"/>
      <c r="KLF35" s="774"/>
      <c r="KLG35" s="774"/>
      <c r="KLH35" s="774"/>
      <c r="KLI35" s="774"/>
      <c r="KLJ35" s="774"/>
      <c r="KLK35" s="774"/>
      <c r="KLL35" s="774"/>
      <c r="KLM35" s="774"/>
      <c r="KLN35" s="774"/>
      <c r="KLO35" s="774"/>
      <c r="KLP35" s="774"/>
      <c r="KLQ35" s="774"/>
      <c r="KLR35" s="774"/>
      <c r="KLS35" s="774"/>
      <c r="KLT35" s="774"/>
      <c r="KLU35" s="774"/>
      <c r="KLV35" s="774"/>
      <c r="KLW35" s="774"/>
      <c r="KLX35" s="774"/>
      <c r="KLY35" s="774"/>
      <c r="KLZ35" s="774"/>
      <c r="KMA35" s="774"/>
      <c r="KMB35" s="774"/>
      <c r="KMC35" s="774"/>
      <c r="KMD35" s="774"/>
      <c r="KME35" s="774"/>
      <c r="KMF35" s="774"/>
      <c r="KMG35" s="774"/>
      <c r="KMH35" s="774"/>
      <c r="KMI35" s="774"/>
      <c r="KMJ35" s="774"/>
      <c r="KMK35" s="774"/>
      <c r="KML35" s="774"/>
      <c r="KMM35" s="774"/>
      <c r="KMN35" s="774"/>
      <c r="KMO35" s="774"/>
      <c r="KMP35" s="774"/>
      <c r="KMQ35" s="774"/>
      <c r="KMR35" s="774"/>
      <c r="KMS35" s="774"/>
      <c r="KMT35" s="774"/>
      <c r="KMU35" s="774"/>
      <c r="KMV35" s="774"/>
      <c r="KMW35" s="774"/>
      <c r="KMX35" s="774"/>
      <c r="KMY35" s="774"/>
      <c r="KMZ35" s="774"/>
      <c r="KNA35" s="774"/>
      <c r="KNB35" s="774"/>
      <c r="KNC35" s="774"/>
      <c r="KND35" s="774"/>
      <c r="KNE35" s="774"/>
      <c r="KNF35" s="774"/>
      <c r="KNG35" s="774"/>
      <c r="KNH35" s="774"/>
      <c r="KNI35" s="774"/>
      <c r="KNJ35" s="774"/>
      <c r="KNK35" s="774"/>
      <c r="KNL35" s="774"/>
      <c r="KNM35" s="774"/>
      <c r="KNN35" s="774"/>
      <c r="KNO35" s="774"/>
      <c r="KNP35" s="774"/>
      <c r="KNQ35" s="774"/>
      <c r="KNR35" s="774"/>
      <c r="KNS35" s="774"/>
      <c r="KNT35" s="774"/>
      <c r="KNU35" s="774"/>
      <c r="KNV35" s="774"/>
      <c r="KNW35" s="774"/>
      <c r="KNX35" s="774"/>
      <c r="KNY35" s="774"/>
      <c r="KNZ35" s="774"/>
      <c r="KOA35" s="774"/>
      <c r="KOB35" s="774"/>
      <c r="KOC35" s="774"/>
      <c r="KOD35" s="774"/>
      <c r="KOE35" s="774"/>
      <c r="KOF35" s="774"/>
      <c r="KOG35" s="774"/>
      <c r="KOH35" s="774"/>
      <c r="KOI35" s="774"/>
      <c r="KOJ35" s="774"/>
      <c r="KOK35" s="774"/>
      <c r="KOL35" s="774"/>
      <c r="KOM35" s="774"/>
      <c r="KON35" s="774"/>
      <c r="KOO35" s="774"/>
      <c r="KOP35" s="774"/>
      <c r="KOQ35" s="774"/>
      <c r="KOR35" s="774"/>
      <c r="KOS35" s="774"/>
      <c r="KOT35" s="774"/>
      <c r="KOU35" s="774"/>
      <c r="KOV35" s="774"/>
      <c r="KOW35" s="774"/>
      <c r="KOX35" s="774"/>
      <c r="KOY35" s="774"/>
      <c r="KOZ35" s="774"/>
      <c r="KPA35" s="774"/>
      <c r="KPB35" s="774"/>
      <c r="KPC35" s="774"/>
      <c r="KPD35" s="774"/>
      <c r="KPE35" s="774"/>
      <c r="KPF35" s="774"/>
      <c r="KPG35" s="774"/>
      <c r="KPH35" s="774"/>
      <c r="KPI35" s="774"/>
      <c r="KPJ35" s="774"/>
      <c r="KPK35" s="774"/>
      <c r="KPL35" s="774"/>
      <c r="KPM35" s="774"/>
      <c r="KPN35" s="774"/>
      <c r="KPO35" s="774"/>
      <c r="KPP35" s="774"/>
      <c r="KPQ35" s="774"/>
      <c r="KPR35" s="774"/>
      <c r="KPS35" s="774"/>
      <c r="KPT35" s="774"/>
      <c r="KPU35" s="774"/>
      <c r="KPV35" s="774"/>
      <c r="KPW35" s="774"/>
      <c r="KPX35" s="774"/>
      <c r="KPY35" s="774"/>
      <c r="KPZ35" s="774"/>
      <c r="KQA35" s="774"/>
      <c r="KQB35" s="774"/>
      <c r="KQC35" s="774"/>
      <c r="KQD35" s="774"/>
      <c r="KQE35" s="774"/>
      <c r="KQF35" s="774"/>
      <c r="KQG35" s="774"/>
      <c r="KQH35" s="774"/>
      <c r="KQI35" s="774"/>
      <c r="KQJ35" s="774"/>
      <c r="KQK35" s="774"/>
      <c r="KQL35" s="774"/>
      <c r="KQM35" s="774"/>
      <c r="KQN35" s="774"/>
      <c r="KQO35" s="774"/>
      <c r="KQP35" s="774"/>
      <c r="KQQ35" s="774"/>
      <c r="KQR35" s="774"/>
      <c r="KQS35" s="774"/>
      <c r="KQT35" s="774"/>
      <c r="KQU35" s="774"/>
      <c r="KQV35" s="774"/>
      <c r="KQW35" s="774"/>
      <c r="KQX35" s="774"/>
      <c r="KQY35" s="774"/>
      <c r="KQZ35" s="774"/>
      <c r="KRA35" s="774"/>
      <c r="KRB35" s="774"/>
      <c r="KRC35" s="774"/>
      <c r="KRD35" s="774"/>
      <c r="KRE35" s="774"/>
      <c r="KRF35" s="774"/>
      <c r="KRG35" s="774"/>
      <c r="KRH35" s="774"/>
      <c r="KRI35" s="774"/>
      <c r="KRJ35" s="774"/>
      <c r="KRK35" s="774"/>
      <c r="KRL35" s="774"/>
      <c r="KRM35" s="774"/>
      <c r="KRN35" s="774"/>
      <c r="KRO35" s="774"/>
      <c r="KRP35" s="774"/>
      <c r="KRQ35" s="774"/>
      <c r="KRR35" s="774"/>
      <c r="KRS35" s="774"/>
      <c r="KRT35" s="774"/>
      <c r="KRU35" s="774"/>
      <c r="KRV35" s="774"/>
      <c r="KRW35" s="774"/>
      <c r="KRX35" s="774"/>
      <c r="KRY35" s="774"/>
      <c r="KRZ35" s="774"/>
      <c r="KSA35" s="774"/>
      <c r="KSB35" s="774"/>
      <c r="KSC35" s="774"/>
      <c r="KSD35" s="774"/>
      <c r="KSE35" s="774"/>
      <c r="KSF35" s="774"/>
      <c r="KSG35" s="774"/>
      <c r="KSH35" s="774"/>
      <c r="KSI35" s="774"/>
      <c r="KSJ35" s="774"/>
      <c r="KSK35" s="774"/>
      <c r="KSL35" s="774"/>
      <c r="KSM35" s="774"/>
      <c r="KSN35" s="774"/>
      <c r="KSO35" s="774"/>
      <c r="KSP35" s="774"/>
      <c r="KSQ35" s="774"/>
      <c r="KSR35" s="774"/>
      <c r="KSS35" s="774"/>
      <c r="KST35" s="774"/>
      <c r="KSU35" s="774"/>
      <c r="KSV35" s="774"/>
      <c r="KSW35" s="774"/>
      <c r="KSX35" s="774"/>
      <c r="KSY35" s="774"/>
      <c r="KSZ35" s="774"/>
      <c r="KTA35" s="774"/>
      <c r="KTB35" s="774"/>
      <c r="KTC35" s="774"/>
      <c r="KTD35" s="774"/>
      <c r="KTE35" s="774"/>
      <c r="KTF35" s="774"/>
      <c r="KTG35" s="774"/>
      <c r="KTH35" s="774"/>
      <c r="KTI35" s="774"/>
      <c r="KTJ35" s="774"/>
      <c r="KTK35" s="774"/>
      <c r="KTL35" s="774"/>
      <c r="KTM35" s="774"/>
      <c r="KTN35" s="774"/>
      <c r="KTO35" s="774"/>
      <c r="KTP35" s="774"/>
      <c r="KTQ35" s="774"/>
      <c r="KTR35" s="774"/>
      <c r="KTS35" s="774"/>
      <c r="KTT35" s="774"/>
      <c r="KTU35" s="774"/>
      <c r="KTV35" s="774"/>
      <c r="KTW35" s="774"/>
      <c r="KTX35" s="774"/>
      <c r="KTY35" s="774"/>
      <c r="KTZ35" s="774"/>
      <c r="KUA35" s="774"/>
      <c r="KUB35" s="774"/>
      <c r="KUC35" s="774"/>
      <c r="KUD35" s="774"/>
      <c r="KUE35" s="774"/>
      <c r="KUF35" s="774"/>
      <c r="KUG35" s="774"/>
      <c r="KUH35" s="774"/>
      <c r="KUI35" s="774"/>
      <c r="KUJ35" s="774"/>
      <c r="KUK35" s="774"/>
      <c r="KUL35" s="774"/>
      <c r="KUM35" s="774"/>
      <c r="KUN35" s="774"/>
      <c r="KUO35" s="774"/>
      <c r="KUP35" s="774"/>
      <c r="KUQ35" s="774"/>
      <c r="KUR35" s="774"/>
      <c r="KUS35" s="774"/>
      <c r="KUT35" s="774"/>
      <c r="KUU35" s="774"/>
      <c r="KUV35" s="774"/>
      <c r="KUW35" s="774"/>
      <c r="KUX35" s="774"/>
      <c r="KUY35" s="774"/>
      <c r="KUZ35" s="774"/>
      <c r="KVA35" s="774"/>
      <c r="KVB35" s="774"/>
      <c r="KVC35" s="774"/>
      <c r="KVD35" s="774"/>
      <c r="KVE35" s="774"/>
      <c r="KVF35" s="774"/>
      <c r="KVG35" s="774"/>
      <c r="KVH35" s="774"/>
      <c r="KVI35" s="774"/>
      <c r="KVJ35" s="774"/>
      <c r="KVK35" s="774"/>
      <c r="KVL35" s="774"/>
      <c r="KVM35" s="774"/>
      <c r="KVN35" s="774"/>
      <c r="KVO35" s="774"/>
      <c r="KVP35" s="774"/>
      <c r="KVQ35" s="774"/>
      <c r="KVR35" s="774"/>
      <c r="KVS35" s="774"/>
      <c r="KVT35" s="774"/>
      <c r="KVU35" s="774"/>
      <c r="KVV35" s="774"/>
      <c r="KVW35" s="774"/>
      <c r="KVX35" s="774"/>
      <c r="KVY35" s="774"/>
      <c r="KVZ35" s="774"/>
      <c r="KWA35" s="774"/>
      <c r="KWB35" s="774"/>
      <c r="KWC35" s="774"/>
      <c r="KWD35" s="774"/>
      <c r="KWE35" s="774"/>
      <c r="KWF35" s="774"/>
      <c r="KWG35" s="774"/>
      <c r="KWH35" s="774"/>
      <c r="KWI35" s="774"/>
      <c r="KWJ35" s="774"/>
      <c r="KWK35" s="774"/>
      <c r="KWL35" s="774"/>
      <c r="KWM35" s="774"/>
      <c r="KWN35" s="774"/>
      <c r="KWO35" s="774"/>
      <c r="KWP35" s="774"/>
      <c r="KWQ35" s="774"/>
      <c r="KWR35" s="774"/>
      <c r="KWS35" s="774"/>
      <c r="KWT35" s="774"/>
      <c r="KWU35" s="774"/>
      <c r="KWV35" s="774"/>
      <c r="KWW35" s="774"/>
      <c r="KWX35" s="774"/>
      <c r="KWY35" s="774"/>
      <c r="KWZ35" s="774"/>
      <c r="KXA35" s="774"/>
      <c r="KXB35" s="774"/>
      <c r="KXC35" s="774"/>
      <c r="KXD35" s="774"/>
      <c r="KXE35" s="774"/>
      <c r="KXF35" s="774"/>
      <c r="KXG35" s="774"/>
      <c r="KXH35" s="774"/>
      <c r="KXI35" s="774"/>
      <c r="KXJ35" s="774"/>
      <c r="KXK35" s="774"/>
      <c r="KXL35" s="774"/>
      <c r="KXM35" s="774"/>
      <c r="KXN35" s="774"/>
      <c r="KXO35" s="774"/>
      <c r="KXP35" s="774"/>
      <c r="KXQ35" s="774"/>
      <c r="KXR35" s="774"/>
      <c r="KXS35" s="774"/>
      <c r="KXT35" s="774"/>
      <c r="KXU35" s="774"/>
      <c r="KXV35" s="774"/>
      <c r="KXW35" s="774"/>
      <c r="KXX35" s="774"/>
      <c r="KXY35" s="774"/>
      <c r="KXZ35" s="774"/>
      <c r="KYA35" s="774"/>
      <c r="KYB35" s="774"/>
      <c r="KYC35" s="774"/>
      <c r="KYD35" s="774"/>
      <c r="KYE35" s="774"/>
      <c r="KYF35" s="774"/>
      <c r="KYG35" s="774"/>
      <c r="KYH35" s="774"/>
      <c r="KYI35" s="774"/>
      <c r="KYJ35" s="774"/>
      <c r="KYK35" s="774"/>
      <c r="KYL35" s="774"/>
      <c r="KYM35" s="774"/>
      <c r="KYN35" s="774"/>
      <c r="KYO35" s="774"/>
      <c r="KYP35" s="774"/>
      <c r="KYQ35" s="774"/>
      <c r="KYR35" s="774"/>
      <c r="KYS35" s="774"/>
      <c r="KYT35" s="774"/>
      <c r="KYU35" s="774"/>
      <c r="KYV35" s="774"/>
      <c r="KYW35" s="774"/>
      <c r="KYX35" s="774"/>
      <c r="KYY35" s="774"/>
      <c r="KYZ35" s="774"/>
      <c r="KZA35" s="774"/>
      <c r="KZB35" s="774"/>
      <c r="KZC35" s="774"/>
      <c r="KZD35" s="774"/>
      <c r="KZE35" s="774"/>
      <c r="KZF35" s="774"/>
      <c r="KZG35" s="774"/>
      <c r="KZH35" s="774"/>
      <c r="KZI35" s="774"/>
      <c r="KZJ35" s="774"/>
      <c r="KZK35" s="774"/>
      <c r="KZL35" s="774"/>
      <c r="KZM35" s="774"/>
      <c r="KZN35" s="774"/>
      <c r="KZO35" s="774"/>
      <c r="KZP35" s="774"/>
      <c r="KZQ35" s="774"/>
      <c r="KZR35" s="774"/>
      <c r="KZS35" s="774"/>
      <c r="KZT35" s="774"/>
      <c r="KZU35" s="774"/>
      <c r="KZV35" s="774"/>
      <c r="KZW35" s="774"/>
      <c r="KZX35" s="774"/>
      <c r="KZY35" s="774"/>
      <c r="KZZ35" s="774"/>
      <c r="LAA35" s="774"/>
      <c r="LAB35" s="774"/>
      <c r="LAC35" s="774"/>
      <c r="LAD35" s="774"/>
      <c r="LAE35" s="774"/>
      <c r="LAF35" s="774"/>
      <c r="LAG35" s="774"/>
      <c r="LAH35" s="774"/>
      <c r="LAI35" s="774"/>
      <c r="LAJ35" s="774"/>
      <c r="LAK35" s="774"/>
      <c r="LAL35" s="774"/>
      <c r="LAM35" s="774"/>
      <c r="LAN35" s="774"/>
      <c r="LAO35" s="774"/>
      <c r="LAP35" s="774"/>
      <c r="LAQ35" s="774"/>
      <c r="LAR35" s="774"/>
      <c r="LAS35" s="774"/>
      <c r="LAT35" s="774"/>
      <c r="LAU35" s="774"/>
      <c r="LAV35" s="774"/>
      <c r="LAW35" s="774"/>
      <c r="LAX35" s="774"/>
      <c r="LAY35" s="774"/>
      <c r="LAZ35" s="774"/>
      <c r="LBA35" s="774"/>
      <c r="LBB35" s="774"/>
      <c r="LBC35" s="774"/>
      <c r="LBD35" s="774"/>
      <c r="LBE35" s="774"/>
      <c r="LBF35" s="774"/>
      <c r="LBG35" s="774"/>
      <c r="LBH35" s="774"/>
      <c r="LBI35" s="774"/>
      <c r="LBJ35" s="774"/>
      <c r="LBK35" s="774"/>
      <c r="LBL35" s="774"/>
      <c r="LBM35" s="774"/>
      <c r="LBN35" s="774"/>
      <c r="LBO35" s="774"/>
      <c r="LBP35" s="774"/>
      <c r="LBQ35" s="774"/>
      <c r="LBR35" s="774"/>
      <c r="LBS35" s="774"/>
      <c r="LBT35" s="774"/>
      <c r="LBU35" s="774"/>
      <c r="LBV35" s="774"/>
      <c r="LBW35" s="774"/>
      <c r="LBX35" s="774"/>
      <c r="LBY35" s="774"/>
      <c r="LBZ35" s="774"/>
      <c r="LCA35" s="774"/>
      <c r="LCB35" s="774"/>
      <c r="LCC35" s="774"/>
      <c r="LCD35" s="774"/>
      <c r="LCE35" s="774"/>
      <c r="LCF35" s="774"/>
      <c r="LCG35" s="774"/>
      <c r="LCH35" s="774"/>
      <c r="LCI35" s="774"/>
      <c r="LCJ35" s="774"/>
      <c r="LCK35" s="774"/>
      <c r="LCL35" s="774"/>
      <c r="LCM35" s="774"/>
      <c r="LCN35" s="774"/>
      <c r="LCO35" s="774"/>
      <c r="LCP35" s="774"/>
      <c r="LCQ35" s="774"/>
      <c r="LCR35" s="774"/>
      <c r="LCS35" s="774"/>
      <c r="LCT35" s="774"/>
      <c r="LCU35" s="774"/>
      <c r="LCV35" s="774"/>
      <c r="LCW35" s="774"/>
      <c r="LCX35" s="774"/>
      <c r="LCY35" s="774"/>
      <c r="LCZ35" s="774"/>
      <c r="LDA35" s="774"/>
      <c r="LDB35" s="774"/>
      <c r="LDC35" s="774"/>
      <c r="LDD35" s="774"/>
      <c r="LDE35" s="774"/>
      <c r="LDF35" s="774"/>
      <c r="LDG35" s="774"/>
      <c r="LDH35" s="774"/>
      <c r="LDI35" s="774"/>
      <c r="LDJ35" s="774"/>
      <c r="LDK35" s="774"/>
      <c r="LDL35" s="774"/>
      <c r="LDM35" s="774"/>
      <c r="LDN35" s="774"/>
      <c r="LDO35" s="774"/>
      <c r="LDP35" s="774"/>
      <c r="LDQ35" s="774"/>
      <c r="LDR35" s="774"/>
      <c r="LDS35" s="774"/>
      <c r="LDT35" s="774"/>
      <c r="LDU35" s="774"/>
      <c r="LDV35" s="774"/>
      <c r="LDW35" s="774"/>
      <c r="LDX35" s="774"/>
      <c r="LDY35" s="774"/>
      <c r="LDZ35" s="774"/>
      <c r="LEA35" s="774"/>
      <c r="LEB35" s="774"/>
      <c r="LEC35" s="774"/>
      <c r="LED35" s="774"/>
      <c r="LEE35" s="774"/>
      <c r="LEF35" s="774"/>
      <c r="LEG35" s="774"/>
      <c r="LEH35" s="774"/>
      <c r="LEI35" s="774"/>
      <c r="LEJ35" s="774"/>
      <c r="LEK35" s="774"/>
      <c r="LEL35" s="774"/>
      <c r="LEM35" s="774"/>
      <c r="LEN35" s="774"/>
      <c r="LEO35" s="774"/>
      <c r="LEP35" s="774"/>
      <c r="LEQ35" s="774"/>
      <c r="LER35" s="774"/>
      <c r="LES35" s="774"/>
      <c r="LET35" s="774"/>
      <c r="LEU35" s="774"/>
      <c r="LEV35" s="774"/>
      <c r="LEW35" s="774"/>
      <c r="LEX35" s="774"/>
      <c r="LEY35" s="774"/>
      <c r="LEZ35" s="774"/>
      <c r="LFA35" s="774"/>
      <c r="LFB35" s="774"/>
      <c r="LFC35" s="774"/>
      <c r="LFD35" s="774"/>
      <c r="LFE35" s="774"/>
      <c r="LFF35" s="774"/>
      <c r="LFG35" s="774"/>
      <c r="LFH35" s="774"/>
      <c r="LFI35" s="774"/>
      <c r="LFJ35" s="774"/>
      <c r="LFK35" s="774"/>
      <c r="LFL35" s="774"/>
      <c r="LFM35" s="774"/>
      <c r="LFN35" s="774"/>
      <c r="LFO35" s="774"/>
      <c r="LFP35" s="774"/>
      <c r="LFQ35" s="774"/>
      <c r="LFR35" s="774"/>
      <c r="LFS35" s="774"/>
      <c r="LFT35" s="774"/>
      <c r="LFU35" s="774"/>
      <c r="LFV35" s="774"/>
      <c r="LFW35" s="774"/>
      <c r="LFX35" s="774"/>
      <c r="LFY35" s="774"/>
      <c r="LFZ35" s="774"/>
      <c r="LGA35" s="774"/>
      <c r="LGB35" s="774"/>
      <c r="LGC35" s="774"/>
      <c r="LGD35" s="774"/>
      <c r="LGE35" s="774"/>
      <c r="LGF35" s="774"/>
      <c r="LGG35" s="774"/>
      <c r="LGH35" s="774"/>
      <c r="LGI35" s="774"/>
      <c r="LGJ35" s="774"/>
      <c r="LGK35" s="774"/>
      <c r="LGL35" s="774"/>
      <c r="LGM35" s="774"/>
      <c r="LGN35" s="774"/>
      <c r="LGO35" s="774"/>
      <c r="LGP35" s="774"/>
      <c r="LGQ35" s="774"/>
      <c r="LGR35" s="774"/>
      <c r="LGS35" s="774"/>
      <c r="LGT35" s="774"/>
      <c r="LGU35" s="774"/>
      <c r="LGV35" s="774"/>
      <c r="LGW35" s="774"/>
      <c r="LGX35" s="774"/>
      <c r="LGY35" s="774"/>
      <c r="LGZ35" s="774"/>
      <c r="LHA35" s="774"/>
      <c r="LHB35" s="774"/>
      <c r="LHC35" s="774"/>
      <c r="LHD35" s="774"/>
      <c r="LHE35" s="774"/>
      <c r="LHF35" s="774"/>
      <c r="LHG35" s="774"/>
      <c r="LHH35" s="774"/>
      <c r="LHI35" s="774"/>
      <c r="LHJ35" s="774"/>
      <c r="LHK35" s="774"/>
      <c r="LHL35" s="774"/>
      <c r="LHM35" s="774"/>
      <c r="LHN35" s="774"/>
      <c r="LHO35" s="774"/>
      <c r="LHP35" s="774"/>
      <c r="LHQ35" s="774"/>
      <c r="LHR35" s="774"/>
      <c r="LHS35" s="774"/>
      <c r="LHT35" s="774"/>
      <c r="LHU35" s="774"/>
      <c r="LHV35" s="774"/>
      <c r="LHW35" s="774"/>
      <c r="LHX35" s="774"/>
      <c r="LHY35" s="774"/>
      <c r="LHZ35" s="774"/>
      <c r="LIA35" s="774"/>
      <c r="LIB35" s="774"/>
      <c r="LIC35" s="774"/>
      <c r="LID35" s="774"/>
      <c r="LIE35" s="774"/>
      <c r="LIF35" s="774"/>
      <c r="LIG35" s="774"/>
      <c r="LIH35" s="774"/>
      <c r="LII35" s="774"/>
      <c r="LIJ35" s="774"/>
      <c r="LIK35" s="774"/>
      <c r="LIL35" s="774"/>
      <c r="LIM35" s="774"/>
      <c r="LIN35" s="774"/>
      <c r="LIO35" s="774"/>
      <c r="LIP35" s="774"/>
      <c r="LIQ35" s="774"/>
      <c r="LIR35" s="774"/>
      <c r="LIS35" s="774"/>
      <c r="LIT35" s="774"/>
      <c r="LIU35" s="774"/>
      <c r="LIV35" s="774"/>
      <c r="LIW35" s="774"/>
      <c r="LIX35" s="774"/>
      <c r="LIY35" s="774"/>
      <c r="LIZ35" s="774"/>
      <c r="LJA35" s="774"/>
      <c r="LJB35" s="774"/>
      <c r="LJC35" s="774"/>
      <c r="LJD35" s="774"/>
      <c r="LJE35" s="774"/>
      <c r="LJF35" s="774"/>
      <c r="LJG35" s="774"/>
      <c r="LJH35" s="774"/>
      <c r="LJI35" s="774"/>
      <c r="LJJ35" s="774"/>
      <c r="LJK35" s="774"/>
      <c r="LJL35" s="774"/>
      <c r="LJM35" s="774"/>
      <c r="LJN35" s="774"/>
      <c r="LJO35" s="774"/>
      <c r="LJP35" s="774"/>
      <c r="LJQ35" s="774"/>
      <c r="LJR35" s="774"/>
      <c r="LJS35" s="774"/>
      <c r="LJT35" s="774"/>
      <c r="LJU35" s="774"/>
      <c r="LJV35" s="774"/>
      <c r="LJW35" s="774"/>
      <c r="LJX35" s="774"/>
      <c r="LJY35" s="774"/>
      <c r="LJZ35" s="774"/>
      <c r="LKA35" s="774"/>
      <c r="LKB35" s="774"/>
      <c r="LKC35" s="774"/>
      <c r="LKD35" s="774"/>
      <c r="LKE35" s="774"/>
      <c r="LKF35" s="774"/>
      <c r="LKG35" s="774"/>
      <c r="LKH35" s="774"/>
      <c r="LKI35" s="774"/>
      <c r="LKJ35" s="774"/>
      <c r="LKK35" s="774"/>
      <c r="LKL35" s="774"/>
      <c r="LKM35" s="774"/>
      <c r="LKN35" s="774"/>
      <c r="LKO35" s="774"/>
      <c r="LKP35" s="774"/>
      <c r="LKQ35" s="774"/>
      <c r="LKR35" s="774"/>
      <c r="LKS35" s="774"/>
      <c r="LKT35" s="774"/>
      <c r="LKU35" s="774"/>
      <c r="LKV35" s="774"/>
      <c r="LKW35" s="774"/>
      <c r="LKX35" s="774"/>
      <c r="LKY35" s="774"/>
      <c r="LKZ35" s="774"/>
      <c r="LLA35" s="774"/>
      <c r="LLB35" s="774"/>
      <c r="LLC35" s="774"/>
      <c r="LLD35" s="774"/>
      <c r="LLE35" s="774"/>
      <c r="LLF35" s="774"/>
      <c r="LLG35" s="774"/>
      <c r="LLH35" s="774"/>
      <c r="LLI35" s="774"/>
      <c r="LLJ35" s="774"/>
      <c r="LLK35" s="774"/>
      <c r="LLL35" s="774"/>
      <c r="LLM35" s="774"/>
      <c r="LLN35" s="774"/>
      <c r="LLO35" s="774"/>
      <c r="LLP35" s="774"/>
      <c r="LLQ35" s="774"/>
      <c r="LLR35" s="774"/>
      <c r="LLS35" s="774"/>
      <c r="LLT35" s="774"/>
      <c r="LLU35" s="774"/>
      <c r="LLV35" s="774"/>
      <c r="LLW35" s="774"/>
      <c r="LLX35" s="774"/>
      <c r="LLY35" s="774"/>
      <c r="LLZ35" s="774"/>
      <c r="LMA35" s="774"/>
      <c r="LMB35" s="774"/>
      <c r="LMC35" s="774"/>
      <c r="LMD35" s="774"/>
      <c r="LME35" s="774"/>
      <c r="LMF35" s="774"/>
      <c r="LMG35" s="774"/>
      <c r="LMH35" s="774"/>
      <c r="LMI35" s="774"/>
      <c r="LMJ35" s="774"/>
      <c r="LMK35" s="774"/>
      <c r="LML35" s="774"/>
      <c r="LMM35" s="774"/>
      <c r="LMN35" s="774"/>
      <c r="LMO35" s="774"/>
      <c r="LMP35" s="774"/>
      <c r="LMQ35" s="774"/>
      <c r="LMR35" s="774"/>
      <c r="LMS35" s="774"/>
      <c r="LMT35" s="774"/>
      <c r="LMU35" s="774"/>
      <c r="LMV35" s="774"/>
      <c r="LMW35" s="774"/>
      <c r="LMX35" s="774"/>
      <c r="LMY35" s="774"/>
      <c r="LMZ35" s="774"/>
      <c r="LNA35" s="774"/>
      <c r="LNB35" s="774"/>
      <c r="LNC35" s="774"/>
      <c r="LND35" s="774"/>
      <c r="LNE35" s="774"/>
      <c r="LNF35" s="774"/>
      <c r="LNG35" s="774"/>
      <c r="LNH35" s="774"/>
      <c r="LNI35" s="774"/>
      <c r="LNJ35" s="774"/>
      <c r="LNK35" s="774"/>
      <c r="LNL35" s="774"/>
      <c r="LNM35" s="774"/>
      <c r="LNN35" s="774"/>
      <c r="LNO35" s="774"/>
      <c r="LNP35" s="774"/>
      <c r="LNQ35" s="774"/>
      <c r="LNR35" s="774"/>
      <c r="LNS35" s="774"/>
      <c r="LNT35" s="774"/>
      <c r="LNU35" s="774"/>
      <c r="LNV35" s="774"/>
      <c r="LNW35" s="774"/>
      <c r="LNX35" s="774"/>
      <c r="LNY35" s="774"/>
      <c r="LNZ35" s="774"/>
      <c r="LOA35" s="774"/>
      <c r="LOB35" s="774"/>
      <c r="LOC35" s="774"/>
      <c r="LOD35" s="774"/>
      <c r="LOE35" s="774"/>
      <c r="LOF35" s="774"/>
      <c r="LOG35" s="774"/>
      <c r="LOH35" s="774"/>
      <c r="LOI35" s="774"/>
      <c r="LOJ35" s="774"/>
      <c r="LOK35" s="774"/>
      <c r="LOL35" s="774"/>
      <c r="LOM35" s="774"/>
      <c r="LON35" s="774"/>
      <c r="LOO35" s="774"/>
      <c r="LOP35" s="774"/>
      <c r="LOQ35" s="774"/>
      <c r="LOR35" s="774"/>
      <c r="LOS35" s="774"/>
      <c r="LOT35" s="774"/>
      <c r="LOU35" s="774"/>
      <c r="LOV35" s="774"/>
      <c r="LOW35" s="774"/>
      <c r="LOX35" s="774"/>
      <c r="LOY35" s="774"/>
      <c r="LOZ35" s="774"/>
      <c r="LPA35" s="774"/>
      <c r="LPB35" s="774"/>
      <c r="LPC35" s="774"/>
      <c r="LPD35" s="774"/>
      <c r="LPE35" s="774"/>
      <c r="LPF35" s="774"/>
      <c r="LPG35" s="774"/>
      <c r="LPH35" s="774"/>
      <c r="LPI35" s="774"/>
      <c r="LPJ35" s="774"/>
      <c r="LPK35" s="774"/>
      <c r="LPL35" s="774"/>
      <c r="LPM35" s="774"/>
      <c r="LPN35" s="774"/>
      <c r="LPO35" s="774"/>
      <c r="LPP35" s="774"/>
      <c r="LPQ35" s="774"/>
      <c r="LPR35" s="774"/>
      <c r="LPS35" s="774"/>
      <c r="LPT35" s="774"/>
      <c r="LPU35" s="774"/>
      <c r="LPV35" s="774"/>
      <c r="LPW35" s="774"/>
      <c r="LPX35" s="774"/>
      <c r="LPY35" s="774"/>
      <c r="LPZ35" s="774"/>
      <c r="LQA35" s="774"/>
      <c r="LQB35" s="774"/>
      <c r="LQC35" s="774"/>
      <c r="LQD35" s="774"/>
      <c r="LQE35" s="774"/>
      <c r="LQF35" s="774"/>
      <c r="LQG35" s="774"/>
      <c r="LQH35" s="774"/>
      <c r="LQI35" s="774"/>
      <c r="LQJ35" s="774"/>
      <c r="LQK35" s="774"/>
      <c r="LQL35" s="774"/>
      <c r="LQM35" s="774"/>
      <c r="LQN35" s="774"/>
      <c r="LQO35" s="774"/>
      <c r="LQP35" s="774"/>
      <c r="LQQ35" s="774"/>
      <c r="LQR35" s="774"/>
      <c r="LQS35" s="774"/>
      <c r="LQT35" s="774"/>
      <c r="LQU35" s="774"/>
      <c r="LQV35" s="774"/>
      <c r="LQW35" s="774"/>
      <c r="LQX35" s="774"/>
      <c r="LQY35" s="774"/>
      <c r="LQZ35" s="774"/>
      <c r="LRA35" s="774"/>
      <c r="LRB35" s="774"/>
      <c r="LRC35" s="774"/>
      <c r="LRD35" s="774"/>
      <c r="LRE35" s="774"/>
      <c r="LRF35" s="774"/>
      <c r="LRG35" s="774"/>
      <c r="LRH35" s="774"/>
      <c r="LRI35" s="774"/>
      <c r="LRJ35" s="774"/>
      <c r="LRK35" s="774"/>
      <c r="LRL35" s="774"/>
      <c r="LRM35" s="774"/>
      <c r="LRN35" s="774"/>
      <c r="LRO35" s="774"/>
      <c r="LRP35" s="774"/>
      <c r="LRQ35" s="774"/>
      <c r="LRR35" s="774"/>
      <c r="LRS35" s="774"/>
      <c r="LRT35" s="774"/>
      <c r="LRU35" s="774"/>
      <c r="LRV35" s="774"/>
      <c r="LRW35" s="774"/>
      <c r="LRX35" s="774"/>
      <c r="LRY35" s="774"/>
      <c r="LRZ35" s="774"/>
      <c r="LSA35" s="774"/>
      <c r="LSB35" s="774"/>
      <c r="LSC35" s="774"/>
      <c r="LSD35" s="774"/>
      <c r="LSE35" s="774"/>
      <c r="LSF35" s="774"/>
      <c r="LSG35" s="774"/>
      <c r="LSH35" s="774"/>
      <c r="LSI35" s="774"/>
      <c r="LSJ35" s="774"/>
      <c r="LSK35" s="774"/>
      <c r="LSL35" s="774"/>
      <c r="LSM35" s="774"/>
      <c r="LSN35" s="774"/>
      <c r="LSO35" s="774"/>
      <c r="LSP35" s="774"/>
      <c r="LSQ35" s="774"/>
      <c r="LSR35" s="774"/>
      <c r="LSS35" s="774"/>
      <c r="LST35" s="774"/>
      <c r="LSU35" s="774"/>
      <c r="LSV35" s="774"/>
      <c r="LSW35" s="774"/>
      <c r="LSX35" s="774"/>
      <c r="LSY35" s="774"/>
      <c r="LSZ35" s="774"/>
      <c r="LTA35" s="774"/>
      <c r="LTB35" s="774"/>
      <c r="LTC35" s="774"/>
      <c r="LTD35" s="774"/>
      <c r="LTE35" s="774"/>
      <c r="LTF35" s="774"/>
      <c r="LTG35" s="774"/>
      <c r="LTH35" s="774"/>
      <c r="LTI35" s="774"/>
      <c r="LTJ35" s="774"/>
      <c r="LTK35" s="774"/>
      <c r="LTL35" s="774"/>
      <c r="LTM35" s="774"/>
      <c r="LTN35" s="774"/>
      <c r="LTO35" s="774"/>
      <c r="LTP35" s="774"/>
      <c r="LTQ35" s="774"/>
      <c r="LTR35" s="774"/>
      <c r="LTS35" s="774"/>
      <c r="LTT35" s="774"/>
      <c r="LTU35" s="774"/>
      <c r="LTV35" s="774"/>
      <c r="LTW35" s="774"/>
      <c r="LTX35" s="774"/>
      <c r="LTY35" s="774"/>
      <c r="LTZ35" s="774"/>
      <c r="LUA35" s="774"/>
      <c r="LUB35" s="774"/>
      <c r="LUC35" s="774"/>
      <c r="LUD35" s="774"/>
      <c r="LUE35" s="774"/>
      <c r="LUF35" s="774"/>
      <c r="LUG35" s="774"/>
      <c r="LUH35" s="774"/>
      <c r="LUI35" s="774"/>
      <c r="LUJ35" s="774"/>
      <c r="LUK35" s="774"/>
      <c r="LUL35" s="774"/>
      <c r="LUM35" s="774"/>
      <c r="LUN35" s="774"/>
      <c r="LUO35" s="774"/>
      <c r="LUP35" s="774"/>
      <c r="LUQ35" s="774"/>
      <c r="LUR35" s="774"/>
      <c r="LUS35" s="774"/>
      <c r="LUT35" s="774"/>
      <c r="LUU35" s="774"/>
      <c r="LUV35" s="774"/>
      <c r="LUW35" s="774"/>
      <c r="LUX35" s="774"/>
      <c r="LUY35" s="774"/>
      <c r="LUZ35" s="774"/>
      <c r="LVA35" s="774"/>
      <c r="LVB35" s="774"/>
      <c r="LVC35" s="774"/>
      <c r="LVD35" s="774"/>
      <c r="LVE35" s="774"/>
      <c r="LVF35" s="774"/>
      <c r="LVG35" s="774"/>
      <c r="LVH35" s="774"/>
      <c r="LVI35" s="774"/>
      <c r="LVJ35" s="774"/>
      <c r="LVK35" s="774"/>
      <c r="LVL35" s="774"/>
      <c r="LVM35" s="774"/>
      <c r="LVN35" s="774"/>
      <c r="LVO35" s="774"/>
      <c r="LVP35" s="774"/>
      <c r="LVQ35" s="774"/>
      <c r="LVR35" s="774"/>
      <c r="LVS35" s="774"/>
      <c r="LVT35" s="774"/>
      <c r="LVU35" s="774"/>
      <c r="LVV35" s="774"/>
      <c r="LVW35" s="774"/>
      <c r="LVX35" s="774"/>
      <c r="LVY35" s="774"/>
      <c r="LVZ35" s="774"/>
      <c r="LWA35" s="774"/>
      <c r="LWB35" s="774"/>
      <c r="LWC35" s="774"/>
      <c r="LWD35" s="774"/>
      <c r="LWE35" s="774"/>
      <c r="LWF35" s="774"/>
      <c r="LWG35" s="774"/>
      <c r="LWH35" s="774"/>
      <c r="LWI35" s="774"/>
      <c r="LWJ35" s="774"/>
      <c r="LWK35" s="774"/>
      <c r="LWL35" s="774"/>
      <c r="LWM35" s="774"/>
      <c r="LWN35" s="774"/>
      <c r="LWO35" s="774"/>
      <c r="LWP35" s="774"/>
      <c r="LWQ35" s="774"/>
      <c r="LWR35" s="774"/>
      <c r="LWS35" s="774"/>
      <c r="LWT35" s="774"/>
      <c r="LWU35" s="774"/>
      <c r="LWV35" s="774"/>
      <c r="LWW35" s="774"/>
      <c r="LWX35" s="774"/>
      <c r="LWY35" s="774"/>
      <c r="LWZ35" s="774"/>
      <c r="LXA35" s="774"/>
      <c r="LXB35" s="774"/>
      <c r="LXC35" s="774"/>
      <c r="LXD35" s="774"/>
      <c r="LXE35" s="774"/>
      <c r="LXF35" s="774"/>
      <c r="LXG35" s="774"/>
      <c r="LXH35" s="774"/>
      <c r="LXI35" s="774"/>
      <c r="LXJ35" s="774"/>
      <c r="LXK35" s="774"/>
      <c r="LXL35" s="774"/>
      <c r="LXM35" s="774"/>
      <c r="LXN35" s="774"/>
      <c r="LXO35" s="774"/>
      <c r="LXP35" s="774"/>
      <c r="LXQ35" s="774"/>
      <c r="LXR35" s="774"/>
      <c r="LXS35" s="774"/>
      <c r="LXT35" s="774"/>
      <c r="LXU35" s="774"/>
      <c r="LXV35" s="774"/>
      <c r="LXW35" s="774"/>
      <c r="LXX35" s="774"/>
      <c r="LXY35" s="774"/>
      <c r="LXZ35" s="774"/>
      <c r="LYA35" s="774"/>
      <c r="LYB35" s="774"/>
      <c r="LYC35" s="774"/>
      <c r="LYD35" s="774"/>
      <c r="LYE35" s="774"/>
      <c r="LYF35" s="774"/>
      <c r="LYG35" s="774"/>
      <c r="LYH35" s="774"/>
      <c r="LYI35" s="774"/>
      <c r="LYJ35" s="774"/>
      <c r="LYK35" s="774"/>
      <c r="LYL35" s="774"/>
      <c r="LYM35" s="774"/>
      <c r="LYN35" s="774"/>
      <c r="LYO35" s="774"/>
      <c r="LYP35" s="774"/>
      <c r="LYQ35" s="774"/>
      <c r="LYR35" s="774"/>
      <c r="LYS35" s="774"/>
      <c r="LYT35" s="774"/>
      <c r="LYU35" s="774"/>
      <c r="LYV35" s="774"/>
      <c r="LYW35" s="774"/>
      <c r="LYX35" s="774"/>
      <c r="LYY35" s="774"/>
      <c r="LYZ35" s="774"/>
      <c r="LZA35" s="774"/>
      <c r="LZB35" s="774"/>
      <c r="LZC35" s="774"/>
      <c r="LZD35" s="774"/>
      <c r="LZE35" s="774"/>
      <c r="LZF35" s="774"/>
      <c r="LZG35" s="774"/>
      <c r="LZH35" s="774"/>
      <c r="LZI35" s="774"/>
      <c r="LZJ35" s="774"/>
      <c r="LZK35" s="774"/>
      <c r="LZL35" s="774"/>
      <c r="LZM35" s="774"/>
      <c r="LZN35" s="774"/>
      <c r="LZO35" s="774"/>
      <c r="LZP35" s="774"/>
      <c r="LZQ35" s="774"/>
      <c r="LZR35" s="774"/>
      <c r="LZS35" s="774"/>
      <c r="LZT35" s="774"/>
      <c r="LZU35" s="774"/>
      <c r="LZV35" s="774"/>
      <c r="LZW35" s="774"/>
      <c r="LZX35" s="774"/>
      <c r="LZY35" s="774"/>
      <c r="LZZ35" s="774"/>
      <c r="MAA35" s="774"/>
      <c r="MAB35" s="774"/>
      <c r="MAC35" s="774"/>
      <c r="MAD35" s="774"/>
      <c r="MAE35" s="774"/>
      <c r="MAF35" s="774"/>
      <c r="MAG35" s="774"/>
      <c r="MAH35" s="774"/>
      <c r="MAI35" s="774"/>
      <c r="MAJ35" s="774"/>
      <c r="MAK35" s="774"/>
      <c r="MAL35" s="774"/>
      <c r="MAM35" s="774"/>
      <c r="MAN35" s="774"/>
      <c r="MAO35" s="774"/>
      <c r="MAP35" s="774"/>
      <c r="MAQ35" s="774"/>
      <c r="MAR35" s="774"/>
      <c r="MAS35" s="774"/>
      <c r="MAT35" s="774"/>
      <c r="MAU35" s="774"/>
      <c r="MAV35" s="774"/>
      <c r="MAW35" s="774"/>
      <c r="MAX35" s="774"/>
      <c r="MAY35" s="774"/>
      <c r="MAZ35" s="774"/>
      <c r="MBA35" s="774"/>
      <c r="MBB35" s="774"/>
      <c r="MBC35" s="774"/>
      <c r="MBD35" s="774"/>
      <c r="MBE35" s="774"/>
      <c r="MBF35" s="774"/>
      <c r="MBG35" s="774"/>
      <c r="MBH35" s="774"/>
      <c r="MBI35" s="774"/>
      <c r="MBJ35" s="774"/>
      <c r="MBK35" s="774"/>
      <c r="MBL35" s="774"/>
      <c r="MBM35" s="774"/>
      <c r="MBN35" s="774"/>
      <c r="MBO35" s="774"/>
      <c r="MBP35" s="774"/>
      <c r="MBQ35" s="774"/>
      <c r="MBR35" s="774"/>
      <c r="MBS35" s="774"/>
      <c r="MBT35" s="774"/>
      <c r="MBU35" s="774"/>
      <c r="MBV35" s="774"/>
      <c r="MBW35" s="774"/>
      <c r="MBX35" s="774"/>
      <c r="MBY35" s="774"/>
      <c r="MBZ35" s="774"/>
      <c r="MCA35" s="774"/>
      <c r="MCB35" s="774"/>
      <c r="MCC35" s="774"/>
      <c r="MCD35" s="774"/>
      <c r="MCE35" s="774"/>
      <c r="MCF35" s="774"/>
      <c r="MCG35" s="774"/>
      <c r="MCH35" s="774"/>
      <c r="MCI35" s="774"/>
      <c r="MCJ35" s="774"/>
      <c r="MCK35" s="774"/>
      <c r="MCL35" s="774"/>
      <c r="MCM35" s="774"/>
      <c r="MCN35" s="774"/>
      <c r="MCO35" s="774"/>
      <c r="MCP35" s="774"/>
      <c r="MCQ35" s="774"/>
      <c r="MCR35" s="774"/>
      <c r="MCS35" s="774"/>
      <c r="MCT35" s="774"/>
      <c r="MCU35" s="774"/>
      <c r="MCV35" s="774"/>
      <c r="MCW35" s="774"/>
      <c r="MCX35" s="774"/>
      <c r="MCY35" s="774"/>
      <c r="MCZ35" s="774"/>
      <c r="MDA35" s="774"/>
      <c r="MDB35" s="774"/>
      <c r="MDC35" s="774"/>
      <c r="MDD35" s="774"/>
      <c r="MDE35" s="774"/>
      <c r="MDF35" s="774"/>
      <c r="MDG35" s="774"/>
      <c r="MDH35" s="774"/>
      <c r="MDI35" s="774"/>
      <c r="MDJ35" s="774"/>
      <c r="MDK35" s="774"/>
      <c r="MDL35" s="774"/>
      <c r="MDM35" s="774"/>
      <c r="MDN35" s="774"/>
      <c r="MDO35" s="774"/>
      <c r="MDP35" s="774"/>
      <c r="MDQ35" s="774"/>
      <c r="MDR35" s="774"/>
      <c r="MDS35" s="774"/>
      <c r="MDT35" s="774"/>
      <c r="MDU35" s="774"/>
      <c r="MDV35" s="774"/>
      <c r="MDW35" s="774"/>
      <c r="MDX35" s="774"/>
      <c r="MDY35" s="774"/>
      <c r="MDZ35" s="774"/>
      <c r="MEA35" s="774"/>
      <c r="MEB35" s="774"/>
      <c r="MEC35" s="774"/>
      <c r="MED35" s="774"/>
      <c r="MEE35" s="774"/>
      <c r="MEF35" s="774"/>
      <c r="MEG35" s="774"/>
      <c r="MEH35" s="774"/>
      <c r="MEI35" s="774"/>
      <c r="MEJ35" s="774"/>
      <c r="MEK35" s="774"/>
      <c r="MEL35" s="774"/>
      <c r="MEM35" s="774"/>
      <c r="MEN35" s="774"/>
      <c r="MEO35" s="774"/>
      <c r="MEP35" s="774"/>
      <c r="MEQ35" s="774"/>
      <c r="MER35" s="774"/>
      <c r="MES35" s="774"/>
      <c r="MET35" s="774"/>
      <c r="MEU35" s="774"/>
      <c r="MEV35" s="774"/>
      <c r="MEW35" s="774"/>
      <c r="MEX35" s="774"/>
      <c r="MEY35" s="774"/>
      <c r="MEZ35" s="774"/>
      <c r="MFA35" s="774"/>
      <c r="MFB35" s="774"/>
      <c r="MFC35" s="774"/>
      <c r="MFD35" s="774"/>
      <c r="MFE35" s="774"/>
      <c r="MFF35" s="774"/>
      <c r="MFG35" s="774"/>
      <c r="MFH35" s="774"/>
      <c r="MFI35" s="774"/>
      <c r="MFJ35" s="774"/>
      <c r="MFK35" s="774"/>
      <c r="MFL35" s="774"/>
      <c r="MFM35" s="774"/>
      <c r="MFN35" s="774"/>
      <c r="MFO35" s="774"/>
      <c r="MFP35" s="774"/>
      <c r="MFQ35" s="774"/>
      <c r="MFR35" s="774"/>
      <c r="MFS35" s="774"/>
      <c r="MFT35" s="774"/>
      <c r="MFU35" s="774"/>
      <c r="MFV35" s="774"/>
      <c r="MFW35" s="774"/>
      <c r="MFX35" s="774"/>
      <c r="MFY35" s="774"/>
      <c r="MFZ35" s="774"/>
      <c r="MGA35" s="774"/>
      <c r="MGB35" s="774"/>
      <c r="MGC35" s="774"/>
      <c r="MGD35" s="774"/>
      <c r="MGE35" s="774"/>
      <c r="MGF35" s="774"/>
      <c r="MGG35" s="774"/>
      <c r="MGH35" s="774"/>
      <c r="MGI35" s="774"/>
      <c r="MGJ35" s="774"/>
      <c r="MGK35" s="774"/>
      <c r="MGL35" s="774"/>
      <c r="MGM35" s="774"/>
      <c r="MGN35" s="774"/>
      <c r="MGO35" s="774"/>
      <c r="MGP35" s="774"/>
      <c r="MGQ35" s="774"/>
      <c r="MGR35" s="774"/>
      <c r="MGS35" s="774"/>
      <c r="MGT35" s="774"/>
      <c r="MGU35" s="774"/>
      <c r="MGV35" s="774"/>
      <c r="MGW35" s="774"/>
      <c r="MGX35" s="774"/>
      <c r="MGY35" s="774"/>
      <c r="MGZ35" s="774"/>
      <c r="MHA35" s="774"/>
      <c r="MHB35" s="774"/>
      <c r="MHC35" s="774"/>
      <c r="MHD35" s="774"/>
      <c r="MHE35" s="774"/>
      <c r="MHF35" s="774"/>
      <c r="MHG35" s="774"/>
      <c r="MHH35" s="774"/>
      <c r="MHI35" s="774"/>
      <c r="MHJ35" s="774"/>
      <c r="MHK35" s="774"/>
      <c r="MHL35" s="774"/>
      <c r="MHM35" s="774"/>
      <c r="MHN35" s="774"/>
      <c r="MHO35" s="774"/>
      <c r="MHP35" s="774"/>
      <c r="MHQ35" s="774"/>
      <c r="MHR35" s="774"/>
      <c r="MHS35" s="774"/>
      <c r="MHT35" s="774"/>
      <c r="MHU35" s="774"/>
      <c r="MHV35" s="774"/>
      <c r="MHW35" s="774"/>
      <c r="MHX35" s="774"/>
      <c r="MHY35" s="774"/>
      <c r="MHZ35" s="774"/>
      <c r="MIA35" s="774"/>
      <c r="MIB35" s="774"/>
      <c r="MIC35" s="774"/>
      <c r="MID35" s="774"/>
      <c r="MIE35" s="774"/>
      <c r="MIF35" s="774"/>
      <c r="MIG35" s="774"/>
      <c r="MIH35" s="774"/>
      <c r="MII35" s="774"/>
      <c r="MIJ35" s="774"/>
      <c r="MIK35" s="774"/>
      <c r="MIL35" s="774"/>
      <c r="MIM35" s="774"/>
      <c r="MIN35" s="774"/>
      <c r="MIO35" s="774"/>
      <c r="MIP35" s="774"/>
      <c r="MIQ35" s="774"/>
      <c r="MIR35" s="774"/>
      <c r="MIS35" s="774"/>
      <c r="MIT35" s="774"/>
      <c r="MIU35" s="774"/>
      <c r="MIV35" s="774"/>
      <c r="MIW35" s="774"/>
      <c r="MIX35" s="774"/>
      <c r="MIY35" s="774"/>
      <c r="MIZ35" s="774"/>
      <c r="MJA35" s="774"/>
      <c r="MJB35" s="774"/>
      <c r="MJC35" s="774"/>
      <c r="MJD35" s="774"/>
      <c r="MJE35" s="774"/>
      <c r="MJF35" s="774"/>
      <c r="MJG35" s="774"/>
      <c r="MJH35" s="774"/>
      <c r="MJI35" s="774"/>
      <c r="MJJ35" s="774"/>
      <c r="MJK35" s="774"/>
      <c r="MJL35" s="774"/>
      <c r="MJM35" s="774"/>
      <c r="MJN35" s="774"/>
      <c r="MJO35" s="774"/>
      <c r="MJP35" s="774"/>
      <c r="MJQ35" s="774"/>
      <c r="MJR35" s="774"/>
      <c r="MJS35" s="774"/>
      <c r="MJT35" s="774"/>
      <c r="MJU35" s="774"/>
      <c r="MJV35" s="774"/>
      <c r="MJW35" s="774"/>
      <c r="MJX35" s="774"/>
      <c r="MJY35" s="774"/>
      <c r="MJZ35" s="774"/>
      <c r="MKA35" s="774"/>
      <c r="MKB35" s="774"/>
      <c r="MKC35" s="774"/>
      <c r="MKD35" s="774"/>
      <c r="MKE35" s="774"/>
      <c r="MKF35" s="774"/>
      <c r="MKG35" s="774"/>
      <c r="MKH35" s="774"/>
      <c r="MKI35" s="774"/>
      <c r="MKJ35" s="774"/>
      <c r="MKK35" s="774"/>
      <c r="MKL35" s="774"/>
      <c r="MKM35" s="774"/>
      <c r="MKN35" s="774"/>
      <c r="MKO35" s="774"/>
      <c r="MKP35" s="774"/>
      <c r="MKQ35" s="774"/>
      <c r="MKR35" s="774"/>
      <c r="MKS35" s="774"/>
      <c r="MKT35" s="774"/>
      <c r="MKU35" s="774"/>
      <c r="MKV35" s="774"/>
      <c r="MKW35" s="774"/>
      <c r="MKX35" s="774"/>
      <c r="MKY35" s="774"/>
      <c r="MKZ35" s="774"/>
      <c r="MLA35" s="774"/>
      <c r="MLB35" s="774"/>
      <c r="MLC35" s="774"/>
      <c r="MLD35" s="774"/>
      <c r="MLE35" s="774"/>
      <c r="MLF35" s="774"/>
      <c r="MLG35" s="774"/>
      <c r="MLH35" s="774"/>
      <c r="MLI35" s="774"/>
      <c r="MLJ35" s="774"/>
      <c r="MLK35" s="774"/>
      <c r="MLL35" s="774"/>
      <c r="MLM35" s="774"/>
      <c r="MLN35" s="774"/>
      <c r="MLO35" s="774"/>
      <c r="MLP35" s="774"/>
      <c r="MLQ35" s="774"/>
      <c r="MLR35" s="774"/>
      <c r="MLS35" s="774"/>
      <c r="MLT35" s="774"/>
      <c r="MLU35" s="774"/>
      <c r="MLV35" s="774"/>
      <c r="MLW35" s="774"/>
      <c r="MLX35" s="774"/>
      <c r="MLY35" s="774"/>
      <c r="MLZ35" s="774"/>
      <c r="MMA35" s="774"/>
      <c r="MMB35" s="774"/>
      <c r="MMC35" s="774"/>
      <c r="MMD35" s="774"/>
      <c r="MME35" s="774"/>
      <c r="MMF35" s="774"/>
      <c r="MMG35" s="774"/>
      <c r="MMH35" s="774"/>
      <c r="MMI35" s="774"/>
      <c r="MMJ35" s="774"/>
      <c r="MMK35" s="774"/>
      <c r="MML35" s="774"/>
      <c r="MMM35" s="774"/>
      <c r="MMN35" s="774"/>
      <c r="MMO35" s="774"/>
      <c r="MMP35" s="774"/>
      <c r="MMQ35" s="774"/>
      <c r="MMR35" s="774"/>
      <c r="MMS35" s="774"/>
      <c r="MMT35" s="774"/>
      <c r="MMU35" s="774"/>
      <c r="MMV35" s="774"/>
      <c r="MMW35" s="774"/>
      <c r="MMX35" s="774"/>
      <c r="MMY35" s="774"/>
      <c r="MMZ35" s="774"/>
      <c r="MNA35" s="774"/>
      <c r="MNB35" s="774"/>
      <c r="MNC35" s="774"/>
      <c r="MND35" s="774"/>
      <c r="MNE35" s="774"/>
      <c r="MNF35" s="774"/>
      <c r="MNG35" s="774"/>
      <c r="MNH35" s="774"/>
      <c r="MNI35" s="774"/>
      <c r="MNJ35" s="774"/>
      <c r="MNK35" s="774"/>
      <c r="MNL35" s="774"/>
      <c r="MNM35" s="774"/>
      <c r="MNN35" s="774"/>
      <c r="MNO35" s="774"/>
      <c r="MNP35" s="774"/>
      <c r="MNQ35" s="774"/>
      <c r="MNR35" s="774"/>
      <c r="MNS35" s="774"/>
      <c r="MNT35" s="774"/>
      <c r="MNU35" s="774"/>
      <c r="MNV35" s="774"/>
      <c r="MNW35" s="774"/>
      <c r="MNX35" s="774"/>
      <c r="MNY35" s="774"/>
      <c r="MNZ35" s="774"/>
      <c r="MOA35" s="774"/>
      <c r="MOB35" s="774"/>
      <c r="MOC35" s="774"/>
      <c r="MOD35" s="774"/>
      <c r="MOE35" s="774"/>
      <c r="MOF35" s="774"/>
      <c r="MOG35" s="774"/>
      <c r="MOH35" s="774"/>
      <c r="MOI35" s="774"/>
      <c r="MOJ35" s="774"/>
      <c r="MOK35" s="774"/>
      <c r="MOL35" s="774"/>
      <c r="MOM35" s="774"/>
      <c r="MON35" s="774"/>
      <c r="MOO35" s="774"/>
      <c r="MOP35" s="774"/>
      <c r="MOQ35" s="774"/>
      <c r="MOR35" s="774"/>
      <c r="MOS35" s="774"/>
      <c r="MOT35" s="774"/>
      <c r="MOU35" s="774"/>
      <c r="MOV35" s="774"/>
      <c r="MOW35" s="774"/>
      <c r="MOX35" s="774"/>
      <c r="MOY35" s="774"/>
      <c r="MOZ35" s="774"/>
      <c r="MPA35" s="774"/>
      <c r="MPB35" s="774"/>
      <c r="MPC35" s="774"/>
      <c r="MPD35" s="774"/>
      <c r="MPE35" s="774"/>
      <c r="MPF35" s="774"/>
      <c r="MPG35" s="774"/>
      <c r="MPH35" s="774"/>
      <c r="MPI35" s="774"/>
      <c r="MPJ35" s="774"/>
      <c r="MPK35" s="774"/>
      <c r="MPL35" s="774"/>
      <c r="MPM35" s="774"/>
      <c r="MPN35" s="774"/>
      <c r="MPO35" s="774"/>
      <c r="MPP35" s="774"/>
      <c r="MPQ35" s="774"/>
      <c r="MPR35" s="774"/>
      <c r="MPS35" s="774"/>
      <c r="MPT35" s="774"/>
      <c r="MPU35" s="774"/>
      <c r="MPV35" s="774"/>
      <c r="MPW35" s="774"/>
      <c r="MPX35" s="774"/>
      <c r="MPY35" s="774"/>
      <c r="MPZ35" s="774"/>
      <c r="MQA35" s="774"/>
      <c r="MQB35" s="774"/>
      <c r="MQC35" s="774"/>
      <c r="MQD35" s="774"/>
      <c r="MQE35" s="774"/>
      <c r="MQF35" s="774"/>
      <c r="MQG35" s="774"/>
      <c r="MQH35" s="774"/>
      <c r="MQI35" s="774"/>
      <c r="MQJ35" s="774"/>
      <c r="MQK35" s="774"/>
      <c r="MQL35" s="774"/>
      <c r="MQM35" s="774"/>
      <c r="MQN35" s="774"/>
      <c r="MQO35" s="774"/>
      <c r="MQP35" s="774"/>
      <c r="MQQ35" s="774"/>
      <c r="MQR35" s="774"/>
      <c r="MQS35" s="774"/>
      <c r="MQT35" s="774"/>
      <c r="MQU35" s="774"/>
      <c r="MQV35" s="774"/>
      <c r="MQW35" s="774"/>
      <c r="MQX35" s="774"/>
      <c r="MQY35" s="774"/>
      <c r="MQZ35" s="774"/>
      <c r="MRA35" s="774"/>
      <c r="MRB35" s="774"/>
      <c r="MRC35" s="774"/>
      <c r="MRD35" s="774"/>
      <c r="MRE35" s="774"/>
      <c r="MRF35" s="774"/>
      <c r="MRG35" s="774"/>
      <c r="MRH35" s="774"/>
      <c r="MRI35" s="774"/>
      <c r="MRJ35" s="774"/>
      <c r="MRK35" s="774"/>
      <c r="MRL35" s="774"/>
      <c r="MRM35" s="774"/>
      <c r="MRN35" s="774"/>
      <c r="MRO35" s="774"/>
      <c r="MRP35" s="774"/>
      <c r="MRQ35" s="774"/>
      <c r="MRR35" s="774"/>
      <c r="MRS35" s="774"/>
      <c r="MRT35" s="774"/>
      <c r="MRU35" s="774"/>
      <c r="MRV35" s="774"/>
      <c r="MRW35" s="774"/>
      <c r="MRX35" s="774"/>
      <c r="MRY35" s="774"/>
      <c r="MRZ35" s="774"/>
      <c r="MSA35" s="774"/>
      <c r="MSB35" s="774"/>
      <c r="MSC35" s="774"/>
      <c r="MSD35" s="774"/>
      <c r="MSE35" s="774"/>
      <c r="MSF35" s="774"/>
      <c r="MSG35" s="774"/>
      <c r="MSH35" s="774"/>
      <c r="MSI35" s="774"/>
      <c r="MSJ35" s="774"/>
      <c r="MSK35" s="774"/>
      <c r="MSL35" s="774"/>
      <c r="MSM35" s="774"/>
      <c r="MSN35" s="774"/>
      <c r="MSO35" s="774"/>
      <c r="MSP35" s="774"/>
      <c r="MSQ35" s="774"/>
      <c r="MSR35" s="774"/>
      <c r="MSS35" s="774"/>
      <c r="MST35" s="774"/>
      <c r="MSU35" s="774"/>
      <c r="MSV35" s="774"/>
      <c r="MSW35" s="774"/>
      <c r="MSX35" s="774"/>
      <c r="MSY35" s="774"/>
      <c r="MSZ35" s="774"/>
      <c r="MTA35" s="774"/>
      <c r="MTB35" s="774"/>
      <c r="MTC35" s="774"/>
      <c r="MTD35" s="774"/>
      <c r="MTE35" s="774"/>
      <c r="MTF35" s="774"/>
      <c r="MTG35" s="774"/>
      <c r="MTH35" s="774"/>
      <c r="MTI35" s="774"/>
      <c r="MTJ35" s="774"/>
      <c r="MTK35" s="774"/>
      <c r="MTL35" s="774"/>
      <c r="MTM35" s="774"/>
      <c r="MTN35" s="774"/>
      <c r="MTO35" s="774"/>
      <c r="MTP35" s="774"/>
      <c r="MTQ35" s="774"/>
      <c r="MTR35" s="774"/>
      <c r="MTS35" s="774"/>
      <c r="MTT35" s="774"/>
      <c r="MTU35" s="774"/>
      <c r="MTV35" s="774"/>
      <c r="MTW35" s="774"/>
      <c r="MTX35" s="774"/>
      <c r="MTY35" s="774"/>
      <c r="MTZ35" s="774"/>
      <c r="MUA35" s="774"/>
      <c r="MUB35" s="774"/>
      <c r="MUC35" s="774"/>
      <c r="MUD35" s="774"/>
      <c r="MUE35" s="774"/>
      <c r="MUF35" s="774"/>
      <c r="MUG35" s="774"/>
      <c r="MUH35" s="774"/>
      <c r="MUI35" s="774"/>
      <c r="MUJ35" s="774"/>
      <c r="MUK35" s="774"/>
      <c r="MUL35" s="774"/>
      <c r="MUM35" s="774"/>
      <c r="MUN35" s="774"/>
      <c r="MUO35" s="774"/>
      <c r="MUP35" s="774"/>
      <c r="MUQ35" s="774"/>
      <c r="MUR35" s="774"/>
      <c r="MUS35" s="774"/>
      <c r="MUT35" s="774"/>
      <c r="MUU35" s="774"/>
      <c r="MUV35" s="774"/>
      <c r="MUW35" s="774"/>
      <c r="MUX35" s="774"/>
      <c r="MUY35" s="774"/>
      <c r="MUZ35" s="774"/>
      <c r="MVA35" s="774"/>
      <c r="MVB35" s="774"/>
      <c r="MVC35" s="774"/>
      <c r="MVD35" s="774"/>
      <c r="MVE35" s="774"/>
      <c r="MVF35" s="774"/>
      <c r="MVG35" s="774"/>
      <c r="MVH35" s="774"/>
      <c r="MVI35" s="774"/>
      <c r="MVJ35" s="774"/>
      <c r="MVK35" s="774"/>
      <c r="MVL35" s="774"/>
      <c r="MVM35" s="774"/>
      <c r="MVN35" s="774"/>
      <c r="MVO35" s="774"/>
      <c r="MVP35" s="774"/>
      <c r="MVQ35" s="774"/>
      <c r="MVR35" s="774"/>
      <c r="MVS35" s="774"/>
      <c r="MVT35" s="774"/>
      <c r="MVU35" s="774"/>
      <c r="MVV35" s="774"/>
      <c r="MVW35" s="774"/>
      <c r="MVX35" s="774"/>
      <c r="MVY35" s="774"/>
      <c r="MVZ35" s="774"/>
      <c r="MWA35" s="774"/>
      <c r="MWB35" s="774"/>
      <c r="MWC35" s="774"/>
      <c r="MWD35" s="774"/>
      <c r="MWE35" s="774"/>
      <c r="MWF35" s="774"/>
      <c r="MWG35" s="774"/>
      <c r="MWH35" s="774"/>
      <c r="MWI35" s="774"/>
      <c r="MWJ35" s="774"/>
      <c r="MWK35" s="774"/>
      <c r="MWL35" s="774"/>
      <c r="MWM35" s="774"/>
      <c r="MWN35" s="774"/>
      <c r="MWO35" s="774"/>
      <c r="MWP35" s="774"/>
      <c r="MWQ35" s="774"/>
      <c r="MWR35" s="774"/>
      <c r="MWS35" s="774"/>
      <c r="MWT35" s="774"/>
      <c r="MWU35" s="774"/>
      <c r="MWV35" s="774"/>
      <c r="MWW35" s="774"/>
      <c r="MWX35" s="774"/>
      <c r="MWY35" s="774"/>
      <c r="MWZ35" s="774"/>
      <c r="MXA35" s="774"/>
      <c r="MXB35" s="774"/>
      <c r="MXC35" s="774"/>
      <c r="MXD35" s="774"/>
      <c r="MXE35" s="774"/>
      <c r="MXF35" s="774"/>
      <c r="MXG35" s="774"/>
      <c r="MXH35" s="774"/>
      <c r="MXI35" s="774"/>
      <c r="MXJ35" s="774"/>
      <c r="MXK35" s="774"/>
      <c r="MXL35" s="774"/>
      <c r="MXM35" s="774"/>
      <c r="MXN35" s="774"/>
      <c r="MXO35" s="774"/>
      <c r="MXP35" s="774"/>
      <c r="MXQ35" s="774"/>
      <c r="MXR35" s="774"/>
      <c r="MXS35" s="774"/>
      <c r="MXT35" s="774"/>
      <c r="MXU35" s="774"/>
      <c r="MXV35" s="774"/>
      <c r="MXW35" s="774"/>
      <c r="MXX35" s="774"/>
      <c r="MXY35" s="774"/>
      <c r="MXZ35" s="774"/>
      <c r="MYA35" s="774"/>
      <c r="MYB35" s="774"/>
      <c r="MYC35" s="774"/>
      <c r="MYD35" s="774"/>
      <c r="MYE35" s="774"/>
      <c r="MYF35" s="774"/>
      <c r="MYG35" s="774"/>
      <c r="MYH35" s="774"/>
      <c r="MYI35" s="774"/>
      <c r="MYJ35" s="774"/>
      <c r="MYK35" s="774"/>
      <c r="MYL35" s="774"/>
      <c r="MYM35" s="774"/>
      <c r="MYN35" s="774"/>
      <c r="MYO35" s="774"/>
      <c r="MYP35" s="774"/>
      <c r="MYQ35" s="774"/>
      <c r="MYR35" s="774"/>
      <c r="MYS35" s="774"/>
      <c r="MYT35" s="774"/>
      <c r="MYU35" s="774"/>
      <c r="MYV35" s="774"/>
      <c r="MYW35" s="774"/>
      <c r="MYX35" s="774"/>
      <c r="MYY35" s="774"/>
      <c r="MYZ35" s="774"/>
      <c r="MZA35" s="774"/>
      <c r="MZB35" s="774"/>
      <c r="MZC35" s="774"/>
      <c r="MZD35" s="774"/>
      <c r="MZE35" s="774"/>
      <c r="MZF35" s="774"/>
      <c r="MZG35" s="774"/>
      <c r="MZH35" s="774"/>
      <c r="MZI35" s="774"/>
      <c r="MZJ35" s="774"/>
      <c r="MZK35" s="774"/>
      <c r="MZL35" s="774"/>
      <c r="MZM35" s="774"/>
      <c r="MZN35" s="774"/>
      <c r="MZO35" s="774"/>
      <c r="MZP35" s="774"/>
      <c r="MZQ35" s="774"/>
      <c r="MZR35" s="774"/>
      <c r="MZS35" s="774"/>
      <c r="MZT35" s="774"/>
      <c r="MZU35" s="774"/>
      <c r="MZV35" s="774"/>
      <c r="MZW35" s="774"/>
      <c r="MZX35" s="774"/>
      <c r="MZY35" s="774"/>
      <c r="MZZ35" s="774"/>
      <c r="NAA35" s="774"/>
      <c r="NAB35" s="774"/>
      <c r="NAC35" s="774"/>
      <c r="NAD35" s="774"/>
      <c r="NAE35" s="774"/>
      <c r="NAF35" s="774"/>
      <c r="NAG35" s="774"/>
      <c r="NAH35" s="774"/>
      <c r="NAI35" s="774"/>
      <c r="NAJ35" s="774"/>
      <c r="NAK35" s="774"/>
      <c r="NAL35" s="774"/>
      <c r="NAM35" s="774"/>
      <c r="NAN35" s="774"/>
      <c r="NAO35" s="774"/>
      <c r="NAP35" s="774"/>
      <c r="NAQ35" s="774"/>
      <c r="NAR35" s="774"/>
      <c r="NAS35" s="774"/>
      <c r="NAT35" s="774"/>
      <c r="NAU35" s="774"/>
      <c r="NAV35" s="774"/>
      <c r="NAW35" s="774"/>
      <c r="NAX35" s="774"/>
      <c r="NAY35" s="774"/>
      <c r="NAZ35" s="774"/>
      <c r="NBA35" s="774"/>
      <c r="NBB35" s="774"/>
      <c r="NBC35" s="774"/>
      <c r="NBD35" s="774"/>
      <c r="NBE35" s="774"/>
      <c r="NBF35" s="774"/>
      <c r="NBG35" s="774"/>
      <c r="NBH35" s="774"/>
      <c r="NBI35" s="774"/>
      <c r="NBJ35" s="774"/>
      <c r="NBK35" s="774"/>
      <c r="NBL35" s="774"/>
      <c r="NBM35" s="774"/>
      <c r="NBN35" s="774"/>
      <c r="NBO35" s="774"/>
      <c r="NBP35" s="774"/>
      <c r="NBQ35" s="774"/>
      <c r="NBR35" s="774"/>
      <c r="NBS35" s="774"/>
      <c r="NBT35" s="774"/>
      <c r="NBU35" s="774"/>
      <c r="NBV35" s="774"/>
      <c r="NBW35" s="774"/>
      <c r="NBX35" s="774"/>
      <c r="NBY35" s="774"/>
      <c r="NBZ35" s="774"/>
      <c r="NCA35" s="774"/>
      <c r="NCB35" s="774"/>
      <c r="NCC35" s="774"/>
      <c r="NCD35" s="774"/>
      <c r="NCE35" s="774"/>
      <c r="NCF35" s="774"/>
      <c r="NCG35" s="774"/>
      <c r="NCH35" s="774"/>
      <c r="NCI35" s="774"/>
      <c r="NCJ35" s="774"/>
      <c r="NCK35" s="774"/>
      <c r="NCL35" s="774"/>
      <c r="NCM35" s="774"/>
      <c r="NCN35" s="774"/>
      <c r="NCO35" s="774"/>
      <c r="NCP35" s="774"/>
      <c r="NCQ35" s="774"/>
      <c r="NCR35" s="774"/>
      <c r="NCS35" s="774"/>
      <c r="NCT35" s="774"/>
      <c r="NCU35" s="774"/>
      <c r="NCV35" s="774"/>
      <c r="NCW35" s="774"/>
      <c r="NCX35" s="774"/>
      <c r="NCY35" s="774"/>
      <c r="NCZ35" s="774"/>
      <c r="NDA35" s="774"/>
      <c r="NDB35" s="774"/>
      <c r="NDC35" s="774"/>
      <c r="NDD35" s="774"/>
      <c r="NDE35" s="774"/>
      <c r="NDF35" s="774"/>
      <c r="NDG35" s="774"/>
      <c r="NDH35" s="774"/>
      <c r="NDI35" s="774"/>
      <c r="NDJ35" s="774"/>
      <c r="NDK35" s="774"/>
      <c r="NDL35" s="774"/>
      <c r="NDM35" s="774"/>
      <c r="NDN35" s="774"/>
      <c r="NDO35" s="774"/>
      <c r="NDP35" s="774"/>
      <c r="NDQ35" s="774"/>
      <c r="NDR35" s="774"/>
      <c r="NDS35" s="774"/>
      <c r="NDT35" s="774"/>
      <c r="NDU35" s="774"/>
      <c r="NDV35" s="774"/>
      <c r="NDW35" s="774"/>
      <c r="NDX35" s="774"/>
      <c r="NDY35" s="774"/>
      <c r="NDZ35" s="774"/>
      <c r="NEA35" s="774"/>
      <c r="NEB35" s="774"/>
      <c r="NEC35" s="774"/>
      <c r="NED35" s="774"/>
      <c r="NEE35" s="774"/>
      <c r="NEF35" s="774"/>
      <c r="NEG35" s="774"/>
      <c r="NEH35" s="774"/>
      <c r="NEI35" s="774"/>
      <c r="NEJ35" s="774"/>
      <c r="NEK35" s="774"/>
      <c r="NEL35" s="774"/>
      <c r="NEM35" s="774"/>
      <c r="NEN35" s="774"/>
      <c r="NEO35" s="774"/>
      <c r="NEP35" s="774"/>
      <c r="NEQ35" s="774"/>
      <c r="NER35" s="774"/>
      <c r="NES35" s="774"/>
      <c r="NET35" s="774"/>
      <c r="NEU35" s="774"/>
      <c r="NEV35" s="774"/>
      <c r="NEW35" s="774"/>
      <c r="NEX35" s="774"/>
      <c r="NEY35" s="774"/>
      <c r="NEZ35" s="774"/>
      <c r="NFA35" s="774"/>
      <c r="NFB35" s="774"/>
      <c r="NFC35" s="774"/>
      <c r="NFD35" s="774"/>
      <c r="NFE35" s="774"/>
      <c r="NFF35" s="774"/>
      <c r="NFG35" s="774"/>
      <c r="NFH35" s="774"/>
      <c r="NFI35" s="774"/>
      <c r="NFJ35" s="774"/>
      <c r="NFK35" s="774"/>
      <c r="NFL35" s="774"/>
      <c r="NFM35" s="774"/>
      <c r="NFN35" s="774"/>
      <c r="NFO35" s="774"/>
      <c r="NFP35" s="774"/>
      <c r="NFQ35" s="774"/>
      <c r="NFR35" s="774"/>
      <c r="NFS35" s="774"/>
      <c r="NFT35" s="774"/>
      <c r="NFU35" s="774"/>
      <c r="NFV35" s="774"/>
      <c r="NFW35" s="774"/>
      <c r="NFX35" s="774"/>
      <c r="NFY35" s="774"/>
      <c r="NFZ35" s="774"/>
      <c r="NGA35" s="774"/>
      <c r="NGB35" s="774"/>
      <c r="NGC35" s="774"/>
      <c r="NGD35" s="774"/>
      <c r="NGE35" s="774"/>
      <c r="NGF35" s="774"/>
      <c r="NGG35" s="774"/>
      <c r="NGH35" s="774"/>
      <c r="NGI35" s="774"/>
      <c r="NGJ35" s="774"/>
      <c r="NGK35" s="774"/>
      <c r="NGL35" s="774"/>
      <c r="NGM35" s="774"/>
      <c r="NGN35" s="774"/>
      <c r="NGO35" s="774"/>
      <c r="NGP35" s="774"/>
      <c r="NGQ35" s="774"/>
      <c r="NGR35" s="774"/>
      <c r="NGS35" s="774"/>
      <c r="NGT35" s="774"/>
      <c r="NGU35" s="774"/>
      <c r="NGV35" s="774"/>
      <c r="NGW35" s="774"/>
      <c r="NGX35" s="774"/>
      <c r="NGY35" s="774"/>
      <c r="NGZ35" s="774"/>
      <c r="NHA35" s="774"/>
      <c r="NHB35" s="774"/>
      <c r="NHC35" s="774"/>
      <c r="NHD35" s="774"/>
      <c r="NHE35" s="774"/>
      <c r="NHF35" s="774"/>
      <c r="NHG35" s="774"/>
      <c r="NHH35" s="774"/>
      <c r="NHI35" s="774"/>
      <c r="NHJ35" s="774"/>
      <c r="NHK35" s="774"/>
      <c r="NHL35" s="774"/>
      <c r="NHM35" s="774"/>
      <c r="NHN35" s="774"/>
      <c r="NHO35" s="774"/>
      <c r="NHP35" s="774"/>
      <c r="NHQ35" s="774"/>
      <c r="NHR35" s="774"/>
      <c r="NHS35" s="774"/>
      <c r="NHT35" s="774"/>
      <c r="NHU35" s="774"/>
      <c r="NHV35" s="774"/>
      <c r="NHW35" s="774"/>
      <c r="NHX35" s="774"/>
      <c r="NHY35" s="774"/>
      <c r="NHZ35" s="774"/>
      <c r="NIA35" s="774"/>
      <c r="NIB35" s="774"/>
      <c r="NIC35" s="774"/>
      <c r="NID35" s="774"/>
      <c r="NIE35" s="774"/>
      <c r="NIF35" s="774"/>
      <c r="NIG35" s="774"/>
      <c r="NIH35" s="774"/>
      <c r="NII35" s="774"/>
      <c r="NIJ35" s="774"/>
      <c r="NIK35" s="774"/>
      <c r="NIL35" s="774"/>
      <c r="NIM35" s="774"/>
      <c r="NIN35" s="774"/>
      <c r="NIO35" s="774"/>
      <c r="NIP35" s="774"/>
      <c r="NIQ35" s="774"/>
      <c r="NIR35" s="774"/>
      <c r="NIS35" s="774"/>
      <c r="NIT35" s="774"/>
      <c r="NIU35" s="774"/>
      <c r="NIV35" s="774"/>
      <c r="NIW35" s="774"/>
      <c r="NIX35" s="774"/>
      <c r="NIY35" s="774"/>
      <c r="NIZ35" s="774"/>
      <c r="NJA35" s="774"/>
      <c r="NJB35" s="774"/>
      <c r="NJC35" s="774"/>
      <c r="NJD35" s="774"/>
      <c r="NJE35" s="774"/>
      <c r="NJF35" s="774"/>
      <c r="NJG35" s="774"/>
      <c r="NJH35" s="774"/>
      <c r="NJI35" s="774"/>
      <c r="NJJ35" s="774"/>
      <c r="NJK35" s="774"/>
      <c r="NJL35" s="774"/>
      <c r="NJM35" s="774"/>
      <c r="NJN35" s="774"/>
      <c r="NJO35" s="774"/>
      <c r="NJP35" s="774"/>
      <c r="NJQ35" s="774"/>
      <c r="NJR35" s="774"/>
      <c r="NJS35" s="774"/>
      <c r="NJT35" s="774"/>
      <c r="NJU35" s="774"/>
      <c r="NJV35" s="774"/>
      <c r="NJW35" s="774"/>
      <c r="NJX35" s="774"/>
      <c r="NJY35" s="774"/>
      <c r="NJZ35" s="774"/>
      <c r="NKA35" s="774"/>
      <c r="NKB35" s="774"/>
      <c r="NKC35" s="774"/>
      <c r="NKD35" s="774"/>
      <c r="NKE35" s="774"/>
      <c r="NKF35" s="774"/>
      <c r="NKG35" s="774"/>
      <c r="NKH35" s="774"/>
      <c r="NKI35" s="774"/>
      <c r="NKJ35" s="774"/>
      <c r="NKK35" s="774"/>
      <c r="NKL35" s="774"/>
      <c r="NKM35" s="774"/>
      <c r="NKN35" s="774"/>
      <c r="NKO35" s="774"/>
      <c r="NKP35" s="774"/>
      <c r="NKQ35" s="774"/>
      <c r="NKR35" s="774"/>
      <c r="NKS35" s="774"/>
      <c r="NKT35" s="774"/>
      <c r="NKU35" s="774"/>
      <c r="NKV35" s="774"/>
      <c r="NKW35" s="774"/>
      <c r="NKX35" s="774"/>
      <c r="NKY35" s="774"/>
      <c r="NKZ35" s="774"/>
      <c r="NLA35" s="774"/>
      <c r="NLB35" s="774"/>
      <c r="NLC35" s="774"/>
      <c r="NLD35" s="774"/>
      <c r="NLE35" s="774"/>
      <c r="NLF35" s="774"/>
      <c r="NLG35" s="774"/>
      <c r="NLH35" s="774"/>
      <c r="NLI35" s="774"/>
      <c r="NLJ35" s="774"/>
      <c r="NLK35" s="774"/>
      <c r="NLL35" s="774"/>
      <c r="NLM35" s="774"/>
      <c r="NLN35" s="774"/>
      <c r="NLO35" s="774"/>
      <c r="NLP35" s="774"/>
      <c r="NLQ35" s="774"/>
      <c r="NLR35" s="774"/>
      <c r="NLS35" s="774"/>
      <c r="NLT35" s="774"/>
      <c r="NLU35" s="774"/>
      <c r="NLV35" s="774"/>
      <c r="NLW35" s="774"/>
      <c r="NLX35" s="774"/>
      <c r="NLY35" s="774"/>
      <c r="NLZ35" s="774"/>
      <c r="NMA35" s="774"/>
      <c r="NMB35" s="774"/>
      <c r="NMC35" s="774"/>
      <c r="NMD35" s="774"/>
      <c r="NME35" s="774"/>
      <c r="NMF35" s="774"/>
      <c r="NMG35" s="774"/>
      <c r="NMH35" s="774"/>
      <c r="NMI35" s="774"/>
      <c r="NMJ35" s="774"/>
      <c r="NMK35" s="774"/>
      <c r="NML35" s="774"/>
      <c r="NMM35" s="774"/>
      <c r="NMN35" s="774"/>
      <c r="NMO35" s="774"/>
      <c r="NMP35" s="774"/>
      <c r="NMQ35" s="774"/>
      <c r="NMR35" s="774"/>
      <c r="NMS35" s="774"/>
      <c r="NMT35" s="774"/>
      <c r="NMU35" s="774"/>
      <c r="NMV35" s="774"/>
      <c r="NMW35" s="774"/>
      <c r="NMX35" s="774"/>
      <c r="NMY35" s="774"/>
      <c r="NMZ35" s="774"/>
      <c r="NNA35" s="774"/>
      <c r="NNB35" s="774"/>
      <c r="NNC35" s="774"/>
      <c r="NND35" s="774"/>
      <c r="NNE35" s="774"/>
      <c r="NNF35" s="774"/>
      <c r="NNG35" s="774"/>
      <c r="NNH35" s="774"/>
      <c r="NNI35" s="774"/>
      <c r="NNJ35" s="774"/>
      <c r="NNK35" s="774"/>
      <c r="NNL35" s="774"/>
      <c r="NNM35" s="774"/>
      <c r="NNN35" s="774"/>
      <c r="NNO35" s="774"/>
      <c r="NNP35" s="774"/>
      <c r="NNQ35" s="774"/>
      <c r="NNR35" s="774"/>
      <c r="NNS35" s="774"/>
      <c r="NNT35" s="774"/>
      <c r="NNU35" s="774"/>
      <c r="NNV35" s="774"/>
      <c r="NNW35" s="774"/>
      <c r="NNX35" s="774"/>
      <c r="NNY35" s="774"/>
      <c r="NNZ35" s="774"/>
      <c r="NOA35" s="774"/>
      <c r="NOB35" s="774"/>
      <c r="NOC35" s="774"/>
      <c r="NOD35" s="774"/>
      <c r="NOE35" s="774"/>
      <c r="NOF35" s="774"/>
      <c r="NOG35" s="774"/>
      <c r="NOH35" s="774"/>
      <c r="NOI35" s="774"/>
      <c r="NOJ35" s="774"/>
      <c r="NOK35" s="774"/>
      <c r="NOL35" s="774"/>
      <c r="NOM35" s="774"/>
      <c r="NON35" s="774"/>
      <c r="NOO35" s="774"/>
      <c r="NOP35" s="774"/>
      <c r="NOQ35" s="774"/>
      <c r="NOR35" s="774"/>
      <c r="NOS35" s="774"/>
      <c r="NOT35" s="774"/>
      <c r="NOU35" s="774"/>
      <c r="NOV35" s="774"/>
      <c r="NOW35" s="774"/>
      <c r="NOX35" s="774"/>
      <c r="NOY35" s="774"/>
      <c r="NOZ35" s="774"/>
      <c r="NPA35" s="774"/>
      <c r="NPB35" s="774"/>
      <c r="NPC35" s="774"/>
      <c r="NPD35" s="774"/>
      <c r="NPE35" s="774"/>
      <c r="NPF35" s="774"/>
      <c r="NPG35" s="774"/>
      <c r="NPH35" s="774"/>
      <c r="NPI35" s="774"/>
      <c r="NPJ35" s="774"/>
      <c r="NPK35" s="774"/>
      <c r="NPL35" s="774"/>
      <c r="NPM35" s="774"/>
      <c r="NPN35" s="774"/>
      <c r="NPO35" s="774"/>
      <c r="NPP35" s="774"/>
      <c r="NPQ35" s="774"/>
      <c r="NPR35" s="774"/>
      <c r="NPS35" s="774"/>
      <c r="NPT35" s="774"/>
      <c r="NPU35" s="774"/>
      <c r="NPV35" s="774"/>
      <c r="NPW35" s="774"/>
      <c r="NPX35" s="774"/>
      <c r="NPY35" s="774"/>
      <c r="NPZ35" s="774"/>
      <c r="NQA35" s="774"/>
      <c r="NQB35" s="774"/>
      <c r="NQC35" s="774"/>
      <c r="NQD35" s="774"/>
      <c r="NQE35" s="774"/>
      <c r="NQF35" s="774"/>
      <c r="NQG35" s="774"/>
      <c r="NQH35" s="774"/>
      <c r="NQI35" s="774"/>
      <c r="NQJ35" s="774"/>
      <c r="NQK35" s="774"/>
      <c r="NQL35" s="774"/>
      <c r="NQM35" s="774"/>
      <c r="NQN35" s="774"/>
      <c r="NQO35" s="774"/>
      <c r="NQP35" s="774"/>
      <c r="NQQ35" s="774"/>
      <c r="NQR35" s="774"/>
      <c r="NQS35" s="774"/>
      <c r="NQT35" s="774"/>
      <c r="NQU35" s="774"/>
      <c r="NQV35" s="774"/>
      <c r="NQW35" s="774"/>
      <c r="NQX35" s="774"/>
      <c r="NQY35" s="774"/>
      <c r="NQZ35" s="774"/>
      <c r="NRA35" s="774"/>
      <c r="NRB35" s="774"/>
      <c r="NRC35" s="774"/>
      <c r="NRD35" s="774"/>
      <c r="NRE35" s="774"/>
      <c r="NRF35" s="774"/>
      <c r="NRG35" s="774"/>
      <c r="NRH35" s="774"/>
      <c r="NRI35" s="774"/>
      <c r="NRJ35" s="774"/>
      <c r="NRK35" s="774"/>
      <c r="NRL35" s="774"/>
      <c r="NRM35" s="774"/>
      <c r="NRN35" s="774"/>
      <c r="NRO35" s="774"/>
      <c r="NRP35" s="774"/>
      <c r="NRQ35" s="774"/>
      <c r="NRR35" s="774"/>
      <c r="NRS35" s="774"/>
      <c r="NRT35" s="774"/>
      <c r="NRU35" s="774"/>
      <c r="NRV35" s="774"/>
      <c r="NRW35" s="774"/>
      <c r="NRX35" s="774"/>
      <c r="NRY35" s="774"/>
      <c r="NRZ35" s="774"/>
      <c r="NSA35" s="774"/>
      <c r="NSB35" s="774"/>
      <c r="NSC35" s="774"/>
      <c r="NSD35" s="774"/>
      <c r="NSE35" s="774"/>
      <c r="NSF35" s="774"/>
      <c r="NSG35" s="774"/>
      <c r="NSH35" s="774"/>
      <c r="NSI35" s="774"/>
      <c r="NSJ35" s="774"/>
      <c r="NSK35" s="774"/>
      <c r="NSL35" s="774"/>
      <c r="NSM35" s="774"/>
      <c r="NSN35" s="774"/>
      <c r="NSO35" s="774"/>
      <c r="NSP35" s="774"/>
      <c r="NSQ35" s="774"/>
      <c r="NSR35" s="774"/>
      <c r="NSS35" s="774"/>
      <c r="NST35" s="774"/>
      <c r="NSU35" s="774"/>
      <c r="NSV35" s="774"/>
      <c r="NSW35" s="774"/>
      <c r="NSX35" s="774"/>
      <c r="NSY35" s="774"/>
      <c r="NSZ35" s="774"/>
      <c r="NTA35" s="774"/>
      <c r="NTB35" s="774"/>
      <c r="NTC35" s="774"/>
      <c r="NTD35" s="774"/>
      <c r="NTE35" s="774"/>
      <c r="NTF35" s="774"/>
      <c r="NTG35" s="774"/>
      <c r="NTH35" s="774"/>
      <c r="NTI35" s="774"/>
      <c r="NTJ35" s="774"/>
      <c r="NTK35" s="774"/>
      <c r="NTL35" s="774"/>
      <c r="NTM35" s="774"/>
      <c r="NTN35" s="774"/>
      <c r="NTO35" s="774"/>
      <c r="NTP35" s="774"/>
      <c r="NTQ35" s="774"/>
      <c r="NTR35" s="774"/>
      <c r="NTS35" s="774"/>
      <c r="NTT35" s="774"/>
      <c r="NTU35" s="774"/>
      <c r="NTV35" s="774"/>
      <c r="NTW35" s="774"/>
      <c r="NTX35" s="774"/>
      <c r="NTY35" s="774"/>
      <c r="NTZ35" s="774"/>
      <c r="NUA35" s="774"/>
      <c r="NUB35" s="774"/>
      <c r="NUC35" s="774"/>
      <c r="NUD35" s="774"/>
      <c r="NUE35" s="774"/>
      <c r="NUF35" s="774"/>
      <c r="NUG35" s="774"/>
      <c r="NUH35" s="774"/>
      <c r="NUI35" s="774"/>
      <c r="NUJ35" s="774"/>
      <c r="NUK35" s="774"/>
      <c r="NUL35" s="774"/>
      <c r="NUM35" s="774"/>
      <c r="NUN35" s="774"/>
      <c r="NUO35" s="774"/>
      <c r="NUP35" s="774"/>
      <c r="NUQ35" s="774"/>
      <c r="NUR35" s="774"/>
      <c r="NUS35" s="774"/>
      <c r="NUT35" s="774"/>
      <c r="NUU35" s="774"/>
      <c r="NUV35" s="774"/>
      <c r="NUW35" s="774"/>
      <c r="NUX35" s="774"/>
      <c r="NUY35" s="774"/>
      <c r="NUZ35" s="774"/>
      <c r="NVA35" s="774"/>
      <c r="NVB35" s="774"/>
      <c r="NVC35" s="774"/>
      <c r="NVD35" s="774"/>
      <c r="NVE35" s="774"/>
      <c r="NVF35" s="774"/>
      <c r="NVG35" s="774"/>
      <c r="NVH35" s="774"/>
      <c r="NVI35" s="774"/>
      <c r="NVJ35" s="774"/>
      <c r="NVK35" s="774"/>
      <c r="NVL35" s="774"/>
      <c r="NVM35" s="774"/>
      <c r="NVN35" s="774"/>
      <c r="NVO35" s="774"/>
      <c r="NVP35" s="774"/>
      <c r="NVQ35" s="774"/>
      <c r="NVR35" s="774"/>
      <c r="NVS35" s="774"/>
      <c r="NVT35" s="774"/>
      <c r="NVU35" s="774"/>
      <c r="NVV35" s="774"/>
      <c r="NVW35" s="774"/>
      <c r="NVX35" s="774"/>
      <c r="NVY35" s="774"/>
      <c r="NVZ35" s="774"/>
      <c r="NWA35" s="774"/>
      <c r="NWB35" s="774"/>
      <c r="NWC35" s="774"/>
      <c r="NWD35" s="774"/>
      <c r="NWE35" s="774"/>
      <c r="NWF35" s="774"/>
      <c r="NWG35" s="774"/>
      <c r="NWH35" s="774"/>
      <c r="NWI35" s="774"/>
      <c r="NWJ35" s="774"/>
      <c r="NWK35" s="774"/>
      <c r="NWL35" s="774"/>
      <c r="NWM35" s="774"/>
      <c r="NWN35" s="774"/>
      <c r="NWO35" s="774"/>
      <c r="NWP35" s="774"/>
      <c r="NWQ35" s="774"/>
      <c r="NWR35" s="774"/>
      <c r="NWS35" s="774"/>
      <c r="NWT35" s="774"/>
      <c r="NWU35" s="774"/>
      <c r="NWV35" s="774"/>
      <c r="NWW35" s="774"/>
      <c r="NWX35" s="774"/>
      <c r="NWY35" s="774"/>
      <c r="NWZ35" s="774"/>
      <c r="NXA35" s="774"/>
      <c r="NXB35" s="774"/>
      <c r="NXC35" s="774"/>
      <c r="NXD35" s="774"/>
      <c r="NXE35" s="774"/>
      <c r="NXF35" s="774"/>
      <c r="NXG35" s="774"/>
      <c r="NXH35" s="774"/>
      <c r="NXI35" s="774"/>
      <c r="NXJ35" s="774"/>
      <c r="NXK35" s="774"/>
      <c r="NXL35" s="774"/>
      <c r="NXM35" s="774"/>
      <c r="NXN35" s="774"/>
      <c r="NXO35" s="774"/>
      <c r="NXP35" s="774"/>
      <c r="NXQ35" s="774"/>
      <c r="NXR35" s="774"/>
      <c r="NXS35" s="774"/>
      <c r="NXT35" s="774"/>
      <c r="NXU35" s="774"/>
      <c r="NXV35" s="774"/>
      <c r="NXW35" s="774"/>
      <c r="NXX35" s="774"/>
      <c r="NXY35" s="774"/>
      <c r="NXZ35" s="774"/>
      <c r="NYA35" s="774"/>
      <c r="NYB35" s="774"/>
      <c r="NYC35" s="774"/>
      <c r="NYD35" s="774"/>
      <c r="NYE35" s="774"/>
      <c r="NYF35" s="774"/>
      <c r="NYG35" s="774"/>
      <c r="NYH35" s="774"/>
      <c r="NYI35" s="774"/>
      <c r="NYJ35" s="774"/>
      <c r="NYK35" s="774"/>
      <c r="NYL35" s="774"/>
      <c r="NYM35" s="774"/>
      <c r="NYN35" s="774"/>
      <c r="NYO35" s="774"/>
      <c r="NYP35" s="774"/>
      <c r="NYQ35" s="774"/>
      <c r="NYR35" s="774"/>
      <c r="NYS35" s="774"/>
      <c r="NYT35" s="774"/>
      <c r="NYU35" s="774"/>
      <c r="NYV35" s="774"/>
      <c r="NYW35" s="774"/>
      <c r="NYX35" s="774"/>
      <c r="NYY35" s="774"/>
      <c r="NYZ35" s="774"/>
      <c r="NZA35" s="774"/>
      <c r="NZB35" s="774"/>
      <c r="NZC35" s="774"/>
      <c r="NZD35" s="774"/>
      <c r="NZE35" s="774"/>
      <c r="NZF35" s="774"/>
      <c r="NZG35" s="774"/>
      <c r="NZH35" s="774"/>
      <c r="NZI35" s="774"/>
      <c r="NZJ35" s="774"/>
      <c r="NZK35" s="774"/>
      <c r="NZL35" s="774"/>
      <c r="NZM35" s="774"/>
      <c r="NZN35" s="774"/>
      <c r="NZO35" s="774"/>
      <c r="NZP35" s="774"/>
      <c r="NZQ35" s="774"/>
      <c r="NZR35" s="774"/>
      <c r="NZS35" s="774"/>
      <c r="NZT35" s="774"/>
      <c r="NZU35" s="774"/>
      <c r="NZV35" s="774"/>
      <c r="NZW35" s="774"/>
      <c r="NZX35" s="774"/>
      <c r="NZY35" s="774"/>
      <c r="NZZ35" s="774"/>
      <c r="OAA35" s="774"/>
      <c r="OAB35" s="774"/>
      <c r="OAC35" s="774"/>
      <c r="OAD35" s="774"/>
      <c r="OAE35" s="774"/>
      <c r="OAF35" s="774"/>
      <c r="OAG35" s="774"/>
      <c r="OAH35" s="774"/>
      <c r="OAI35" s="774"/>
      <c r="OAJ35" s="774"/>
      <c r="OAK35" s="774"/>
      <c r="OAL35" s="774"/>
      <c r="OAM35" s="774"/>
      <c r="OAN35" s="774"/>
      <c r="OAO35" s="774"/>
      <c r="OAP35" s="774"/>
      <c r="OAQ35" s="774"/>
      <c r="OAR35" s="774"/>
      <c r="OAS35" s="774"/>
      <c r="OAT35" s="774"/>
      <c r="OAU35" s="774"/>
      <c r="OAV35" s="774"/>
      <c r="OAW35" s="774"/>
      <c r="OAX35" s="774"/>
      <c r="OAY35" s="774"/>
      <c r="OAZ35" s="774"/>
      <c r="OBA35" s="774"/>
      <c r="OBB35" s="774"/>
      <c r="OBC35" s="774"/>
      <c r="OBD35" s="774"/>
      <c r="OBE35" s="774"/>
      <c r="OBF35" s="774"/>
      <c r="OBG35" s="774"/>
      <c r="OBH35" s="774"/>
      <c r="OBI35" s="774"/>
      <c r="OBJ35" s="774"/>
      <c r="OBK35" s="774"/>
      <c r="OBL35" s="774"/>
      <c r="OBM35" s="774"/>
      <c r="OBN35" s="774"/>
      <c r="OBO35" s="774"/>
      <c r="OBP35" s="774"/>
      <c r="OBQ35" s="774"/>
      <c r="OBR35" s="774"/>
      <c r="OBS35" s="774"/>
      <c r="OBT35" s="774"/>
      <c r="OBU35" s="774"/>
      <c r="OBV35" s="774"/>
      <c r="OBW35" s="774"/>
      <c r="OBX35" s="774"/>
      <c r="OBY35" s="774"/>
      <c r="OBZ35" s="774"/>
      <c r="OCA35" s="774"/>
      <c r="OCB35" s="774"/>
      <c r="OCC35" s="774"/>
      <c r="OCD35" s="774"/>
      <c r="OCE35" s="774"/>
      <c r="OCF35" s="774"/>
      <c r="OCG35" s="774"/>
      <c r="OCH35" s="774"/>
      <c r="OCI35" s="774"/>
      <c r="OCJ35" s="774"/>
      <c r="OCK35" s="774"/>
      <c r="OCL35" s="774"/>
      <c r="OCM35" s="774"/>
      <c r="OCN35" s="774"/>
      <c r="OCO35" s="774"/>
      <c r="OCP35" s="774"/>
      <c r="OCQ35" s="774"/>
      <c r="OCR35" s="774"/>
      <c r="OCS35" s="774"/>
      <c r="OCT35" s="774"/>
      <c r="OCU35" s="774"/>
      <c r="OCV35" s="774"/>
      <c r="OCW35" s="774"/>
      <c r="OCX35" s="774"/>
      <c r="OCY35" s="774"/>
      <c r="OCZ35" s="774"/>
      <c r="ODA35" s="774"/>
      <c r="ODB35" s="774"/>
      <c r="ODC35" s="774"/>
      <c r="ODD35" s="774"/>
      <c r="ODE35" s="774"/>
      <c r="ODF35" s="774"/>
      <c r="ODG35" s="774"/>
      <c r="ODH35" s="774"/>
      <c r="ODI35" s="774"/>
      <c r="ODJ35" s="774"/>
      <c r="ODK35" s="774"/>
      <c r="ODL35" s="774"/>
      <c r="ODM35" s="774"/>
      <c r="ODN35" s="774"/>
      <c r="ODO35" s="774"/>
      <c r="ODP35" s="774"/>
      <c r="ODQ35" s="774"/>
      <c r="ODR35" s="774"/>
      <c r="ODS35" s="774"/>
      <c r="ODT35" s="774"/>
      <c r="ODU35" s="774"/>
      <c r="ODV35" s="774"/>
      <c r="ODW35" s="774"/>
      <c r="ODX35" s="774"/>
      <c r="ODY35" s="774"/>
      <c r="ODZ35" s="774"/>
      <c r="OEA35" s="774"/>
      <c r="OEB35" s="774"/>
      <c r="OEC35" s="774"/>
      <c r="OED35" s="774"/>
      <c r="OEE35" s="774"/>
      <c r="OEF35" s="774"/>
      <c r="OEG35" s="774"/>
      <c r="OEH35" s="774"/>
      <c r="OEI35" s="774"/>
      <c r="OEJ35" s="774"/>
      <c r="OEK35" s="774"/>
      <c r="OEL35" s="774"/>
      <c r="OEM35" s="774"/>
      <c r="OEN35" s="774"/>
      <c r="OEO35" s="774"/>
      <c r="OEP35" s="774"/>
      <c r="OEQ35" s="774"/>
      <c r="OER35" s="774"/>
      <c r="OES35" s="774"/>
      <c r="OET35" s="774"/>
      <c r="OEU35" s="774"/>
      <c r="OEV35" s="774"/>
      <c r="OEW35" s="774"/>
      <c r="OEX35" s="774"/>
      <c r="OEY35" s="774"/>
      <c r="OEZ35" s="774"/>
      <c r="OFA35" s="774"/>
      <c r="OFB35" s="774"/>
      <c r="OFC35" s="774"/>
      <c r="OFD35" s="774"/>
      <c r="OFE35" s="774"/>
      <c r="OFF35" s="774"/>
      <c r="OFG35" s="774"/>
      <c r="OFH35" s="774"/>
      <c r="OFI35" s="774"/>
      <c r="OFJ35" s="774"/>
      <c r="OFK35" s="774"/>
      <c r="OFL35" s="774"/>
      <c r="OFM35" s="774"/>
      <c r="OFN35" s="774"/>
      <c r="OFO35" s="774"/>
      <c r="OFP35" s="774"/>
      <c r="OFQ35" s="774"/>
      <c r="OFR35" s="774"/>
      <c r="OFS35" s="774"/>
      <c r="OFT35" s="774"/>
      <c r="OFU35" s="774"/>
      <c r="OFV35" s="774"/>
      <c r="OFW35" s="774"/>
      <c r="OFX35" s="774"/>
      <c r="OFY35" s="774"/>
      <c r="OFZ35" s="774"/>
      <c r="OGA35" s="774"/>
      <c r="OGB35" s="774"/>
      <c r="OGC35" s="774"/>
      <c r="OGD35" s="774"/>
      <c r="OGE35" s="774"/>
      <c r="OGF35" s="774"/>
      <c r="OGG35" s="774"/>
      <c r="OGH35" s="774"/>
      <c r="OGI35" s="774"/>
      <c r="OGJ35" s="774"/>
      <c r="OGK35" s="774"/>
      <c r="OGL35" s="774"/>
      <c r="OGM35" s="774"/>
      <c r="OGN35" s="774"/>
      <c r="OGO35" s="774"/>
      <c r="OGP35" s="774"/>
      <c r="OGQ35" s="774"/>
      <c r="OGR35" s="774"/>
      <c r="OGS35" s="774"/>
      <c r="OGT35" s="774"/>
      <c r="OGU35" s="774"/>
      <c r="OGV35" s="774"/>
      <c r="OGW35" s="774"/>
      <c r="OGX35" s="774"/>
      <c r="OGY35" s="774"/>
      <c r="OGZ35" s="774"/>
      <c r="OHA35" s="774"/>
      <c r="OHB35" s="774"/>
      <c r="OHC35" s="774"/>
      <c r="OHD35" s="774"/>
      <c r="OHE35" s="774"/>
      <c r="OHF35" s="774"/>
      <c r="OHG35" s="774"/>
      <c r="OHH35" s="774"/>
      <c r="OHI35" s="774"/>
      <c r="OHJ35" s="774"/>
      <c r="OHK35" s="774"/>
      <c r="OHL35" s="774"/>
      <c r="OHM35" s="774"/>
      <c r="OHN35" s="774"/>
      <c r="OHO35" s="774"/>
      <c r="OHP35" s="774"/>
      <c r="OHQ35" s="774"/>
      <c r="OHR35" s="774"/>
      <c r="OHS35" s="774"/>
      <c r="OHT35" s="774"/>
      <c r="OHU35" s="774"/>
      <c r="OHV35" s="774"/>
      <c r="OHW35" s="774"/>
      <c r="OHX35" s="774"/>
      <c r="OHY35" s="774"/>
      <c r="OHZ35" s="774"/>
      <c r="OIA35" s="774"/>
      <c r="OIB35" s="774"/>
      <c r="OIC35" s="774"/>
      <c r="OID35" s="774"/>
      <c r="OIE35" s="774"/>
      <c r="OIF35" s="774"/>
      <c r="OIG35" s="774"/>
      <c r="OIH35" s="774"/>
      <c r="OII35" s="774"/>
      <c r="OIJ35" s="774"/>
      <c r="OIK35" s="774"/>
      <c r="OIL35" s="774"/>
      <c r="OIM35" s="774"/>
      <c r="OIN35" s="774"/>
      <c r="OIO35" s="774"/>
      <c r="OIP35" s="774"/>
      <c r="OIQ35" s="774"/>
      <c r="OIR35" s="774"/>
      <c r="OIS35" s="774"/>
      <c r="OIT35" s="774"/>
      <c r="OIU35" s="774"/>
      <c r="OIV35" s="774"/>
      <c r="OIW35" s="774"/>
      <c r="OIX35" s="774"/>
      <c r="OIY35" s="774"/>
      <c r="OIZ35" s="774"/>
      <c r="OJA35" s="774"/>
      <c r="OJB35" s="774"/>
      <c r="OJC35" s="774"/>
      <c r="OJD35" s="774"/>
      <c r="OJE35" s="774"/>
      <c r="OJF35" s="774"/>
      <c r="OJG35" s="774"/>
      <c r="OJH35" s="774"/>
      <c r="OJI35" s="774"/>
      <c r="OJJ35" s="774"/>
      <c r="OJK35" s="774"/>
      <c r="OJL35" s="774"/>
      <c r="OJM35" s="774"/>
      <c r="OJN35" s="774"/>
      <c r="OJO35" s="774"/>
      <c r="OJP35" s="774"/>
      <c r="OJQ35" s="774"/>
      <c r="OJR35" s="774"/>
      <c r="OJS35" s="774"/>
      <c r="OJT35" s="774"/>
      <c r="OJU35" s="774"/>
      <c r="OJV35" s="774"/>
      <c r="OJW35" s="774"/>
      <c r="OJX35" s="774"/>
      <c r="OJY35" s="774"/>
      <c r="OJZ35" s="774"/>
      <c r="OKA35" s="774"/>
      <c r="OKB35" s="774"/>
      <c r="OKC35" s="774"/>
      <c r="OKD35" s="774"/>
      <c r="OKE35" s="774"/>
      <c r="OKF35" s="774"/>
      <c r="OKG35" s="774"/>
      <c r="OKH35" s="774"/>
      <c r="OKI35" s="774"/>
      <c r="OKJ35" s="774"/>
      <c r="OKK35" s="774"/>
      <c r="OKL35" s="774"/>
      <c r="OKM35" s="774"/>
      <c r="OKN35" s="774"/>
      <c r="OKO35" s="774"/>
      <c r="OKP35" s="774"/>
      <c r="OKQ35" s="774"/>
      <c r="OKR35" s="774"/>
      <c r="OKS35" s="774"/>
      <c r="OKT35" s="774"/>
      <c r="OKU35" s="774"/>
      <c r="OKV35" s="774"/>
      <c r="OKW35" s="774"/>
      <c r="OKX35" s="774"/>
      <c r="OKY35" s="774"/>
      <c r="OKZ35" s="774"/>
      <c r="OLA35" s="774"/>
      <c r="OLB35" s="774"/>
      <c r="OLC35" s="774"/>
      <c r="OLD35" s="774"/>
      <c r="OLE35" s="774"/>
      <c r="OLF35" s="774"/>
      <c r="OLG35" s="774"/>
      <c r="OLH35" s="774"/>
      <c r="OLI35" s="774"/>
      <c r="OLJ35" s="774"/>
      <c r="OLK35" s="774"/>
      <c r="OLL35" s="774"/>
      <c r="OLM35" s="774"/>
      <c r="OLN35" s="774"/>
      <c r="OLO35" s="774"/>
      <c r="OLP35" s="774"/>
      <c r="OLQ35" s="774"/>
      <c r="OLR35" s="774"/>
      <c r="OLS35" s="774"/>
      <c r="OLT35" s="774"/>
      <c r="OLU35" s="774"/>
      <c r="OLV35" s="774"/>
      <c r="OLW35" s="774"/>
      <c r="OLX35" s="774"/>
      <c r="OLY35" s="774"/>
      <c r="OLZ35" s="774"/>
      <c r="OMA35" s="774"/>
      <c r="OMB35" s="774"/>
      <c r="OMC35" s="774"/>
      <c r="OMD35" s="774"/>
      <c r="OME35" s="774"/>
      <c r="OMF35" s="774"/>
      <c r="OMG35" s="774"/>
      <c r="OMH35" s="774"/>
      <c r="OMI35" s="774"/>
      <c r="OMJ35" s="774"/>
      <c r="OMK35" s="774"/>
      <c r="OML35" s="774"/>
      <c r="OMM35" s="774"/>
      <c r="OMN35" s="774"/>
      <c r="OMO35" s="774"/>
      <c r="OMP35" s="774"/>
      <c r="OMQ35" s="774"/>
      <c r="OMR35" s="774"/>
      <c r="OMS35" s="774"/>
      <c r="OMT35" s="774"/>
      <c r="OMU35" s="774"/>
      <c r="OMV35" s="774"/>
      <c r="OMW35" s="774"/>
      <c r="OMX35" s="774"/>
      <c r="OMY35" s="774"/>
      <c r="OMZ35" s="774"/>
      <c r="ONA35" s="774"/>
      <c r="ONB35" s="774"/>
      <c r="ONC35" s="774"/>
      <c r="OND35" s="774"/>
      <c r="ONE35" s="774"/>
      <c r="ONF35" s="774"/>
      <c r="ONG35" s="774"/>
      <c r="ONH35" s="774"/>
      <c r="ONI35" s="774"/>
      <c r="ONJ35" s="774"/>
      <c r="ONK35" s="774"/>
      <c r="ONL35" s="774"/>
      <c r="ONM35" s="774"/>
      <c r="ONN35" s="774"/>
      <c r="ONO35" s="774"/>
      <c r="ONP35" s="774"/>
      <c r="ONQ35" s="774"/>
      <c r="ONR35" s="774"/>
      <c r="ONS35" s="774"/>
      <c r="ONT35" s="774"/>
      <c r="ONU35" s="774"/>
      <c r="ONV35" s="774"/>
      <c r="ONW35" s="774"/>
      <c r="ONX35" s="774"/>
      <c r="ONY35" s="774"/>
      <c r="ONZ35" s="774"/>
      <c r="OOA35" s="774"/>
      <c r="OOB35" s="774"/>
      <c r="OOC35" s="774"/>
      <c r="OOD35" s="774"/>
      <c r="OOE35" s="774"/>
      <c r="OOF35" s="774"/>
      <c r="OOG35" s="774"/>
      <c r="OOH35" s="774"/>
      <c r="OOI35" s="774"/>
      <c r="OOJ35" s="774"/>
      <c r="OOK35" s="774"/>
      <c r="OOL35" s="774"/>
      <c r="OOM35" s="774"/>
      <c r="OON35" s="774"/>
      <c r="OOO35" s="774"/>
      <c r="OOP35" s="774"/>
      <c r="OOQ35" s="774"/>
      <c r="OOR35" s="774"/>
      <c r="OOS35" s="774"/>
      <c r="OOT35" s="774"/>
      <c r="OOU35" s="774"/>
      <c r="OOV35" s="774"/>
      <c r="OOW35" s="774"/>
      <c r="OOX35" s="774"/>
      <c r="OOY35" s="774"/>
      <c r="OOZ35" s="774"/>
      <c r="OPA35" s="774"/>
      <c r="OPB35" s="774"/>
      <c r="OPC35" s="774"/>
      <c r="OPD35" s="774"/>
      <c r="OPE35" s="774"/>
      <c r="OPF35" s="774"/>
      <c r="OPG35" s="774"/>
      <c r="OPH35" s="774"/>
      <c r="OPI35" s="774"/>
      <c r="OPJ35" s="774"/>
      <c r="OPK35" s="774"/>
      <c r="OPL35" s="774"/>
      <c r="OPM35" s="774"/>
      <c r="OPN35" s="774"/>
      <c r="OPO35" s="774"/>
      <c r="OPP35" s="774"/>
      <c r="OPQ35" s="774"/>
      <c r="OPR35" s="774"/>
      <c r="OPS35" s="774"/>
      <c r="OPT35" s="774"/>
      <c r="OPU35" s="774"/>
      <c r="OPV35" s="774"/>
      <c r="OPW35" s="774"/>
      <c r="OPX35" s="774"/>
      <c r="OPY35" s="774"/>
      <c r="OPZ35" s="774"/>
      <c r="OQA35" s="774"/>
      <c r="OQB35" s="774"/>
      <c r="OQC35" s="774"/>
      <c r="OQD35" s="774"/>
      <c r="OQE35" s="774"/>
      <c r="OQF35" s="774"/>
      <c r="OQG35" s="774"/>
      <c r="OQH35" s="774"/>
      <c r="OQI35" s="774"/>
      <c r="OQJ35" s="774"/>
      <c r="OQK35" s="774"/>
      <c r="OQL35" s="774"/>
      <c r="OQM35" s="774"/>
      <c r="OQN35" s="774"/>
      <c r="OQO35" s="774"/>
      <c r="OQP35" s="774"/>
      <c r="OQQ35" s="774"/>
      <c r="OQR35" s="774"/>
      <c r="OQS35" s="774"/>
      <c r="OQT35" s="774"/>
      <c r="OQU35" s="774"/>
      <c r="OQV35" s="774"/>
      <c r="OQW35" s="774"/>
      <c r="OQX35" s="774"/>
      <c r="OQY35" s="774"/>
      <c r="OQZ35" s="774"/>
      <c r="ORA35" s="774"/>
      <c r="ORB35" s="774"/>
      <c r="ORC35" s="774"/>
      <c r="ORD35" s="774"/>
      <c r="ORE35" s="774"/>
      <c r="ORF35" s="774"/>
      <c r="ORG35" s="774"/>
      <c r="ORH35" s="774"/>
      <c r="ORI35" s="774"/>
      <c r="ORJ35" s="774"/>
      <c r="ORK35" s="774"/>
      <c r="ORL35" s="774"/>
      <c r="ORM35" s="774"/>
      <c r="ORN35" s="774"/>
      <c r="ORO35" s="774"/>
      <c r="ORP35" s="774"/>
      <c r="ORQ35" s="774"/>
      <c r="ORR35" s="774"/>
      <c r="ORS35" s="774"/>
      <c r="ORT35" s="774"/>
      <c r="ORU35" s="774"/>
      <c r="ORV35" s="774"/>
      <c r="ORW35" s="774"/>
      <c r="ORX35" s="774"/>
      <c r="ORY35" s="774"/>
      <c r="ORZ35" s="774"/>
      <c r="OSA35" s="774"/>
      <c r="OSB35" s="774"/>
      <c r="OSC35" s="774"/>
      <c r="OSD35" s="774"/>
      <c r="OSE35" s="774"/>
      <c r="OSF35" s="774"/>
      <c r="OSG35" s="774"/>
      <c r="OSH35" s="774"/>
      <c r="OSI35" s="774"/>
      <c r="OSJ35" s="774"/>
      <c r="OSK35" s="774"/>
      <c r="OSL35" s="774"/>
      <c r="OSM35" s="774"/>
      <c r="OSN35" s="774"/>
      <c r="OSO35" s="774"/>
      <c r="OSP35" s="774"/>
      <c r="OSQ35" s="774"/>
      <c r="OSR35" s="774"/>
      <c r="OSS35" s="774"/>
      <c r="OST35" s="774"/>
      <c r="OSU35" s="774"/>
      <c r="OSV35" s="774"/>
      <c r="OSW35" s="774"/>
      <c r="OSX35" s="774"/>
      <c r="OSY35" s="774"/>
      <c r="OSZ35" s="774"/>
      <c r="OTA35" s="774"/>
      <c r="OTB35" s="774"/>
      <c r="OTC35" s="774"/>
      <c r="OTD35" s="774"/>
      <c r="OTE35" s="774"/>
      <c r="OTF35" s="774"/>
      <c r="OTG35" s="774"/>
      <c r="OTH35" s="774"/>
      <c r="OTI35" s="774"/>
      <c r="OTJ35" s="774"/>
      <c r="OTK35" s="774"/>
      <c r="OTL35" s="774"/>
      <c r="OTM35" s="774"/>
      <c r="OTN35" s="774"/>
      <c r="OTO35" s="774"/>
      <c r="OTP35" s="774"/>
      <c r="OTQ35" s="774"/>
      <c r="OTR35" s="774"/>
      <c r="OTS35" s="774"/>
      <c r="OTT35" s="774"/>
      <c r="OTU35" s="774"/>
      <c r="OTV35" s="774"/>
      <c r="OTW35" s="774"/>
      <c r="OTX35" s="774"/>
      <c r="OTY35" s="774"/>
      <c r="OTZ35" s="774"/>
      <c r="OUA35" s="774"/>
      <c r="OUB35" s="774"/>
      <c r="OUC35" s="774"/>
      <c r="OUD35" s="774"/>
      <c r="OUE35" s="774"/>
      <c r="OUF35" s="774"/>
      <c r="OUG35" s="774"/>
      <c r="OUH35" s="774"/>
      <c r="OUI35" s="774"/>
      <c r="OUJ35" s="774"/>
      <c r="OUK35" s="774"/>
      <c r="OUL35" s="774"/>
      <c r="OUM35" s="774"/>
      <c r="OUN35" s="774"/>
      <c r="OUO35" s="774"/>
      <c r="OUP35" s="774"/>
      <c r="OUQ35" s="774"/>
      <c r="OUR35" s="774"/>
      <c r="OUS35" s="774"/>
      <c r="OUT35" s="774"/>
      <c r="OUU35" s="774"/>
      <c r="OUV35" s="774"/>
      <c r="OUW35" s="774"/>
      <c r="OUX35" s="774"/>
      <c r="OUY35" s="774"/>
      <c r="OUZ35" s="774"/>
      <c r="OVA35" s="774"/>
      <c r="OVB35" s="774"/>
      <c r="OVC35" s="774"/>
      <c r="OVD35" s="774"/>
      <c r="OVE35" s="774"/>
      <c r="OVF35" s="774"/>
      <c r="OVG35" s="774"/>
      <c r="OVH35" s="774"/>
      <c r="OVI35" s="774"/>
      <c r="OVJ35" s="774"/>
      <c r="OVK35" s="774"/>
      <c r="OVL35" s="774"/>
      <c r="OVM35" s="774"/>
      <c r="OVN35" s="774"/>
      <c r="OVO35" s="774"/>
      <c r="OVP35" s="774"/>
      <c r="OVQ35" s="774"/>
      <c r="OVR35" s="774"/>
      <c r="OVS35" s="774"/>
      <c r="OVT35" s="774"/>
      <c r="OVU35" s="774"/>
      <c r="OVV35" s="774"/>
      <c r="OVW35" s="774"/>
      <c r="OVX35" s="774"/>
      <c r="OVY35" s="774"/>
      <c r="OVZ35" s="774"/>
      <c r="OWA35" s="774"/>
      <c r="OWB35" s="774"/>
      <c r="OWC35" s="774"/>
      <c r="OWD35" s="774"/>
      <c r="OWE35" s="774"/>
      <c r="OWF35" s="774"/>
      <c r="OWG35" s="774"/>
      <c r="OWH35" s="774"/>
      <c r="OWI35" s="774"/>
      <c r="OWJ35" s="774"/>
      <c r="OWK35" s="774"/>
      <c r="OWL35" s="774"/>
      <c r="OWM35" s="774"/>
      <c r="OWN35" s="774"/>
      <c r="OWO35" s="774"/>
      <c r="OWP35" s="774"/>
      <c r="OWQ35" s="774"/>
      <c r="OWR35" s="774"/>
      <c r="OWS35" s="774"/>
      <c r="OWT35" s="774"/>
      <c r="OWU35" s="774"/>
      <c r="OWV35" s="774"/>
      <c r="OWW35" s="774"/>
      <c r="OWX35" s="774"/>
      <c r="OWY35" s="774"/>
      <c r="OWZ35" s="774"/>
      <c r="OXA35" s="774"/>
      <c r="OXB35" s="774"/>
      <c r="OXC35" s="774"/>
      <c r="OXD35" s="774"/>
      <c r="OXE35" s="774"/>
      <c r="OXF35" s="774"/>
      <c r="OXG35" s="774"/>
      <c r="OXH35" s="774"/>
      <c r="OXI35" s="774"/>
      <c r="OXJ35" s="774"/>
      <c r="OXK35" s="774"/>
      <c r="OXL35" s="774"/>
      <c r="OXM35" s="774"/>
      <c r="OXN35" s="774"/>
      <c r="OXO35" s="774"/>
      <c r="OXP35" s="774"/>
      <c r="OXQ35" s="774"/>
      <c r="OXR35" s="774"/>
      <c r="OXS35" s="774"/>
      <c r="OXT35" s="774"/>
      <c r="OXU35" s="774"/>
      <c r="OXV35" s="774"/>
      <c r="OXW35" s="774"/>
      <c r="OXX35" s="774"/>
      <c r="OXY35" s="774"/>
      <c r="OXZ35" s="774"/>
      <c r="OYA35" s="774"/>
      <c r="OYB35" s="774"/>
      <c r="OYC35" s="774"/>
      <c r="OYD35" s="774"/>
      <c r="OYE35" s="774"/>
      <c r="OYF35" s="774"/>
      <c r="OYG35" s="774"/>
      <c r="OYH35" s="774"/>
      <c r="OYI35" s="774"/>
      <c r="OYJ35" s="774"/>
      <c r="OYK35" s="774"/>
      <c r="OYL35" s="774"/>
      <c r="OYM35" s="774"/>
      <c r="OYN35" s="774"/>
      <c r="OYO35" s="774"/>
      <c r="OYP35" s="774"/>
      <c r="OYQ35" s="774"/>
      <c r="OYR35" s="774"/>
      <c r="OYS35" s="774"/>
      <c r="OYT35" s="774"/>
      <c r="OYU35" s="774"/>
      <c r="OYV35" s="774"/>
      <c r="OYW35" s="774"/>
      <c r="OYX35" s="774"/>
      <c r="OYY35" s="774"/>
      <c r="OYZ35" s="774"/>
      <c r="OZA35" s="774"/>
      <c r="OZB35" s="774"/>
      <c r="OZC35" s="774"/>
      <c r="OZD35" s="774"/>
      <c r="OZE35" s="774"/>
      <c r="OZF35" s="774"/>
      <c r="OZG35" s="774"/>
      <c r="OZH35" s="774"/>
      <c r="OZI35" s="774"/>
      <c r="OZJ35" s="774"/>
      <c r="OZK35" s="774"/>
      <c r="OZL35" s="774"/>
      <c r="OZM35" s="774"/>
      <c r="OZN35" s="774"/>
      <c r="OZO35" s="774"/>
      <c r="OZP35" s="774"/>
      <c r="OZQ35" s="774"/>
      <c r="OZR35" s="774"/>
      <c r="OZS35" s="774"/>
      <c r="OZT35" s="774"/>
      <c r="OZU35" s="774"/>
      <c r="OZV35" s="774"/>
      <c r="OZW35" s="774"/>
      <c r="OZX35" s="774"/>
      <c r="OZY35" s="774"/>
      <c r="OZZ35" s="774"/>
      <c r="PAA35" s="774"/>
      <c r="PAB35" s="774"/>
      <c r="PAC35" s="774"/>
      <c r="PAD35" s="774"/>
      <c r="PAE35" s="774"/>
      <c r="PAF35" s="774"/>
      <c r="PAG35" s="774"/>
      <c r="PAH35" s="774"/>
      <c r="PAI35" s="774"/>
      <c r="PAJ35" s="774"/>
      <c r="PAK35" s="774"/>
      <c r="PAL35" s="774"/>
      <c r="PAM35" s="774"/>
      <c r="PAN35" s="774"/>
      <c r="PAO35" s="774"/>
      <c r="PAP35" s="774"/>
      <c r="PAQ35" s="774"/>
      <c r="PAR35" s="774"/>
      <c r="PAS35" s="774"/>
      <c r="PAT35" s="774"/>
      <c r="PAU35" s="774"/>
      <c r="PAV35" s="774"/>
      <c r="PAW35" s="774"/>
      <c r="PAX35" s="774"/>
      <c r="PAY35" s="774"/>
      <c r="PAZ35" s="774"/>
      <c r="PBA35" s="774"/>
      <c r="PBB35" s="774"/>
      <c r="PBC35" s="774"/>
      <c r="PBD35" s="774"/>
      <c r="PBE35" s="774"/>
      <c r="PBF35" s="774"/>
      <c r="PBG35" s="774"/>
      <c r="PBH35" s="774"/>
      <c r="PBI35" s="774"/>
      <c r="PBJ35" s="774"/>
      <c r="PBK35" s="774"/>
      <c r="PBL35" s="774"/>
      <c r="PBM35" s="774"/>
      <c r="PBN35" s="774"/>
      <c r="PBO35" s="774"/>
      <c r="PBP35" s="774"/>
      <c r="PBQ35" s="774"/>
      <c r="PBR35" s="774"/>
      <c r="PBS35" s="774"/>
      <c r="PBT35" s="774"/>
      <c r="PBU35" s="774"/>
      <c r="PBV35" s="774"/>
      <c r="PBW35" s="774"/>
      <c r="PBX35" s="774"/>
      <c r="PBY35" s="774"/>
      <c r="PBZ35" s="774"/>
      <c r="PCA35" s="774"/>
      <c r="PCB35" s="774"/>
      <c r="PCC35" s="774"/>
      <c r="PCD35" s="774"/>
      <c r="PCE35" s="774"/>
      <c r="PCF35" s="774"/>
      <c r="PCG35" s="774"/>
      <c r="PCH35" s="774"/>
      <c r="PCI35" s="774"/>
      <c r="PCJ35" s="774"/>
      <c r="PCK35" s="774"/>
      <c r="PCL35" s="774"/>
      <c r="PCM35" s="774"/>
      <c r="PCN35" s="774"/>
      <c r="PCO35" s="774"/>
      <c r="PCP35" s="774"/>
      <c r="PCQ35" s="774"/>
      <c r="PCR35" s="774"/>
      <c r="PCS35" s="774"/>
      <c r="PCT35" s="774"/>
      <c r="PCU35" s="774"/>
      <c r="PCV35" s="774"/>
      <c r="PCW35" s="774"/>
      <c r="PCX35" s="774"/>
      <c r="PCY35" s="774"/>
      <c r="PCZ35" s="774"/>
      <c r="PDA35" s="774"/>
      <c r="PDB35" s="774"/>
      <c r="PDC35" s="774"/>
      <c r="PDD35" s="774"/>
      <c r="PDE35" s="774"/>
      <c r="PDF35" s="774"/>
      <c r="PDG35" s="774"/>
      <c r="PDH35" s="774"/>
      <c r="PDI35" s="774"/>
      <c r="PDJ35" s="774"/>
      <c r="PDK35" s="774"/>
      <c r="PDL35" s="774"/>
      <c r="PDM35" s="774"/>
      <c r="PDN35" s="774"/>
      <c r="PDO35" s="774"/>
      <c r="PDP35" s="774"/>
      <c r="PDQ35" s="774"/>
      <c r="PDR35" s="774"/>
      <c r="PDS35" s="774"/>
      <c r="PDT35" s="774"/>
      <c r="PDU35" s="774"/>
      <c r="PDV35" s="774"/>
      <c r="PDW35" s="774"/>
      <c r="PDX35" s="774"/>
      <c r="PDY35" s="774"/>
      <c r="PDZ35" s="774"/>
      <c r="PEA35" s="774"/>
      <c r="PEB35" s="774"/>
      <c r="PEC35" s="774"/>
      <c r="PED35" s="774"/>
      <c r="PEE35" s="774"/>
      <c r="PEF35" s="774"/>
      <c r="PEG35" s="774"/>
      <c r="PEH35" s="774"/>
      <c r="PEI35" s="774"/>
      <c r="PEJ35" s="774"/>
      <c r="PEK35" s="774"/>
      <c r="PEL35" s="774"/>
      <c r="PEM35" s="774"/>
      <c r="PEN35" s="774"/>
      <c r="PEO35" s="774"/>
      <c r="PEP35" s="774"/>
      <c r="PEQ35" s="774"/>
      <c r="PER35" s="774"/>
      <c r="PES35" s="774"/>
      <c r="PET35" s="774"/>
      <c r="PEU35" s="774"/>
      <c r="PEV35" s="774"/>
      <c r="PEW35" s="774"/>
      <c r="PEX35" s="774"/>
      <c r="PEY35" s="774"/>
      <c r="PEZ35" s="774"/>
      <c r="PFA35" s="774"/>
      <c r="PFB35" s="774"/>
      <c r="PFC35" s="774"/>
      <c r="PFD35" s="774"/>
      <c r="PFE35" s="774"/>
      <c r="PFF35" s="774"/>
      <c r="PFG35" s="774"/>
      <c r="PFH35" s="774"/>
      <c r="PFI35" s="774"/>
      <c r="PFJ35" s="774"/>
      <c r="PFK35" s="774"/>
      <c r="PFL35" s="774"/>
      <c r="PFM35" s="774"/>
      <c r="PFN35" s="774"/>
      <c r="PFO35" s="774"/>
      <c r="PFP35" s="774"/>
      <c r="PFQ35" s="774"/>
      <c r="PFR35" s="774"/>
      <c r="PFS35" s="774"/>
      <c r="PFT35" s="774"/>
      <c r="PFU35" s="774"/>
      <c r="PFV35" s="774"/>
      <c r="PFW35" s="774"/>
      <c r="PFX35" s="774"/>
      <c r="PFY35" s="774"/>
      <c r="PFZ35" s="774"/>
      <c r="PGA35" s="774"/>
      <c r="PGB35" s="774"/>
      <c r="PGC35" s="774"/>
      <c r="PGD35" s="774"/>
      <c r="PGE35" s="774"/>
      <c r="PGF35" s="774"/>
      <c r="PGG35" s="774"/>
      <c r="PGH35" s="774"/>
      <c r="PGI35" s="774"/>
      <c r="PGJ35" s="774"/>
      <c r="PGK35" s="774"/>
      <c r="PGL35" s="774"/>
      <c r="PGM35" s="774"/>
      <c r="PGN35" s="774"/>
      <c r="PGO35" s="774"/>
      <c r="PGP35" s="774"/>
      <c r="PGQ35" s="774"/>
      <c r="PGR35" s="774"/>
      <c r="PGS35" s="774"/>
      <c r="PGT35" s="774"/>
      <c r="PGU35" s="774"/>
      <c r="PGV35" s="774"/>
      <c r="PGW35" s="774"/>
      <c r="PGX35" s="774"/>
      <c r="PGY35" s="774"/>
      <c r="PGZ35" s="774"/>
      <c r="PHA35" s="774"/>
      <c r="PHB35" s="774"/>
      <c r="PHC35" s="774"/>
      <c r="PHD35" s="774"/>
      <c r="PHE35" s="774"/>
      <c r="PHF35" s="774"/>
      <c r="PHG35" s="774"/>
      <c r="PHH35" s="774"/>
      <c r="PHI35" s="774"/>
      <c r="PHJ35" s="774"/>
      <c r="PHK35" s="774"/>
      <c r="PHL35" s="774"/>
      <c r="PHM35" s="774"/>
      <c r="PHN35" s="774"/>
      <c r="PHO35" s="774"/>
      <c r="PHP35" s="774"/>
      <c r="PHQ35" s="774"/>
      <c r="PHR35" s="774"/>
      <c r="PHS35" s="774"/>
      <c r="PHT35" s="774"/>
      <c r="PHU35" s="774"/>
      <c r="PHV35" s="774"/>
      <c r="PHW35" s="774"/>
      <c r="PHX35" s="774"/>
      <c r="PHY35" s="774"/>
      <c r="PHZ35" s="774"/>
      <c r="PIA35" s="774"/>
      <c r="PIB35" s="774"/>
      <c r="PIC35" s="774"/>
      <c r="PID35" s="774"/>
      <c r="PIE35" s="774"/>
      <c r="PIF35" s="774"/>
      <c r="PIG35" s="774"/>
      <c r="PIH35" s="774"/>
      <c r="PII35" s="774"/>
      <c r="PIJ35" s="774"/>
      <c r="PIK35" s="774"/>
      <c r="PIL35" s="774"/>
      <c r="PIM35" s="774"/>
      <c r="PIN35" s="774"/>
      <c r="PIO35" s="774"/>
      <c r="PIP35" s="774"/>
      <c r="PIQ35" s="774"/>
      <c r="PIR35" s="774"/>
      <c r="PIS35" s="774"/>
      <c r="PIT35" s="774"/>
      <c r="PIU35" s="774"/>
      <c r="PIV35" s="774"/>
      <c r="PIW35" s="774"/>
      <c r="PIX35" s="774"/>
      <c r="PIY35" s="774"/>
      <c r="PIZ35" s="774"/>
      <c r="PJA35" s="774"/>
      <c r="PJB35" s="774"/>
      <c r="PJC35" s="774"/>
      <c r="PJD35" s="774"/>
      <c r="PJE35" s="774"/>
      <c r="PJF35" s="774"/>
      <c r="PJG35" s="774"/>
      <c r="PJH35" s="774"/>
      <c r="PJI35" s="774"/>
      <c r="PJJ35" s="774"/>
      <c r="PJK35" s="774"/>
      <c r="PJL35" s="774"/>
      <c r="PJM35" s="774"/>
      <c r="PJN35" s="774"/>
      <c r="PJO35" s="774"/>
      <c r="PJP35" s="774"/>
      <c r="PJQ35" s="774"/>
      <c r="PJR35" s="774"/>
      <c r="PJS35" s="774"/>
      <c r="PJT35" s="774"/>
      <c r="PJU35" s="774"/>
      <c r="PJV35" s="774"/>
      <c r="PJW35" s="774"/>
      <c r="PJX35" s="774"/>
      <c r="PJY35" s="774"/>
      <c r="PJZ35" s="774"/>
      <c r="PKA35" s="774"/>
      <c r="PKB35" s="774"/>
      <c r="PKC35" s="774"/>
      <c r="PKD35" s="774"/>
      <c r="PKE35" s="774"/>
      <c r="PKF35" s="774"/>
      <c r="PKG35" s="774"/>
      <c r="PKH35" s="774"/>
      <c r="PKI35" s="774"/>
      <c r="PKJ35" s="774"/>
      <c r="PKK35" s="774"/>
      <c r="PKL35" s="774"/>
      <c r="PKM35" s="774"/>
      <c r="PKN35" s="774"/>
      <c r="PKO35" s="774"/>
      <c r="PKP35" s="774"/>
      <c r="PKQ35" s="774"/>
      <c r="PKR35" s="774"/>
      <c r="PKS35" s="774"/>
      <c r="PKT35" s="774"/>
      <c r="PKU35" s="774"/>
      <c r="PKV35" s="774"/>
      <c r="PKW35" s="774"/>
      <c r="PKX35" s="774"/>
      <c r="PKY35" s="774"/>
      <c r="PKZ35" s="774"/>
      <c r="PLA35" s="774"/>
      <c r="PLB35" s="774"/>
      <c r="PLC35" s="774"/>
      <c r="PLD35" s="774"/>
      <c r="PLE35" s="774"/>
      <c r="PLF35" s="774"/>
      <c r="PLG35" s="774"/>
      <c r="PLH35" s="774"/>
      <c r="PLI35" s="774"/>
      <c r="PLJ35" s="774"/>
      <c r="PLK35" s="774"/>
      <c r="PLL35" s="774"/>
      <c r="PLM35" s="774"/>
      <c r="PLN35" s="774"/>
      <c r="PLO35" s="774"/>
      <c r="PLP35" s="774"/>
      <c r="PLQ35" s="774"/>
      <c r="PLR35" s="774"/>
      <c r="PLS35" s="774"/>
      <c r="PLT35" s="774"/>
      <c r="PLU35" s="774"/>
      <c r="PLV35" s="774"/>
      <c r="PLW35" s="774"/>
      <c r="PLX35" s="774"/>
      <c r="PLY35" s="774"/>
      <c r="PLZ35" s="774"/>
      <c r="PMA35" s="774"/>
      <c r="PMB35" s="774"/>
      <c r="PMC35" s="774"/>
      <c r="PMD35" s="774"/>
      <c r="PME35" s="774"/>
      <c r="PMF35" s="774"/>
      <c r="PMG35" s="774"/>
      <c r="PMH35" s="774"/>
      <c r="PMI35" s="774"/>
      <c r="PMJ35" s="774"/>
      <c r="PMK35" s="774"/>
      <c r="PML35" s="774"/>
      <c r="PMM35" s="774"/>
      <c r="PMN35" s="774"/>
      <c r="PMO35" s="774"/>
      <c r="PMP35" s="774"/>
      <c r="PMQ35" s="774"/>
      <c r="PMR35" s="774"/>
      <c r="PMS35" s="774"/>
      <c r="PMT35" s="774"/>
      <c r="PMU35" s="774"/>
      <c r="PMV35" s="774"/>
      <c r="PMW35" s="774"/>
      <c r="PMX35" s="774"/>
      <c r="PMY35" s="774"/>
      <c r="PMZ35" s="774"/>
      <c r="PNA35" s="774"/>
      <c r="PNB35" s="774"/>
      <c r="PNC35" s="774"/>
      <c r="PND35" s="774"/>
      <c r="PNE35" s="774"/>
      <c r="PNF35" s="774"/>
      <c r="PNG35" s="774"/>
      <c r="PNH35" s="774"/>
      <c r="PNI35" s="774"/>
      <c r="PNJ35" s="774"/>
      <c r="PNK35" s="774"/>
      <c r="PNL35" s="774"/>
      <c r="PNM35" s="774"/>
      <c r="PNN35" s="774"/>
      <c r="PNO35" s="774"/>
      <c r="PNP35" s="774"/>
      <c r="PNQ35" s="774"/>
      <c r="PNR35" s="774"/>
      <c r="PNS35" s="774"/>
      <c r="PNT35" s="774"/>
      <c r="PNU35" s="774"/>
      <c r="PNV35" s="774"/>
      <c r="PNW35" s="774"/>
      <c r="PNX35" s="774"/>
      <c r="PNY35" s="774"/>
      <c r="PNZ35" s="774"/>
      <c r="POA35" s="774"/>
      <c r="POB35" s="774"/>
      <c r="POC35" s="774"/>
      <c r="POD35" s="774"/>
      <c r="POE35" s="774"/>
      <c r="POF35" s="774"/>
      <c r="POG35" s="774"/>
      <c r="POH35" s="774"/>
      <c r="POI35" s="774"/>
      <c r="POJ35" s="774"/>
      <c r="POK35" s="774"/>
      <c r="POL35" s="774"/>
      <c r="POM35" s="774"/>
      <c r="PON35" s="774"/>
      <c r="POO35" s="774"/>
      <c r="POP35" s="774"/>
      <c r="POQ35" s="774"/>
      <c r="POR35" s="774"/>
      <c r="POS35" s="774"/>
      <c r="POT35" s="774"/>
      <c r="POU35" s="774"/>
      <c r="POV35" s="774"/>
      <c r="POW35" s="774"/>
      <c r="POX35" s="774"/>
      <c r="POY35" s="774"/>
      <c r="POZ35" s="774"/>
      <c r="PPA35" s="774"/>
      <c r="PPB35" s="774"/>
      <c r="PPC35" s="774"/>
      <c r="PPD35" s="774"/>
      <c r="PPE35" s="774"/>
      <c r="PPF35" s="774"/>
      <c r="PPG35" s="774"/>
      <c r="PPH35" s="774"/>
      <c r="PPI35" s="774"/>
      <c r="PPJ35" s="774"/>
      <c r="PPK35" s="774"/>
      <c r="PPL35" s="774"/>
      <c r="PPM35" s="774"/>
      <c r="PPN35" s="774"/>
      <c r="PPO35" s="774"/>
      <c r="PPP35" s="774"/>
      <c r="PPQ35" s="774"/>
      <c r="PPR35" s="774"/>
      <c r="PPS35" s="774"/>
      <c r="PPT35" s="774"/>
      <c r="PPU35" s="774"/>
      <c r="PPV35" s="774"/>
      <c r="PPW35" s="774"/>
      <c r="PPX35" s="774"/>
      <c r="PPY35" s="774"/>
      <c r="PPZ35" s="774"/>
      <c r="PQA35" s="774"/>
      <c r="PQB35" s="774"/>
      <c r="PQC35" s="774"/>
      <c r="PQD35" s="774"/>
      <c r="PQE35" s="774"/>
      <c r="PQF35" s="774"/>
      <c r="PQG35" s="774"/>
      <c r="PQH35" s="774"/>
      <c r="PQI35" s="774"/>
      <c r="PQJ35" s="774"/>
      <c r="PQK35" s="774"/>
      <c r="PQL35" s="774"/>
      <c r="PQM35" s="774"/>
      <c r="PQN35" s="774"/>
      <c r="PQO35" s="774"/>
      <c r="PQP35" s="774"/>
      <c r="PQQ35" s="774"/>
      <c r="PQR35" s="774"/>
      <c r="PQS35" s="774"/>
      <c r="PQT35" s="774"/>
      <c r="PQU35" s="774"/>
      <c r="PQV35" s="774"/>
      <c r="PQW35" s="774"/>
      <c r="PQX35" s="774"/>
      <c r="PQY35" s="774"/>
      <c r="PQZ35" s="774"/>
      <c r="PRA35" s="774"/>
      <c r="PRB35" s="774"/>
      <c r="PRC35" s="774"/>
      <c r="PRD35" s="774"/>
      <c r="PRE35" s="774"/>
      <c r="PRF35" s="774"/>
      <c r="PRG35" s="774"/>
      <c r="PRH35" s="774"/>
      <c r="PRI35" s="774"/>
      <c r="PRJ35" s="774"/>
      <c r="PRK35" s="774"/>
      <c r="PRL35" s="774"/>
      <c r="PRM35" s="774"/>
      <c r="PRN35" s="774"/>
      <c r="PRO35" s="774"/>
      <c r="PRP35" s="774"/>
      <c r="PRQ35" s="774"/>
      <c r="PRR35" s="774"/>
      <c r="PRS35" s="774"/>
      <c r="PRT35" s="774"/>
      <c r="PRU35" s="774"/>
      <c r="PRV35" s="774"/>
      <c r="PRW35" s="774"/>
      <c r="PRX35" s="774"/>
      <c r="PRY35" s="774"/>
      <c r="PRZ35" s="774"/>
      <c r="PSA35" s="774"/>
      <c r="PSB35" s="774"/>
      <c r="PSC35" s="774"/>
      <c r="PSD35" s="774"/>
      <c r="PSE35" s="774"/>
      <c r="PSF35" s="774"/>
      <c r="PSG35" s="774"/>
      <c r="PSH35" s="774"/>
      <c r="PSI35" s="774"/>
      <c r="PSJ35" s="774"/>
      <c r="PSK35" s="774"/>
      <c r="PSL35" s="774"/>
      <c r="PSM35" s="774"/>
      <c r="PSN35" s="774"/>
      <c r="PSO35" s="774"/>
      <c r="PSP35" s="774"/>
      <c r="PSQ35" s="774"/>
      <c r="PSR35" s="774"/>
      <c r="PSS35" s="774"/>
      <c r="PST35" s="774"/>
      <c r="PSU35" s="774"/>
      <c r="PSV35" s="774"/>
      <c r="PSW35" s="774"/>
      <c r="PSX35" s="774"/>
      <c r="PSY35" s="774"/>
      <c r="PSZ35" s="774"/>
      <c r="PTA35" s="774"/>
      <c r="PTB35" s="774"/>
      <c r="PTC35" s="774"/>
      <c r="PTD35" s="774"/>
      <c r="PTE35" s="774"/>
      <c r="PTF35" s="774"/>
      <c r="PTG35" s="774"/>
      <c r="PTH35" s="774"/>
      <c r="PTI35" s="774"/>
      <c r="PTJ35" s="774"/>
      <c r="PTK35" s="774"/>
      <c r="PTL35" s="774"/>
      <c r="PTM35" s="774"/>
      <c r="PTN35" s="774"/>
      <c r="PTO35" s="774"/>
      <c r="PTP35" s="774"/>
      <c r="PTQ35" s="774"/>
      <c r="PTR35" s="774"/>
      <c r="PTS35" s="774"/>
      <c r="PTT35" s="774"/>
      <c r="PTU35" s="774"/>
      <c r="PTV35" s="774"/>
      <c r="PTW35" s="774"/>
      <c r="PTX35" s="774"/>
      <c r="PTY35" s="774"/>
      <c r="PTZ35" s="774"/>
      <c r="PUA35" s="774"/>
      <c r="PUB35" s="774"/>
      <c r="PUC35" s="774"/>
      <c r="PUD35" s="774"/>
      <c r="PUE35" s="774"/>
      <c r="PUF35" s="774"/>
      <c r="PUG35" s="774"/>
      <c r="PUH35" s="774"/>
      <c r="PUI35" s="774"/>
      <c r="PUJ35" s="774"/>
      <c r="PUK35" s="774"/>
      <c r="PUL35" s="774"/>
      <c r="PUM35" s="774"/>
      <c r="PUN35" s="774"/>
      <c r="PUO35" s="774"/>
      <c r="PUP35" s="774"/>
      <c r="PUQ35" s="774"/>
      <c r="PUR35" s="774"/>
      <c r="PUS35" s="774"/>
      <c r="PUT35" s="774"/>
      <c r="PUU35" s="774"/>
      <c r="PUV35" s="774"/>
      <c r="PUW35" s="774"/>
      <c r="PUX35" s="774"/>
      <c r="PUY35" s="774"/>
      <c r="PUZ35" s="774"/>
      <c r="PVA35" s="774"/>
      <c r="PVB35" s="774"/>
      <c r="PVC35" s="774"/>
      <c r="PVD35" s="774"/>
      <c r="PVE35" s="774"/>
      <c r="PVF35" s="774"/>
      <c r="PVG35" s="774"/>
      <c r="PVH35" s="774"/>
      <c r="PVI35" s="774"/>
      <c r="PVJ35" s="774"/>
      <c r="PVK35" s="774"/>
      <c r="PVL35" s="774"/>
      <c r="PVM35" s="774"/>
      <c r="PVN35" s="774"/>
      <c r="PVO35" s="774"/>
      <c r="PVP35" s="774"/>
      <c r="PVQ35" s="774"/>
      <c r="PVR35" s="774"/>
      <c r="PVS35" s="774"/>
      <c r="PVT35" s="774"/>
      <c r="PVU35" s="774"/>
      <c r="PVV35" s="774"/>
      <c r="PVW35" s="774"/>
      <c r="PVX35" s="774"/>
      <c r="PVY35" s="774"/>
      <c r="PVZ35" s="774"/>
      <c r="PWA35" s="774"/>
      <c r="PWB35" s="774"/>
      <c r="PWC35" s="774"/>
      <c r="PWD35" s="774"/>
      <c r="PWE35" s="774"/>
      <c r="PWF35" s="774"/>
      <c r="PWG35" s="774"/>
      <c r="PWH35" s="774"/>
      <c r="PWI35" s="774"/>
      <c r="PWJ35" s="774"/>
      <c r="PWK35" s="774"/>
      <c r="PWL35" s="774"/>
      <c r="PWM35" s="774"/>
      <c r="PWN35" s="774"/>
      <c r="PWO35" s="774"/>
      <c r="PWP35" s="774"/>
      <c r="PWQ35" s="774"/>
      <c r="PWR35" s="774"/>
      <c r="PWS35" s="774"/>
      <c r="PWT35" s="774"/>
      <c r="PWU35" s="774"/>
      <c r="PWV35" s="774"/>
      <c r="PWW35" s="774"/>
      <c r="PWX35" s="774"/>
      <c r="PWY35" s="774"/>
      <c r="PWZ35" s="774"/>
      <c r="PXA35" s="774"/>
      <c r="PXB35" s="774"/>
      <c r="PXC35" s="774"/>
      <c r="PXD35" s="774"/>
      <c r="PXE35" s="774"/>
      <c r="PXF35" s="774"/>
      <c r="PXG35" s="774"/>
      <c r="PXH35" s="774"/>
      <c r="PXI35" s="774"/>
      <c r="PXJ35" s="774"/>
      <c r="PXK35" s="774"/>
      <c r="PXL35" s="774"/>
      <c r="PXM35" s="774"/>
      <c r="PXN35" s="774"/>
      <c r="PXO35" s="774"/>
      <c r="PXP35" s="774"/>
      <c r="PXQ35" s="774"/>
      <c r="PXR35" s="774"/>
      <c r="PXS35" s="774"/>
      <c r="PXT35" s="774"/>
      <c r="PXU35" s="774"/>
      <c r="PXV35" s="774"/>
      <c r="PXW35" s="774"/>
      <c r="PXX35" s="774"/>
      <c r="PXY35" s="774"/>
      <c r="PXZ35" s="774"/>
      <c r="PYA35" s="774"/>
      <c r="PYB35" s="774"/>
      <c r="PYC35" s="774"/>
      <c r="PYD35" s="774"/>
      <c r="PYE35" s="774"/>
      <c r="PYF35" s="774"/>
      <c r="PYG35" s="774"/>
      <c r="PYH35" s="774"/>
      <c r="PYI35" s="774"/>
      <c r="PYJ35" s="774"/>
      <c r="PYK35" s="774"/>
      <c r="PYL35" s="774"/>
      <c r="PYM35" s="774"/>
      <c r="PYN35" s="774"/>
      <c r="PYO35" s="774"/>
      <c r="PYP35" s="774"/>
      <c r="PYQ35" s="774"/>
      <c r="PYR35" s="774"/>
      <c r="PYS35" s="774"/>
      <c r="PYT35" s="774"/>
      <c r="PYU35" s="774"/>
      <c r="PYV35" s="774"/>
      <c r="PYW35" s="774"/>
      <c r="PYX35" s="774"/>
      <c r="PYY35" s="774"/>
      <c r="PYZ35" s="774"/>
      <c r="PZA35" s="774"/>
      <c r="PZB35" s="774"/>
      <c r="PZC35" s="774"/>
      <c r="PZD35" s="774"/>
      <c r="PZE35" s="774"/>
      <c r="PZF35" s="774"/>
      <c r="PZG35" s="774"/>
      <c r="PZH35" s="774"/>
      <c r="PZI35" s="774"/>
      <c r="PZJ35" s="774"/>
      <c r="PZK35" s="774"/>
      <c r="PZL35" s="774"/>
      <c r="PZM35" s="774"/>
      <c r="PZN35" s="774"/>
      <c r="PZO35" s="774"/>
      <c r="PZP35" s="774"/>
      <c r="PZQ35" s="774"/>
      <c r="PZR35" s="774"/>
      <c r="PZS35" s="774"/>
      <c r="PZT35" s="774"/>
      <c r="PZU35" s="774"/>
      <c r="PZV35" s="774"/>
      <c r="PZW35" s="774"/>
      <c r="PZX35" s="774"/>
      <c r="PZY35" s="774"/>
      <c r="PZZ35" s="774"/>
      <c r="QAA35" s="774"/>
      <c r="QAB35" s="774"/>
      <c r="QAC35" s="774"/>
      <c r="QAD35" s="774"/>
      <c r="QAE35" s="774"/>
      <c r="QAF35" s="774"/>
      <c r="QAG35" s="774"/>
      <c r="QAH35" s="774"/>
      <c r="QAI35" s="774"/>
      <c r="QAJ35" s="774"/>
      <c r="QAK35" s="774"/>
      <c r="QAL35" s="774"/>
      <c r="QAM35" s="774"/>
      <c r="QAN35" s="774"/>
      <c r="QAO35" s="774"/>
      <c r="QAP35" s="774"/>
      <c r="QAQ35" s="774"/>
      <c r="QAR35" s="774"/>
      <c r="QAS35" s="774"/>
      <c r="QAT35" s="774"/>
      <c r="QAU35" s="774"/>
      <c r="QAV35" s="774"/>
      <c r="QAW35" s="774"/>
      <c r="QAX35" s="774"/>
      <c r="QAY35" s="774"/>
      <c r="QAZ35" s="774"/>
      <c r="QBA35" s="774"/>
      <c r="QBB35" s="774"/>
      <c r="QBC35" s="774"/>
      <c r="QBD35" s="774"/>
      <c r="QBE35" s="774"/>
      <c r="QBF35" s="774"/>
      <c r="QBG35" s="774"/>
      <c r="QBH35" s="774"/>
      <c r="QBI35" s="774"/>
      <c r="QBJ35" s="774"/>
      <c r="QBK35" s="774"/>
      <c r="QBL35" s="774"/>
      <c r="QBM35" s="774"/>
      <c r="QBN35" s="774"/>
      <c r="QBO35" s="774"/>
      <c r="QBP35" s="774"/>
      <c r="QBQ35" s="774"/>
      <c r="QBR35" s="774"/>
      <c r="QBS35" s="774"/>
      <c r="QBT35" s="774"/>
      <c r="QBU35" s="774"/>
      <c r="QBV35" s="774"/>
      <c r="QBW35" s="774"/>
      <c r="QBX35" s="774"/>
      <c r="QBY35" s="774"/>
      <c r="QBZ35" s="774"/>
      <c r="QCA35" s="774"/>
      <c r="QCB35" s="774"/>
      <c r="QCC35" s="774"/>
      <c r="QCD35" s="774"/>
      <c r="QCE35" s="774"/>
      <c r="QCF35" s="774"/>
      <c r="QCG35" s="774"/>
      <c r="QCH35" s="774"/>
      <c r="QCI35" s="774"/>
      <c r="QCJ35" s="774"/>
      <c r="QCK35" s="774"/>
      <c r="QCL35" s="774"/>
      <c r="QCM35" s="774"/>
      <c r="QCN35" s="774"/>
      <c r="QCO35" s="774"/>
      <c r="QCP35" s="774"/>
      <c r="QCQ35" s="774"/>
      <c r="QCR35" s="774"/>
      <c r="QCS35" s="774"/>
      <c r="QCT35" s="774"/>
      <c r="QCU35" s="774"/>
      <c r="QCV35" s="774"/>
      <c r="QCW35" s="774"/>
      <c r="QCX35" s="774"/>
      <c r="QCY35" s="774"/>
      <c r="QCZ35" s="774"/>
      <c r="QDA35" s="774"/>
      <c r="QDB35" s="774"/>
      <c r="QDC35" s="774"/>
      <c r="QDD35" s="774"/>
      <c r="QDE35" s="774"/>
      <c r="QDF35" s="774"/>
      <c r="QDG35" s="774"/>
      <c r="QDH35" s="774"/>
      <c r="QDI35" s="774"/>
      <c r="QDJ35" s="774"/>
      <c r="QDK35" s="774"/>
      <c r="QDL35" s="774"/>
      <c r="QDM35" s="774"/>
      <c r="QDN35" s="774"/>
      <c r="QDO35" s="774"/>
      <c r="QDP35" s="774"/>
      <c r="QDQ35" s="774"/>
      <c r="QDR35" s="774"/>
      <c r="QDS35" s="774"/>
      <c r="QDT35" s="774"/>
      <c r="QDU35" s="774"/>
      <c r="QDV35" s="774"/>
      <c r="QDW35" s="774"/>
      <c r="QDX35" s="774"/>
      <c r="QDY35" s="774"/>
      <c r="QDZ35" s="774"/>
      <c r="QEA35" s="774"/>
      <c r="QEB35" s="774"/>
      <c r="QEC35" s="774"/>
      <c r="QED35" s="774"/>
      <c r="QEE35" s="774"/>
      <c r="QEF35" s="774"/>
      <c r="QEG35" s="774"/>
      <c r="QEH35" s="774"/>
      <c r="QEI35" s="774"/>
      <c r="QEJ35" s="774"/>
      <c r="QEK35" s="774"/>
      <c r="QEL35" s="774"/>
      <c r="QEM35" s="774"/>
      <c r="QEN35" s="774"/>
      <c r="QEO35" s="774"/>
      <c r="QEP35" s="774"/>
      <c r="QEQ35" s="774"/>
      <c r="QER35" s="774"/>
      <c r="QES35" s="774"/>
      <c r="QET35" s="774"/>
      <c r="QEU35" s="774"/>
      <c r="QEV35" s="774"/>
      <c r="QEW35" s="774"/>
      <c r="QEX35" s="774"/>
      <c r="QEY35" s="774"/>
      <c r="QEZ35" s="774"/>
      <c r="QFA35" s="774"/>
      <c r="QFB35" s="774"/>
      <c r="QFC35" s="774"/>
      <c r="QFD35" s="774"/>
      <c r="QFE35" s="774"/>
      <c r="QFF35" s="774"/>
      <c r="QFG35" s="774"/>
      <c r="QFH35" s="774"/>
      <c r="QFI35" s="774"/>
      <c r="QFJ35" s="774"/>
      <c r="QFK35" s="774"/>
      <c r="QFL35" s="774"/>
      <c r="QFM35" s="774"/>
      <c r="QFN35" s="774"/>
      <c r="QFO35" s="774"/>
      <c r="QFP35" s="774"/>
      <c r="QFQ35" s="774"/>
      <c r="QFR35" s="774"/>
      <c r="QFS35" s="774"/>
      <c r="QFT35" s="774"/>
      <c r="QFU35" s="774"/>
      <c r="QFV35" s="774"/>
      <c r="QFW35" s="774"/>
      <c r="QFX35" s="774"/>
      <c r="QFY35" s="774"/>
      <c r="QFZ35" s="774"/>
      <c r="QGA35" s="774"/>
      <c r="QGB35" s="774"/>
      <c r="QGC35" s="774"/>
      <c r="QGD35" s="774"/>
      <c r="QGE35" s="774"/>
      <c r="QGF35" s="774"/>
      <c r="QGG35" s="774"/>
      <c r="QGH35" s="774"/>
      <c r="QGI35" s="774"/>
      <c r="QGJ35" s="774"/>
      <c r="QGK35" s="774"/>
      <c r="QGL35" s="774"/>
      <c r="QGM35" s="774"/>
      <c r="QGN35" s="774"/>
      <c r="QGO35" s="774"/>
      <c r="QGP35" s="774"/>
      <c r="QGQ35" s="774"/>
      <c r="QGR35" s="774"/>
      <c r="QGS35" s="774"/>
      <c r="QGT35" s="774"/>
      <c r="QGU35" s="774"/>
      <c r="QGV35" s="774"/>
      <c r="QGW35" s="774"/>
      <c r="QGX35" s="774"/>
      <c r="QGY35" s="774"/>
      <c r="QGZ35" s="774"/>
      <c r="QHA35" s="774"/>
      <c r="QHB35" s="774"/>
      <c r="QHC35" s="774"/>
      <c r="QHD35" s="774"/>
      <c r="QHE35" s="774"/>
      <c r="QHF35" s="774"/>
      <c r="QHG35" s="774"/>
      <c r="QHH35" s="774"/>
      <c r="QHI35" s="774"/>
      <c r="QHJ35" s="774"/>
      <c r="QHK35" s="774"/>
      <c r="QHL35" s="774"/>
      <c r="QHM35" s="774"/>
      <c r="QHN35" s="774"/>
      <c r="QHO35" s="774"/>
      <c r="QHP35" s="774"/>
      <c r="QHQ35" s="774"/>
      <c r="QHR35" s="774"/>
      <c r="QHS35" s="774"/>
      <c r="QHT35" s="774"/>
      <c r="QHU35" s="774"/>
      <c r="QHV35" s="774"/>
      <c r="QHW35" s="774"/>
      <c r="QHX35" s="774"/>
      <c r="QHY35" s="774"/>
      <c r="QHZ35" s="774"/>
      <c r="QIA35" s="774"/>
      <c r="QIB35" s="774"/>
      <c r="QIC35" s="774"/>
      <c r="QID35" s="774"/>
      <c r="QIE35" s="774"/>
      <c r="QIF35" s="774"/>
      <c r="QIG35" s="774"/>
      <c r="QIH35" s="774"/>
      <c r="QII35" s="774"/>
      <c r="QIJ35" s="774"/>
      <c r="QIK35" s="774"/>
      <c r="QIL35" s="774"/>
      <c r="QIM35" s="774"/>
      <c r="QIN35" s="774"/>
      <c r="QIO35" s="774"/>
      <c r="QIP35" s="774"/>
      <c r="QIQ35" s="774"/>
      <c r="QIR35" s="774"/>
      <c r="QIS35" s="774"/>
      <c r="QIT35" s="774"/>
      <c r="QIU35" s="774"/>
      <c r="QIV35" s="774"/>
      <c r="QIW35" s="774"/>
      <c r="QIX35" s="774"/>
      <c r="QIY35" s="774"/>
      <c r="QIZ35" s="774"/>
      <c r="QJA35" s="774"/>
      <c r="QJB35" s="774"/>
      <c r="QJC35" s="774"/>
      <c r="QJD35" s="774"/>
      <c r="QJE35" s="774"/>
      <c r="QJF35" s="774"/>
      <c r="QJG35" s="774"/>
      <c r="QJH35" s="774"/>
      <c r="QJI35" s="774"/>
      <c r="QJJ35" s="774"/>
      <c r="QJK35" s="774"/>
      <c r="QJL35" s="774"/>
      <c r="QJM35" s="774"/>
      <c r="QJN35" s="774"/>
      <c r="QJO35" s="774"/>
      <c r="QJP35" s="774"/>
      <c r="QJQ35" s="774"/>
      <c r="QJR35" s="774"/>
      <c r="QJS35" s="774"/>
      <c r="QJT35" s="774"/>
      <c r="QJU35" s="774"/>
      <c r="QJV35" s="774"/>
      <c r="QJW35" s="774"/>
      <c r="QJX35" s="774"/>
      <c r="QJY35" s="774"/>
      <c r="QJZ35" s="774"/>
      <c r="QKA35" s="774"/>
      <c r="QKB35" s="774"/>
      <c r="QKC35" s="774"/>
      <c r="QKD35" s="774"/>
      <c r="QKE35" s="774"/>
      <c r="QKF35" s="774"/>
      <c r="QKG35" s="774"/>
      <c r="QKH35" s="774"/>
      <c r="QKI35" s="774"/>
      <c r="QKJ35" s="774"/>
      <c r="QKK35" s="774"/>
      <c r="QKL35" s="774"/>
      <c r="QKM35" s="774"/>
      <c r="QKN35" s="774"/>
      <c r="QKO35" s="774"/>
      <c r="QKP35" s="774"/>
      <c r="QKQ35" s="774"/>
      <c r="QKR35" s="774"/>
      <c r="QKS35" s="774"/>
      <c r="QKT35" s="774"/>
      <c r="QKU35" s="774"/>
      <c r="QKV35" s="774"/>
      <c r="QKW35" s="774"/>
      <c r="QKX35" s="774"/>
      <c r="QKY35" s="774"/>
      <c r="QKZ35" s="774"/>
      <c r="QLA35" s="774"/>
      <c r="QLB35" s="774"/>
      <c r="QLC35" s="774"/>
      <c r="QLD35" s="774"/>
      <c r="QLE35" s="774"/>
      <c r="QLF35" s="774"/>
      <c r="QLG35" s="774"/>
      <c r="QLH35" s="774"/>
      <c r="QLI35" s="774"/>
      <c r="QLJ35" s="774"/>
      <c r="QLK35" s="774"/>
      <c r="QLL35" s="774"/>
      <c r="QLM35" s="774"/>
      <c r="QLN35" s="774"/>
      <c r="QLO35" s="774"/>
      <c r="QLP35" s="774"/>
      <c r="QLQ35" s="774"/>
      <c r="QLR35" s="774"/>
      <c r="QLS35" s="774"/>
      <c r="QLT35" s="774"/>
      <c r="QLU35" s="774"/>
      <c r="QLV35" s="774"/>
      <c r="QLW35" s="774"/>
      <c r="QLX35" s="774"/>
      <c r="QLY35" s="774"/>
      <c r="QLZ35" s="774"/>
      <c r="QMA35" s="774"/>
      <c r="QMB35" s="774"/>
      <c r="QMC35" s="774"/>
      <c r="QMD35" s="774"/>
      <c r="QME35" s="774"/>
      <c r="QMF35" s="774"/>
      <c r="QMG35" s="774"/>
      <c r="QMH35" s="774"/>
      <c r="QMI35" s="774"/>
      <c r="QMJ35" s="774"/>
      <c r="QMK35" s="774"/>
      <c r="QML35" s="774"/>
      <c r="QMM35" s="774"/>
      <c r="QMN35" s="774"/>
      <c r="QMO35" s="774"/>
      <c r="QMP35" s="774"/>
      <c r="QMQ35" s="774"/>
      <c r="QMR35" s="774"/>
      <c r="QMS35" s="774"/>
      <c r="QMT35" s="774"/>
      <c r="QMU35" s="774"/>
      <c r="QMV35" s="774"/>
      <c r="QMW35" s="774"/>
      <c r="QMX35" s="774"/>
      <c r="QMY35" s="774"/>
      <c r="QMZ35" s="774"/>
      <c r="QNA35" s="774"/>
      <c r="QNB35" s="774"/>
      <c r="QNC35" s="774"/>
      <c r="QND35" s="774"/>
      <c r="QNE35" s="774"/>
      <c r="QNF35" s="774"/>
      <c r="QNG35" s="774"/>
      <c r="QNH35" s="774"/>
      <c r="QNI35" s="774"/>
      <c r="QNJ35" s="774"/>
      <c r="QNK35" s="774"/>
      <c r="QNL35" s="774"/>
      <c r="QNM35" s="774"/>
      <c r="QNN35" s="774"/>
      <c r="QNO35" s="774"/>
      <c r="QNP35" s="774"/>
      <c r="QNQ35" s="774"/>
      <c r="QNR35" s="774"/>
      <c r="QNS35" s="774"/>
      <c r="QNT35" s="774"/>
      <c r="QNU35" s="774"/>
      <c r="QNV35" s="774"/>
      <c r="QNW35" s="774"/>
      <c r="QNX35" s="774"/>
      <c r="QNY35" s="774"/>
      <c r="QNZ35" s="774"/>
      <c r="QOA35" s="774"/>
      <c r="QOB35" s="774"/>
      <c r="QOC35" s="774"/>
      <c r="QOD35" s="774"/>
      <c r="QOE35" s="774"/>
      <c r="QOF35" s="774"/>
      <c r="QOG35" s="774"/>
      <c r="QOH35" s="774"/>
      <c r="QOI35" s="774"/>
      <c r="QOJ35" s="774"/>
      <c r="QOK35" s="774"/>
      <c r="QOL35" s="774"/>
      <c r="QOM35" s="774"/>
      <c r="QON35" s="774"/>
      <c r="QOO35" s="774"/>
      <c r="QOP35" s="774"/>
      <c r="QOQ35" s="774"/>
      <c r="QOR35" s="774"/>
      <c r="QOS35" s="774"/>
      <c r="QOT35" s="774"/>
      <c r="QOU35" s="774"/>
      <c r="QOV35" s="774"/>
      <c r="QOW35" s="774"/>
      <c r="QOX35" s="774"/>
      <c r="QOY35" s="774"/>
      <c r="QOZ35" s="774"/>
      <c r="QPA35" s="774"/>
      <c r="QPB35" s="774"/>
      <c r="QPC35" s="774"/>
      <c r="QPD35" s="774"/>
      <c r="QPE35" s="774"/>
      <c r="QPF35" s="774"/>
      <c r="QPG35" s="774"/>
      <c r="QPH35" s="774"/>
      <c r="QPI35" s="774"/>
      <c r="QPJ35" s="774"/>
      <c r="QPK35" s="774"/>
      <c r="QPL35" s="774"/>
      <c r="QPM35" s="774"/>
      <c r="QPN35" s="774"/>
      <c r="QPO35" s="774"/>
      <c r="QPP35" s="774"/>
      <c r="QPQ35" s="774"/>
      <c r="QPR35" s="774"/>
      <c r="QPS35" s="774"/>
      <c r="QPT35" s="774"/>
      <c r="QPU35" s="774"/>
      <c r="QPV35" s="774"/>
      <c r="QPW35" s="774"/>
      <c r="QPX35" s="774"/>
      <c r="QPY35" s="774"/>
      <c r="QPZ35" s="774"/>
      <c r="QQA35" s="774"/>
      <c r="QQB35" s="774"/>
      <c r="QQC35" s="774"/>
      <c r="QQD35" s="774"/>
      <c r="QQE35" s="774"/>
      <c r="QQF35" s="774"/>
      <c r="QQG35" s="774"/>
      <c r="QQH35" s="774"/>
      <c r="QQI35" s="774"/>
      <c r="QQJ35" s="774"/>
      <c r="QQK35" s="774"/>
      <c r="QQL35" s="774"/>
      <c r="QQM35" s="774"/>
      <c r="QQN35" s="774"/>
      <c r="QQO35" s="774"/>
      <c r="QQP35" s="774"/>
      <c r="QQQ35" s="774"/>
      <c r="QQR35" s="774"/>
      <c r="QQS35" s="774"/>
      <c r="QQT35" s="774"/>
      <c r="QQU35" s="774"/>
      <c r="QQV35" s="774"/>
      <c r="QQW35" s="774"/>
      <c r="QQX35" s="774"/>
      <c r="QQY35" s="774"/>
      <c r="QQZ35" s="774"/>
      <c r="QRA35" s="774"/>
      <c r="QRB35" s="774"/>
      <c r="QRC35" s="774"/>
      <c r="QRD35" s="774"/>
      <c r="QRE35" s="774"/>
      <c r="QRF35" s="774"/>
      <c r="QRG35" s="774"/>
      <c r="QRH35" s="774"/>
      <c r="QRI35" s="774"/>
      <c r="QRJ35" s="774"/>
      <c r="QRK35" s="774"/>
      <c r="QRL35" s="774"/>
      <c r="QRM35" s="774"/>
      <c r="QRN35" s="774"/>
      <c r="QRO35" s="774"/>
      <c r="QRP35" s="774"/>
      <c r="QRQ35" s="774"/>
      <c r="QRR35" s="774"/>
      <c r="QRS35" s="774"/>
      <c r="QRT35" s="774"/>
      <c r="QRU35" s="774"/>
      <c r="QRV35" s="774"/>
      <c r="QRW35" s="774"/>
      <c r="QRX35" s="774"/>
      <c r="QRY35" s="774"/>
      <c r="QRZ35" s="774"/>
      <c r="QSA35" s="774"/>
      <c r="QSB35" s="774"/>
      <c r="QSC35" s="774"/>
      <c r="QSD35" s="774"/>
      <c r="QSE35" s="774"/>
      <c r="QSF35" s="774"/>
      <c r="QSG35" s="774"/>
      <c r="QSH35" s="774"/>
      <c r="QSI35" s="774"/>
      <c r="QSJ35" s="774"/>
      <c r="QSK35" s="774"/>
      <c r="QSL35" s="774"/>
      <c r="QSM35" s="774"/>
      <c r="QSN35" s="774"/>
      <c r="QSO35" s="774"/>
      <c r="QSP35" s="774"/>
      <c r="QSQ35" s="774"/>
      <c r="QSR35" s="774"/>
      <c r="QSS35" s="774"/>
      <c r="QST35" s="774"/>
      <c r="QSU35" s="774"/>
      <c r="QSV35" s="774"/>
      <c r="QSW35" s="774"/>
      <c r="QSX35" s="774"/>
      <c r="QSY35" s="774"/>
      <c r="QSZ35" s="774"/>
      <c r="QTA35" s="774"/>
      <c r="QTB35" s="774"/>
      <c r="QTC35" s="774"/>
      <c r="QTD35" s="774"/>
      <c r="QTE35" s="774"/>
      <c r="QTF35" s="774"/>
      <c r="QTG35" s="774"/>
      <c r="QTH35" s="774"/>
      <c r="QTI35" s="774"/>
      <c r="QTJ35" s="774"/>
      <c r="QTK35" s="774"/>
      <c r="QTL35" s="774"/>
      <c r="QTM35" s="774"/>
      <c r="QTN35" s="774"/>
      <c r="QTO35" s="774"/>
      <c r="QTP35" s="774"/>
      <c r="QTQ35" s="774"/>
      <c r="QTR35" s="774"/>
      <c r="QTS35" s="774"/>
      <c r="QTT35" s="774"/>
      <c r="QTU35" s="774"/>
      <c r="QTV35" s="774"/>
      <c r="QTW35" s="774"/>
      <c r="QTX35" s="774"/>
      <c r="QTY35" s="774"/>
      <c r="QTZ35" s="774"/>
      <c r="QUA35" s="774"/>
      <c r="QUB35" s="774"/>
      <c r="QUC35" s="774"/>
      <c r="QUD35" s="774"/>
      <c r="QUE35" s="774"/>
      <c r="QUF35" s="774"/>
      <c r="QUG35" s="774"/>
      <c r="QUH35" s="774"/>
      <c r="QUI35" s="774"/>
      <c r="QUJ35" s="774"/>
      <c r="QUK35" s="774"/>
      <c r="QUL35" s="774"/>
      <c r="QUM35" s="774"/>
      <c r="QUN35" s="774"/>
      <c r="QUO35" s="774"/>
      <c r="QUP35" s="774"/>
      <c r="QUQ35" s="774"/>
      <c r="QUR35" s="774"/>
      <c r="QUS35" s="774"/>
      <c r="QUT35" s="774"/>
      <c r="QUU35" s="774"/>
      <c r="QUV35" s="774"/>
      <c r="QUW35" s="774"/>
      <c r="QUX35" s="774"/>
      <c r="QUY35" s="774"/>
      <c r="QUZ35" s="774"/>
      <c r="QVA35" s="774"/>
      <c r="QVB35" s="774"/>
      <c r="QVC35" s="774"/>
      <c r="QVD35" s="774"/>
      <c r="QVE35" s="774"/>
      <c r="QVF35" s="774"/>
      <c r="QVG35" s="774"/>
      <c r="QVH35" s="774"/>
      <c r="QVI35" s="774"/>
      <c r="QVJ35" s="774"/>
      <c r="QVK35" s="774"/>
      <c r="QVL35" s="774"/>
      <c r="QVM35" s="774"/>
      <c r="QVN35" s="774"/>
      <c r="QVO35" s="774"/>
      <c r="QVP35" s="774"/>
      <c r="QVQ35" s="774"/>
      <c r="QVR35" s="774"/>
      <c r="QVS35" s="774"/>
      <c r="QVT35" s="774"/>
      <c r="QVU35" s="774"/>
      <c r="QVV35" s="774"/>
      <c r="QVW35" s="774"/>
      <c r="QVX35" s="774"/>
      <c r="QVY35" s="774"/>
      <c r="QVZ35" s="774"/>
      <c r="QWA35" s="774"/>
      <c r="QWB35" s="774"/>
      <c r="QWC35" s="774"/>
      <c r="QWD35" s="774"/>
      <c r="QWE35" s="774"/>
      <c r="QWF35" s="774"/>
      <c r="QWG35" s="774"/>
      <c r="QWH35" s="774"/>
      <c r="QWI35" s="774"/>
      <c r="QWJ35" s="774"/>
      <c r="QWK35" s="774"/>
      <c r="QWL35" s="774"/>
      <c r="QWM35" s="774"/>
      <c r="QWN35" s="774"/>
      <c r="QWO35" s="774"/>
      <c r="QWP35" s="774"/>
      <c r="QWQ35" s="774"/>
      <c r="QWR35" s="774"/>
      <c r="QWS35" s="774"/>
      <c r="QWT35" s="774"/>
      <c r="QWU35" s="774"/>
      <c r="QWV35" s="774"/>
      <c r="QWW35" s="774"/>
      <c r="QWX35" s="774"/>
      <c r="QWY35" s="774"/>
      <c r="QWZ35" s="774"/>
      <c r="QXA35" s="774"/>
      <c r="QXB35" s="774"/>
      <c r="QXC35" s="774"/>
      <c r="QXD35" s="774"/>
      <c r="QXE35" s="774"/>
      <c r="QXF35" s="774"/>
      <c r="QXG35" s="774"/>
      <c r="QXH35" s="774"/>
      <c r="QXI35" s="774"/>
      <c r="QXJ35" s="774"/>
      <c r="QXK35" s="774"/>
      <c r="QXL35" s="774"/>
      <c r="QXM35" s="774"/>
      <c r="QXN35" s="774"/>
      <c r="QXO35" s="774"/>
      <c r="QXP35" s="774"/>
      <c r="QXQ35" s="774"/>
      <c r="QXR35" s="774"/>
      <c r="QXS35" s="774"/>
      <c r="QXT35" s="774"/>
      <c r="QXU35" s="774"/>
      <c r="QXV35" s="774"/>
      <c r="QXW35" s="774"/>
      <c r="QXX35" s="774"/>
      <c r="QXY35" s="774"/>
      <c r="QXZ35" s="774"/>
      <c r="QYA35" s="774"/>
      <c r="QYB35" s="774"/>
      <c r="QYC35" s="774"/>
      <c r="QYD35" s="774"/>
      <c r="QYE35" s="774"/>
      <c r="QYF35" s="774"/>
      <c r="QYG35" s="774"/>
      <c r="QYH35" s="774"/>
      <c r="QYI35" s="774"/>
      <c r="QYJ35" s="774"/>
      <c r="QYK35" s="774"/>
      <c r="QYL35" s="774"/>
      <c r="QYM35" s="774"/>
      <c r="QYN35" s="774"/>
      <c r="QYO35" s="774"/>
      <c r="QYP35" s="774"/>
      <c r="QYQ35" s="774"/>
      <c r="QYR35" s="774"/>
      <c r="QYS35" s="774"/>
      <c r="QYT35" s="774"/>
      <c r="QYU35" s="774"/>
      <c r="QYV35" s="774"/>
      <c r="QYW35" s="774"/>
      <c r="QYX35" s="774"/>
      <c r="QYY35" s="774"/>
      <c r="QYZ35" s="774"/>
      <c r="QZA35" s="774"/>
      <c r="QZB35" s="774"/>
      <c r="QZC35" s="774"/>
      <c r="QZD35" s="774"/>
      <c r="QZE35" s="774"/>
      <c r="QZF35" s="774"/>
      <c r="QZG35" s="774"/>
      <c r="QZH35" s="774"/>
      <c r="QZI35" s="774"/>
      <c r="QZJ35" s="774"/>
      <c r="QZK35" s="774"/>
      <c r="QZL35" s="774"/>
      <c r="QZM35" s="774"/>
      <c r="QZN35" s="774"/>
      <c r="QZO35" s="774"/>
      <c r="QZP35" s="774"/>
      <c r="QZQ35" s="774"/>
      <c r="QZR35" s="774"/>
      <c r="QZS35" s="774"/>
      <c r="QZT35" s="774"/>
      <c r="QZU35" s="774"/>
      <c r="QZV35" s="774"/>
      <c r="QZW35" s="774"/>
      <c r="QZX35" s="774"/>
      <c r="QZY35" s="774"/>
      <c r="QZZ35" s="774"/>
      <c r="RAA35" s="774"/>
      <c r="RAB35" s="774"/>
      <c r="RAC35" s="774"/>
      <c r="RAD35" s="774"/>
      <c r="RAE35" s="774"/>
      <c r="RAF35" s="774"/>
      <c r="RAG35" s="774"/>
      <c r="RAH35" s="774"/>
      <c r="RAI35" s="774"/>
      <c r="RAJ35" s="774"/>
      <c r="RAK35" s="774"/>
      <c r="RAL35" s="774"/>
      <c r="RAM35" s="774"/>
      <c r="RAN35" s="774"/>
      <c r="RAO35" s="774"/>
      <c r="RAP35" s="774"/>
      <c r="RAQ35" s="774"/>
      <c r="RAR35" s="774"/>
      <c r="RAS35" s="774"/>
      <c r="RAT35" s="774"/>
      <c r="RAU35" s="774"/>
      <c r="RAV35" s="774"/>
      <c r="RAW35" s="774"/>
      <c r="RAX35" s="774"/>
      <c r="RAY35" s="774"/>
      <c r="RAZ35" s="774"/>
      <c r="RBA35" s="774"/>
      <c r="RBB35" s="774"/>
      <c r="RBC35" s="774"/>
      <c r="RBD35" s="774"/>
      <c r="RBE35" s="774"/>
      <c r="RBF35" s="774"/>
      <c r="RBG35" s="774"/>
      <c r="RBH35" s="774"/>
      <c r="RBI35" s="774"/>
      <c r="RBJ35" s="774"/>
      <c r="RBK35" s="774"/>
      <c r="RBL35" s="774"/>
      <c r="RBM35" s="774"/>
      <c r="RBN35" s="774"/>
      <c r="RBO35" s="774"/>
      <c r="RBP35" s="774"/>
      <c r="RBQ35" s="774"/>
      <c r="RBR35" s="774"/>
      <c r="RBS35" s="774"/>
      <c r="RBT35" s="774"/>
      <c r="RBU35" s="774"/>
      <c r="RBV35" s="774"/>
      <c r="RBW35" s="774"/>
      <c r="RBX35" s="774"/>
      <c r="RBY35" s="774"/>
      <c r="RBZ35" s="774"/>
      <c r="RCA35" s="774"/>
      <c r="RCB35" s="774"/>
      <c r="RCC35" s="774"/>
      <c r="RCD35" s="774"/>
      <c r="RCE35" s="774"/>
      <c r="RCF35" s="774"/>
      <c r="RCG35" s="774"/>
      <c r="RCH35" s="774"/>
      <c r="RCI35" s="774"/>
      <c r="RCJ35" s="774"/>
      <c r="RCK35" s="774"/>
      <c r="RCL35" s="774"/>
      <c r="RCM35" s="774"/>
      <c r="RCN35" s="774"/>
      <c r="RCO35" s="774"/>
      <c r="RCP35" s="774"/>
      <c r="RCQ35" s="774"/>
      <c r="RCR35" s="774"/>
      <c r="RCS35" s="774"/>
      <c r="RCT35" s="774"/>
      <c r="RCU35" s="774"/>
      <c r="RCV35" s="774"/>
      <c r="RCW35" s="774"/>
      <c r="RCX35" s="774"/>
      <c r="RCY35" s="774"/>
      <c r="RCZ35" s="774"/>
      <c r="RDA35" s="774"/>
      <c r="RDB35" s="774"/>
      <c r="RDC35" s="774"/>
      <c r="RDD35" s="774"/>
      <c r="RDE35" s="774"/>
      <c r="RDF35" s="774"/>
      <c r="RDG35" s="774"/>
      <c r="RDH35" s="774"/>
      <c r="RDI35" s="774"/>
      <c r="RDJ35" s="774"/>
      <c r="RDK35" s="774"/>
      <c r="RDL35" s="774"/>
      <c r="RDM35" s="774"/>
      <c r="RDN35" s="774"/>
      <c r="RDO35" s="774"/>
      <c r="RDP35" s="774"/>
      <c r="RDQ35" s="774"/>
      <c r="RDR35" s="774"/>
      <c r="RDS35" s="774"/>
      <c r="RDT35" s="774"/>
      <c r="RDU35" s="774"/>
      <c r="RDV35" s="774"/>
      <c r="RDW35" s="774"/>
      <c r="RDX35" s="774"/>
      <c r="RDY35" s="774"/>
      <c r="RDZ35" s="774"/>
      <c r="REA35" s="774"/>
      <c r="REB35" s="774"/>
      <c r="REC35" s="774"/>
      <c r="RED35" s="774"/>
      <c r="REE35" s="774"/>
      <c r="REF35" s="774"/>
      <c r="REG35" s="774"/>
      <c r="REH35" s="774"/>
      <c r="REI35" s="774"/>
      <c r="REJ35" s="774"/>
      <c r="REK35" s="774"/>
      <c r="REL35" s="774"/>
      <c r="REM35" s="774"/>
      <c r="REN35" s="774"/>
      <c r="REO35" s="774"/>
      <c r="REP35" s="774"/>
      <c r="REQ35" s="774"/>
      <c r="RER35" s="774"/>
      <c r="RES35" s="774"/>
      <c r="RET35" s="774"/>
      <c r="REU35" s="774"/>
      <c r="REV35" s="774"/>
      <c r="REW35" s="774"/>
      <c r="REX35" s="774"/>
      <c r="REY35" s="774"/>
      <c r="REZ35" s="774"/>
      <c r="RFA35" s="774"/>
      <c r="RFB35" s="774"/>
      <c r="RFC35" s="774"/>
      <c r="RFD35" s="774"/>
      <c r="RFE35" s="774"/>
      <c r="RFF35" s="774"/>
      <c r="RFG35" s="774"/>
      <c r="RFH35" s="774"/>
      <c r="RFI35" s="774"/>
      <c r="RFJ35" s="774"/>
      <c r="RFK35" s="774"/>
      <c r="RFL35" s="774"/>
      <c r="RFM35" s="774"/>
      <c r="RFN35" s="774"/>
      <c r="RFO35" s="774"/>
      <c r="RFP35" s="774"/>
      <c r="RFQ35" s="774"/>
      <c r="RFR35" s="774"/>
      <c r="RFS35" s="774"/>
      <c r="RFT35" s="774"/>
      <c r="RFU35" s="774"/>
      <c r="RFV35" s="774"/>
      <c r="RFW35" s="774"/>
      <c r="RFX35" s="774"/>
      <c r="RFY35" s="774"/>
      <c r="RFZ35" s="774"/>
      <c r="RGA35" s="774"/>
      <c r="RGB35" s="774"/>
      <c r="RGC35" s="774"/>
      <c r="RGD35" s="774"/>
      <c r="RGE35" s="774"/>
      <c r="RGF35" s="774"/>
      <c r="RGG35" s="774"/>
      <c r="RGH35" s="774"/>
      <c r="RGI35" s="774"/>
      <c r="RGJ35" s="774"/>
      <c r="RGK35" s="774"/>
      <c r="RGL35" s="774"/>
      <c r="RGM35" s="774"/>
      <c r="RGN35" s="774"/>
      <c r="RGO35" s="774"/>
      <c r="RGP35" s="774"/>
      <c r="RGQ35" s="774"/>
      <c r="RGR35" s="774"/>
      <c r="RGS35" s="774"/>
      <c r="RGT35" s="774"/>
      <c r="RGU35" s="774"/>
      <c r="RGV35" s="774"/>
      <c r="RGW35" s="774"/>
      <c r="RGX35" s="774"/>
      <c r="RGY35" s="774"/>
      <c r="RGZ35" s="774"/>
      <c r="RHA35" s="774"/>
      <c r="RHB35" s="774"/>
      <c r="RHC35" s="774"/>
      <c r="RHD35" s="774"/>
      <c r="RHE35" s="774"/>
      <c r="RHF35" s="774"/>
      <c r="RHG35" s="774"/>
      <c r="RHH35" s="774"/>
      <c r="RHI35" s="774"/>
      <c r="RHJ35" s="774"/>
      <c r="RHK35" s="774"/>
      <c r="RHL35" s="774"/>
      <c r="RHM35" s="774"/>
      <c r="RHN35" s="774"/>
      <c r="RHO35" s="774"/>
      <c r="RHP35" s="774"/>
      <c r="RHQ35" s="774"/>
      <c r="RHR35" s="774"/>
      <c r="RHS35" s="774"/>
      <c r="RHT35" s="774"/>
      <c r="RHU35" s="774"/>
      <c r="RHV35" s="774"/>
      <c r="RHW35" s="774"/>
      <c r="RHX35" s="774"/>
      <c r="RHY35" s="774"/>
      <c r="RHZ35" s="774"/>
      <c r="RIA35" s="774"/>
      <c r="RIB35" s="774"/>
      <c r="RIC35" s="774"/>
      <c r="RID35" s="774"/>
      <c r="RIE35" s="774"/>
      <c r="RIF35" s="774"/>
      <c r="RIG35" s="774"/>
      <c r="RIH35" s="774"/>
      <c r="RII35" s="774"/>
      <c r="RIJ35" s="774"/>
      <c r="RIK35" s="774"/>
      <c r="RIL35" s="774"/>
      <c r="RIM35" s="774"/>
      <c r="RIN35" s="774"/>
      <c r="RIO35" s="774"/>
      <c r="RIP35" s="774"/>
      <c r="RIQ35" s="774"/>
      <c r="RIR35" s="774"/>
      <c r="RIS35" s="774"/>
      <c r="RIT35" s="774"/>
      <c r="RIU35" s="774"/>
      <c r="RIV35" s="774"/>
      <c r="RIW35" s="774"/>
      <c r="RIX35" s="774"/>
      <c r="RIY35" s="774"/>
      <c r="RIZ35" s="774"/>
      <c r="RJA35" s="774"/>
      <c r="RJB35" s="774"/>
      <c r="RJC35" s="774"/>
      <c r="RJD35" s="774"/>
      <c r="RJE35" s="774"/>
      <c r="RJF35" s="774"/>
      <c r="RJG35" s="774"/>
      <c r="RJH35" s="774"/>
      <c r="RJI35" s="774"/>
      <c r="RJJ35" s="774"/>
      <c r="RJK35" s="774"/>
      <c r="RJL35" s="774"/>
      <c r="RJM35" s="774"/>
      <c r="RJN35" s="774"/>
      <c r="RJO35" s="774"/>
      <c r="RJP35" s="774"/>
      <c r="RJQ35" s="774"/>
      <c r="RJR35" s="774"/>
      <c r="RJS35" s="774"/>
      <c r="RJT35" s="774"/>
      <c r="RJU35" s="774"/>
      <c r="RJV35" s="774"/>
      <c r="RJW35" s="774"/>
      <c r="RJX35" s="774"/>
      <c r="RJY35" s="774"/>
      <c r="RJZ35" s="774"/>
      <c r="RKA35" s="774"/>
      <c r="RKB35" s="774"/>
      <c r="RKC35" s="774"/>
      <c r="RKD35" s="774"/>
      <c r="RKE35" s="774"/>
      <c r="RKF35" s="774"/>
      <c r="RKG35" s="774"/>
      <c r="RKH35" s="774"/>
      <c r="RKI35" s="774"/>
      <c r="RKJ35" s="774"/>
      <c r="RKK35" s="774"/>
      <c r="RKL35" s="774"/>
      <c r="RKM35" s="774"/>
      <c r="RKN35" s="774"/>
      <c r="RKO35" s="774"/>
      <c r="RKP35" s="774"/>
      <c r="RKQ35" s="774"/>
      <c r="RKR35" s="774"/>
      <c r="RKS35" s="774"/>
      <c r="RKT35" s="774"/>
      <c r="RKU35" s="774"/>
      <c r="RKV35" s="774"/>
      <c r="RKW35" s="774"/>
      <c r="RKX35" s="774"/>
      <c r="RKY35" s="774"/>
      <c r="RKZ35" s="774"/>
      <c r="RLA35" s="774"/>
      <c r="RLB35" s="774"/>
      <c r="RLC35" s="774"/>
      <c r="RLD35" s="774"/>
      <c r="RLE35" s="774"/>
      <c r="RLF35" s="774"/>
      <c r="RLG35" s="774"/>
      <c r="RLH35" s="774"/>
      <c r="RLI35" s="774"/>
      <c r="RLJ35" s="774"/>
      <c r="RLK35" s="774"/>
      <c r="RLL35" s="774"/>
      <c r="RLM35" s="774"/>
      <c r="RLN35" s="774"/>
      <c r="RLO35" s="774"/>
      <c r="RLP35" s="774"/>
      <c r="RLQ35" s="774"/>
      <c r="RLR35" s="774"/>
      <c r="RLS35" s="774"/>
      <c r="RLT35" s="774"/>
      <c r="RLU35" s="774"/>
      <c r="RLV35" s="774"/>
      <c r="RLW35" s="774"/>
      <c r="RLX35" s="774"/>
      <c r="RLY35" s="774"/>
      <c r="RLZ35" s="774"/>
      <c r="RMA35" s="774"/>
      <c r="RMB35" s="774"/>
      <c r="RMC35" s="774"/>
      <c r="RMD35" s="774"/>
      <c r="RME35" s="774"/>
      <c r="RMF35" s="774"/>
      <c r="RMG35" s="774"/>
      <c r="RMH35" s="774"/>
      <c r="RMI35" s="774"/>
      <c r="RMJ35" s="774"/>
      <c r="RMK35" s="774"/>
      <c r="RML35" s="774"/>
      <c r="RMM35" s="774"/>
      <c r="RMN35" s="774"/>
      <c r="RMO35" s="774"/>
      <c r="RMP35" s="774"/>
      <c r="RMQ35" s="774"/>
      <c r="RMR35" s="774"/>
      <c r="RMS35" s="774"/>
      <c r="RMT35" s="774"/>
      <c r="RMU35" s="774"/>
      <c r="RMV35" s="774"/>
      <c r="RMW35" s="774"/>
      <c r="RMX35" s="774"/>
      <c r="RMY35" s="774"/>
      <c r="RMZ35" s="774"/>
      <c r="RNA35" s="774"/>
      <c r="RNB35" s="774"/>
      <c r="RNC35" s="774"/>
      <c r="RND35" s="774"/>
      <c r="RNE35" s="774"/>
      <c r="RNF35" s="774"/>
      <c r="RNG35" s="774"/>
      <c r="RNH35" s="774"/>
      <c r="RNI35" s="774"/>
      <c r="RNJ35" s="774"/>
      <c r="RNK35" s="774"/>
      <c r="RNL35" s="774"/>
      <c r="RNM35" s="774"/>
      <c r="RNN35" s="774"/>
      <c r="RNO35" s="774"/>
      <c r="RNP35" s="774"/>
      <c r="RNQ35" s="774"/>
      <c r="RNR35" s="774"/>
      <c r="RNS35" s="774"/>
      <c r="RNT35" s="774"/>
      <c r="RNU35" s="774"/>
      <c r="RNV35" s="774"/>
      <c r="RNW35" s="774"/>
      <c r="RNX35" s="774"/>
      <c r="RNY35" s="774"/>
      <c r="RNZ35" s="774"/>
      <c r="ROA35" s="774"/>
      <c r="ROB35" s="774"/>
      <c r="ROC35" s="774"/>
      <c r="ROD35" s="774"/>
      <c r="ROE35" s="774"/>
      <c r="ROF35" s="774"/>
      <c r="ROG35" s="774"/>
      <c r="ROH35" s="774"/>
      <c r="ROI35" s="774"/>
      <c r="ROJ35" s="774"/>
      <c r="ROK35" s="774"/>
      <c r="ROL35" s="774"/>
      <c r="ROM35" s="774"/>
      <c r="RON35" s="774"/>
      <c r="ROO35" s="774"/>
      <c r="ROP35" s="774"/>
      <c r="ROQ35" s="774"/>
      <c r="ROR35" s="774"/>
      <c r="ROS35" s="774"/>
      <c r="ROT35" s="774"/>
      <c r="ROU35" s="774"/>
      <c r="ROV35" s="774"/>
      <c r="ROW35" s="774"/>
      <c r="ROX35" s="774"/>
      <c r="ROY35" s="774"/>
      <c r="ROZ35" s="774"/>
      <c r="RPA35" s="774"/>
      <c r="RPB35" s="774"/>
      <c r="RPC35" s="774"/>
      <c r="RPD35" s="774"/>
      <c r="RPE35" s="774"/>
      <c r="RPF35" s="774"/>
      <c r="RPG35" s="774"/>
      <c r="RPH35" s="774"/>
      <c r="RPI35" s="774"/>
      <c r="RPJ35" s="774"/>
      <c r="RPK35" s="774"/>
      <c r="RPL35" s="774"/>
      <c r="RPM35" s="774"/>
      <c r="RPN35" s="774"/>
      <c r="RPO35" s="774"/>
      <c r="RPP35" s="774"/>
      <c r="RPQ35" s="774"/>
      <c r="RPR35" s="774"/>
      <c r="RPS35" s="774"/>
      <c r="RPT35" s="774"/>
      <c r="RPU35" s="774"/>
      <c r="RPV35" s="774"/>
      <c r="RPW35" s="774"/>
      <c r="RPX35" s="774"/>
      <c r="RPY35" s="774"/>
      <c r="RPZ35" s="774"/>
      <c r="RQA35" s="774"/>
      <c r="RQB35" s="774"/>
      <c r="RQC35" s="774"/>
      <c r="RQD35" s="774"/>
      <c r="RQE35" s="774"/>
      <c r="RQF35" s="774"/>
      <c r="RQG35" s="774"/>
      <c r="RQH35" s="774"/>
      <c r="RQI35" s="774"/>
      <c r="RQJ35" s="774"/>
      <c r="RQK35" s="774"/>
      <c r="RQL35" s="774"/>
      <c r="RQM35" s="774"/>
      <c r="RQN35" s="774"/>
      <c r="RQO35" s="774"/>
      <c r="RQP35" s="774"/>
      <c r="RQQ35" s="774"/>
      <c r="RQR35" s="774"/>
      <c r="RQS35" s="774"/>
      <c r="RQT35" s="774"/>
      <c r="RQU35" s="774"/>
      <c r="RQV35" s="774"/>
      <c r="RQW35" s="774"/>
      <c r="RQX35" s="774"/>
      <c r="RQY35" s="774"/>
      <c r="RQZ35" s="774"/>
      <c r="RRA35" s="774"/>
      <c r="RRB35" s="774"/>
      <c r="RRC35" s="774"/>
      <c r="RRD35" s="774"/>
      <c r="RRE35" s="774"/>
      <c r="RRF35" s="774"/>
      <c r="RRG35" s="774"/>
      <c r="RRH35" s="774"/>
      <c r="RRI35" s="774"/>
      <c r="RRJ35" s="774"/>
      <c r="RRK35" s="774"/>
      <c r="RRL35" s="774"/>
      <c r="RRM35" s="774"/>
      <c r="RRN35" s="774"/>
      <c r="RRO35" s="774"/>
      <c r="RRP35" s="774"/>
      <c r="RRQ35" s="774"/>
      <c r="RRR35" s="774"/>
      <c r="RRS35" s="774"/>
      <c r="RRT35" s="774"/>
      <c r="RRU35" s="774"/>
      <c r="RRV35" s="774"/>
      <c r="RRW35" s="774"/>
      <c r="RRX35" s="774"/>
      <c r="RRY35" s="774"/>
      <c r="RRZ35" s="774"/>
      <c r="RSA35" s="774"/>
      <c r="RSB35" s="774"/>
      <c r="RSC35" s="774"/>
      <c r="RSD35" s="774"/>
      <c r="RSE35" s="774"/>
      <c r="RSF35" s="774"/>
      <c r="RSG35" s="774"/>
      <c r="RSH35" s="774"/>
      <c r="RSI35" s="774"/>
      <c r="RSJ35" s="774"/>
      <c r="RSK35" s="774"/>
      <c r="RSL35" s="774"/>
      <c r="RSM35" s="774"/>
      <c r="RSN35" s="774"/>
      <c r="RSO35" s="774"/>
      <c r="RSP35" s="774"/>
      <c r="RSQ35" s="774"/>
      <c r="RSR35" s="774"/>
      <c r="RSS35" s="774"/>
      <c r="RST35" s="774"/>
      <c r="RSU35" s="774"/>
      <c r="RSV35" s="774"/>
      <c r="RSW35" s="774"/>
      <c r="RSX35" s="774"/>
      <c r="RSY35" s="774"/>
      <c r="RSZ35" s="774"/>
      <c r="RTA35" s="774"/>
      <c r="RTB35" s="774"/>
      <c r="RTC35" s="774"/>
      <c r="RTD35" s="774"/>
      <c r="RTE35" s="774"/>
      <c r="RTF35" s="774"/>
      <c r="RTG35" s="774"/>
      <c r="RTH35" s="774"/>
      <c r="RTI35" s="774"/>
      <c r="RTJ35" s="774"/>
      <c r="RTK35" s="774"/>
      <c r="RTL35" s="774"/>
      <c r="RTM35" s="774"/>
      <c r="RTN35" s="774"/>
      <c r="RTO35" s="774"/>
      <c r="RTP35" s="774"/>
      <c r="RTQ35" s="774"/>
      <c r="RTR35" s="774"/>
      <c r="RTS35" s="774"/>
      <c r="RTT35" s="774"/>
      <c r="RTU35" s="774"/>
      <c r="RTV35" s="774"/>
      <c r="RTW35" s="774"/>
      <c r="RTX35" s="774"/>
      <c r="RTY35" s="774"/>
      <c r="RTZ35" s="774"/>
      <c r="RUA35" s="774"/>
      <c r="RUB35" s="774"/>
      <c r="RUC35" s="774"/>
      <c r="RUD35" s="774"/>
      <c r="RUE35" s="774"/>
      <c r="RUF35" s="774"/>
      <c r="RUG35" s="774"/>
      <c r="RUH35" s="774"/>
      <c r="RUI35" s="774"/>
      <c r="RUJ35" s="774"/>
      <c r="RUK35" s="774"/>
      <c r="RUL35" s="774"/>
      <c r="RUM35" s="774"/>
      <c r="RUN35" s="774"/>
      <c r="RUO35" s="774"/>
      <c r="RUP35" s="774"/>
      <c r="RUQ35" s="774"/>
      <c r="RUR35" s="774"/>
      <c r="RUS35" s="774"/>
      <c r="RUT35" s="774"/>
      <c r="RUU35" s="774"/>
      <c r="RUV35" s="774"/>
      <c r="RUW35" s="774"/>
      <c r="RUX35" s="774"/>
      <c r="RUY35" s="774"/>
      <c r="RUZ35" s="774"/>
      <c r="RVA35" s="774"/>
      <c r="RVB35" s="774"/>
      <c r="RVC35" s="774"/>
      <c r="RVD35" s="774"/>
      <c r="RVE35" s="774"/>
      <c r="RVF35" s="774"/>
      <c r="RVG35" s="774"/>
      <c r="RVH35" s="774"/>
      <c r="RVI35" s="774"/>
      <c r="RVJ35" s="774"/>
      <c r="RVK35" s="774"/>
      <c r="RVL35" s="774"/>
      <c r="RVM35" s="774"/>
      <c r="RVN35" s="774"/>
      <c r="RVO35" s="774"/>
      <c r="RVP35" s="774"/>
      <c r="RVQ35" s="774"/>
      <c r="RVR35" s="774"/>
      <c r="RVS35" s="774"/>
      <c r="RVT35" s="774"/>
      <c r="RVU35" s="774"/>
      <c r="RVV35" s="774"/>
      <c r="RVW35" s="774"/>
      <c r="RVX35" s="774"/>
      <c r="RVY35" s="774"/>
      <c r="RVZ35" s="774"/>
      <c r="RWA35" s="774"/>
      <c r="RWB35" s="774"/>
      <c r="RWC35" s="774"/>
      <c r="RWD35" s="774"/>
      <c r="RWE35" s="774"/>
      <c r="RWF35" s="774"/>
      <c r="RWG35" s="774"/>
      <c r="RWH35" s="774"/>
      <c r="RWI35" s="774"/>
      <c r="RWJ35" s="774"/>
      <c r="RWK35" s="774"/>
      <c r="RWL35" s="774"/>
      <c r="RWM35" s="774"/>
      <c r="RWN35" s="774"/>
      <c r="RWO35" s="774"/>
      <c r="RWP35" s="774"/>
      <c r="RWQ35" s="774"/>
      <c r="RWR35" s="774"/>
      <c r="RWS35" s="774"/>
      <c r="RWT35" s="774"/>
      <c r="RWU35" s="774"/>
      <c r="RWV35" s="774"/>
      <c r="RWW35" s="774"/>
      <c r="RWX35" s="774"/>
      <c r="RWY35" s="774"/>
      <c r="RWZ35" s="774"/>
      <c r="RXA35" s="774"/>
      <c r="RXB35" s="774"/>
      <c r="RXC35" s="774"/>
      <c r="RXD35" s="774"/>
      <c r="RXE35" s="774"/>
      <c r="RXF35" s="774"/>
      <c r="RXG35" s="774"/>
      <c r="RXH35" s="774"/>
      <c r="RXI35" s="774"/>
      <c r="RXJ35" s="774"/>
      <c r="RXK35" s="774"/>
      <c r="RXL35" s="774"/>
      <c r="RXM35" s="774"/>
      <c r="RXN35" s="774"/>
      <c r="RXO35" s="774"/>
      <c r="RXP35" s="774"/>
      <c r="RXQ35" s="774"/>
      <c r="RXR35" s="774"/>
      <c r="RXS35" s="774"/>
      <c r="RXT35" s="774"/>
      <c r="RXU35" s="774"/>
      <c r="RXV35" s="774"/>
      <c r="RXW35" s="774"/>
      <c r="RXX35" s="774"/>
      <c r="RXY35" s="774"/>
      <c r="RXZ35" s="774"/>
      <c r="RYA35" s="774"/>
      <c r="RYB35" s="774"/>
      <c r="RYC35" s="774"/>
      <c r="RYD35" s="774"/>
      <c r="RYE35" s="774"/>
      <c r="RYF35" s="774"/>
      <c r="RYG35" s="774"/>
      <c r="RYH35" s="774"/>
      <c r="RYI35" s="774"/>
      <c r="RYJ35" s="774"/>
      <c r="RYK35" s="774"/>
      <c r="RYL35" s="774"/>
      <c r="RYM35" s="774"/>
      <c r="RYN35" s="774"/>
      <c r="RYO35" s="774"/>
      <c r="RYP35" s="774"/>
      <c r="RYQ35" s="774"/>
      <c r="RYR35" s="774"/>
      <c r="RYS35" s="774"/>
      <c r="RYT35" s="774"/>
      <c r="RYU35" s="774"/>
      <c r="RYV35" s="774"/>
      <c r="RYW35" s="774"/>
      <c r="RYX35" s="774"/>
      <c r="RYY35" s="774"/>
      <c r="RYZ35" s="774"/>
      <c r="RZA35" s="774"/>
      <c r="RZB35" s="774"/>
      <c r="RZC35" s="774"/>
      <c r="RZD35" s="774"/>
      <c r="RZE35" s="774"/>
      <c r="RZF35" s="774"/>
      <c r="RZG35" s="774"/>
      <c r="RZH35" s="774"/>
      <c r="RZI35" s="774"/>
      <c r="RZJ35" s="774"/>
      <c r="RZK35" s="774"/>
      <c r="RZL35" s="774"/>
      <c r="RZM35" s="774"/>
      <c r="RZN35" s="774"/>
      <c r="RZO35" s="774"/>
      <c r="RZP35" s="774"/>
      <c r="RZQ35" s="774"/>
      <c r="RZR35" s="774"/>
      <c r="RZS35" s="774"/>
      <c r="RZT35" s="774"/>
      <c r="RZU35" s="774"/>
      <c r="RZV35" s="774"/>
      <c r="RZW35" s="774"/>
      <c r="RZX35" s="774"/>
      <c r="RZY35" s="774"/>
      <c r="RZZ35" s="774"/>
      <c r="SAA35" s="774"/>
      <c r="SAB35" s="774"/>
      <c r="SAC35" s="774"/>
      <c r="SAD35" s="774"/>
      <c r="SAE35" s="774"/>
      <c r="SAF35" s="774"/>
      <c r="SAG35" s="774"/>
      <c r="SAH35" s="774"/>
      <c r="SAI35" s="774"/>
      <c r="SAJ35" s="774"/>
      <c r="SAK35" s="774"/>
      <c r="SAL35" s="774"/>
      <c r="SAM35" s="774"/>
      <c r="SAN35" s="774"/>
      <c r="SAO35" s="774"/>
      <c r="SAP35" s="774"/>
      <c r="SAQ35" s="774"/>
      <c r="SAR35" s="774"/>
      <c r="SAS35" s="774"/>
      <c r="SAT35" s="774"/>
      <c r="SAU35" s="774"/>
      <c r="SAV35" s="774"/>
      <c r="SAW35" s="774"/>
      <c r="SAX35" s="774"/>
      <c r="SAY35" s="774"/>
      <c r="SAZ35" s="774"/>
      <c r="SBA35" s="774"/>
      <c r="SBB35" s="774"/>
      <c r="SBC35" s="774"/>
      <c r="SBD35" s="774"/>
      <c r="SBE35" s="774"/>
      <c r="SBF35" s="774"/>
      <c r="SBG35" s="774"/>
      <c r="SBH35" s="774"/>
      <c r="SBI35" s="774"/>
      <c r="SBJ35" s="774"/>
      <c r="SBK35" s="774"/>
      <c r="SBL35" s="774"/>
      <c r="SBM35" s="774"/>
      <c r="SBN35" s="774"/>
      <c r="SBO35" s="774"/>
      <c r="SBP35" s="774"/>
      <c r="SBQ35" s="774"/>
      <c r="SBR35" s="774"/>
      <c r="SBS35" s="774"/>
      <c r="SBT35" s="774"/>
      <c r="SBU35" s="774"/>
      <c r="SBV35" s="774"/>
      <c r="SBW35" s="774"/>
      <c r="SBX35" s="774"/>
      <c r="SBY35" s="774"/>
      <c r="SBZ35" s="774"/>
      <c r="SCA35" s="774"/>
      <c r="SCB35" s="774"/>
      <c r="SCC35" s="774"/>
      <c r="SCD35" s="774"/>
      <c r="SCE35" s="774"/>
      <c r="SCF35" s="774"/>
      <c r="SCG35" s="774"/>
      <c r="SCH35" s="774"/>
      <c r="SCI35" s="774"/>
      <c r="SCJ35" s="774"/>
      <c r="SCK35" s="774"/>
      <c r="SCL35" s="774"/>
      <c r="SCM35" s="774"/>
      <c r="SCN35" s="774"/>
      <c r="SCO35" s="774"/>
      <c r="SCP35" s="774"/>
      <c r="SCQ35" s="774"/>
      <c r="SCR35" s="774"/>
      <c r="SCS35" s="774"/>
      <c r="SCT35" s="774"/>
      <c r="SCU35" s="774"/>
      <c r="SCV35" s="774"/>
      <c r="SCW35" s="774"/>
      <c r="SCX35" s="774"/>
      <c r="SCY35" s="774"/>
      <c r="SCZ35" s="774"/>
      <c r="SDA35" s="774"/>
      <c r="SDB35" s="774"/>
      <c r="SDC35" s="774"/>
      <c r="SDD35" s="774"/>
      <c r="SDE35" s="774"/>
      <c r="SDF35" s="774"/>
      <c r="SDG35" s="774"/>
      <c r="SDH35" s="774"/>
      <c r="SDI35" s="774"/>
      <c r="SDJ35" s="774"/>
      <c r="SDK35" s="774"/>
      <c r="SDL35" s="774"/>
      <c r="SDM35" s="774"/>
      <c r="SDN35" s="774"/>
      <c r="SDO35" s="774"/>
      <c r="SDP35" s="774"/>
      <c r="SDQ35" s="774"/>
      <c r="SDR35" s="774"/>
      <c r="SDS35" s="774"/>
      <c r="SDT35" s="774"/>
      <c r="SDU35" s="774"/>
      <c r="SDV35" s="774"/>
      <c r="SDW35" s="774"/>
      <c r="SDX35" s="774"/>
      <c r="SDY35" s="774"/>
      <c r="SDZ35" s="774"/>
      <c r="SEA35" s="774"/>
      <c r="SEB35" s="774"/>
      <c r="SEC35" s="774"/>
      <c r="SED35" s="774"/>
      <c r="SEE35" s="774"/>
      <c r="SEF35" s="774"/>
      <c r="SEG35" s="774"/>
      <c r="SEH35" s="774"/>
      <c r="SEI35" s="774"/>
      <c r="SEJ35" s="774"/>
      <c r="SEK35" s="774"/>
      <c r="SEL35" s="774"/>
      <c r="SEM35" s="774"/>
      <c r="SEN35" s="774"/>
      <c r="SEO35" s="774"/>
      <c r="SEP35" s="774"/>
      <c r="SEQ35" s="774"/>
      <c r="SER35" s="774"/>
      <c r="SES35" s="774"/>
      <c r="SET35" s="774"/>
      <c r="SEU35" s="774"/>
      <c r="SEV35" s="774"/>
      <c r="SEW35" s="774"/>
      <c r="SEX35" s="774"/>
      <c r="SEY35" s="774"/>
      <c r="SEZ35" s="774"/>
      <c r="SFA35" s="774"/>
      <c r="SFB35" s="774"/>
      <c r="SFC35" s="774"/>
      <c r="SFD35" s="774"/>
      <c r="SFE35" s="774"/>
      <c r="SFF35" s="774"/>
      <c r="SFG35" s="774"/>
      <c r="SFH35" s="774"/>
      <c r="SFI35" s="774"/>
      <c r="SFJ35" s="774"/>
      <c r="SFK35" s="774"/>
      <c r="SFL35" s="774"/>
      <c r="SFM35" s="774"/>
      <c r="SFN35" s="774"/>
      <c r="SFO35" s="774"/>
      <c r="SFP35" s="774"/>
      <c r="SFQ35" s="774"/>
      <c r="SFR35" s="774"/>
      <c r="SFS35" s="774"/>
      <c r="SFT35" s="774"/>
      <c r="SFU35" s="774"/>
      <c r="SFV35" s="774"/>
      <c r="SFW35" s="774"/>
      <c r="SFX35" s="774"/>
      <c r="SFY35" s="774"/>
      <c r="SFZ35" s="774"/>
      <c r="SGA35" s="774"/>
      <c r="SGB35" s="774"/>
      <c r="SGC35" s="774"/>
      <c r="SGD35" s="774"/>
      <c r="SGE35" s="774"/>
      <c r="SGF35" s="774"/>
      <c r="SGG35" s="774"/>
      <c r="SGH35" s="774"/>
      <c r="SGI35" s="774"/>
      <c r="SGJ35" s="774"/>
      <c r="SGK35" s="774"/>
      <c r="SGL35" s="774"/>
      <c r="SGM35" s="774"/>
      <c r="SGN35" s="774"/>
      <c r="SGO35" s="774"/>
      <c r="SGP35" s="774"/>
      <c r="SGQ35" s="774"/>
      <c r="SGR35" s="774"/>
      <c r="SGS35" s="774"/>
      <c r="SGT35" s="774"/>
      <c r="SGU35" s="774"/>
      <c r="SGV35" s="774"/>
      <c r="SGW35" s="774"/>
      <c r="SGX35" s="774"/>
      <c r="SGY35" s="774"/>
      <c r="SGZ35" s="774"/>
      <c r="SHA35" s="774"/>
      <c r="SHB35" s="774"/>
      <c r="SHC35" s="774"/>
      <c r="SHD35" s="774"/>
      <c r="SHE35" s="774"/>
      <c r="SHF35" s="774"/>
      <c r="SHG35" s="774"/>
      <c r="SHH35" s="774"/>
      <c r="SHI35" s="774"/>
      <c r="SHJ35" s="774"/>
      <c r="SHK35" s="774"/>
      <c r="SHL35" s="774"/>
      <c r="SHM35" s="774"/>
      <c r="SHN35" s="774"/>
      <c r="SHO35" s="774"/>
      <c r="SHP35" s="774"/>
      <c r="SHQ35" s="774"/>
      <c r="SHR35" s="774"/>
      <c r="SHS35" s="774"/>
      <c r="SHT35" s="774"/>
      <c r="SHU35" s="774"/>
      <c r="SHV35" s="774"/>
      <c r="SHW35" s="774"/>
      <c r="SHX35" s="774"/>
      <c r="SHY35" s="774"/>
      <c r="SHZ35" s="774"/>
      <c r="SIA35" s="774"/>
      <c r="SIB35" s="774"/>
      <c r="SIC35" s="774"/>
      <c r="SID35" s="774"/>
      <c r="SIE35" s="774"/>
      <c r="SIF35" s="774"/>
      <c r="SIG35" s="774"/>
      <c r="SIH35" s="774"/>
      <c r="SII35" s="774"/>
      <c r="SIJ35" s="774"/>
      <c r="SIK35" s="774"/>
      <c r="SIL35" s="774"/>
      <c r="SIM35" s="774"/>
      <c r="SIN35" s="774"/>
      <c r="SIO35" s="774"/>
      <c r="SIP35" s="774"/>
      <c r="SIQ35" s="774"/>
      <c r="SIR35" s="774"/>
      <c r="SIS35" s="774"/>
      <c r="SIT35" s="774"/>
      <c r="SIU35" s="774"/>
      <c r="SIV35" s="774"/>
      <c r="SIW35" s="774"/>
      <c r="SIX35" s="774"/>
      <c r="SIY35" s="774"/>
      <c r="SIZ35" s="774"/>
      <c r="SJA35" s="774"/>
      <c r="SJB35" s="774"/>
      <c r="SJC35" s="774"/>
      <c r="SJD35" s="774"/>
      <c r="SJE35" s="774"/>
      <c r="SJF35" s="774"/>
      <c r="SJG35" s="774"/>
      <c r="SJH35" s="774"/>
      <c r="SJI35" s="774"/>
      <c r="SJJ35" s="774"/>
      <c r="SJK35" s="774"/>
      <c r="SJL35" s="774"/>
      <c r="SJM35" s="774"/>
      <c r="SJN35" s="774"/>
      <c r="SJO35" s="774"/>
      <c r="SJP35" s="774"/>
      <c r="SJQ35" s="774"/>
      <c r="SJR35" s="774"/>
      <c r="SJS35" s="774"/>
      <c r="SJT35" s="774"/>
      <c r="SJU35" s="774"/>
      <c r="SJV35" s="774"/>
      <c r="SJW35" s="774"/>
      <c r="SJX35" s="774"/>
      <c r="SJY35" s="774"/>
      <c r="SJZ35" s="774"/>
      <c r="SKA35" s="774"/>
      <c r="SKB35" s="774"/>
      <c r="SKC35" s="774"/>
      <c r="SKD35" s="774"/>
      <c r="SKE35" s="774"/>
      <c r="SKF35" s="774"/>
      <c r="SKG35" s="774"/>
      <c r="SKH35" s="774"/>
      <c r="SKI35" s="774"/>
      <c r="SKJ35" s="774"/>
      <c r="SKK35" s="774"/>
      <c r="SKL35" s="774"/>
      <c r="SKM35" s="774"/>
      <c r="SKN35" s="774"/>
      <c r="SKO35" s="774"/>
      <c r="SKP35" s="774"/>
      <c r="SKQ35" s="774"/>
      <c r="SKR35" s="774"/>
      <c r="SKS35" s="774"/>
      <c r="SKT35" s="774"/>
      <c r="SKU35" s="774"/>
      <c r="SKV35" s="774"/>
      <c r="SKW35" s="774"/>
      <c r="SKX35" s="774"/>
      <c r="SKY35" s="774"/>
      <c r="SKZ35" s="774"/>
      <c r="SLA35" s="774"/>
      <c r="SLB35" s="774"/>
      <c r="SLC35" s="774"/>
      <c r="SLD35" s="774"/>
      <c r="SLE35" s="774"/>
      <c r="SLF35" s="774"/>
      <c r="SLG35" s="774"/>
      <c r="SLH35" s="774"/>
      <c r="SLI35" s="774"/>
      <c r="SLJ35" s="774"/>
      <c r="SLK35" s="774"/>
      <c r="SLL35" s="774"/>
      <c r="SLM35" s="774"/>
      <c r="SLN35" s="774"/>
      <c r="SLO35" s="774"/>
      <c r="SLP35" s="774"/>
      <c r="SLQ35" s="774"/>
      <c r="SLR35" s="774"/>
      <c r="SLS35" s="774"/>
      <c r="SLT35" s="774"/>
      <c r="SLU35" s="774"/>
      <c r="SLV35" s="774"/>
      <c r="SLW35" s="774"/>
      <c r="SLX35" s="774"/>
      <c r="SLY35" s="774"/>
      <c r="SLZ35" s="774"/>
      <c r="SMA35" s="774"/>
      <c r="SMB35" s="774"/>
      <c r="SMC35" s="774"/>
      <c r="SMD35" s="774"/>
      <c r="SME35" s="774"/>
      <c r="SMF35" s="774"/>
      <c r="SMG35" s="774"/>
      <c r="SMH35" s="774"/>
      <c r="SMI35" s="774"/>
      <c r="SMJ35" s="774"/>
      <c r="SMK35" s="774"/>
      <c r="SML35" s="774"/>
      <c r="SMM35" s="774"/>
      <c r="SMN35" s="774"/>
      <c r="SMO35" s="774"/>
      <c r="SMP35" s="774"/>
      <c r="SMQ35" s="774"/>
      <c r="SMR35" s="774"/>
      <c r="SMS35" s="774"/>
      <c r="SMT35" s="774"/>
      <c r="SMU35" s="774"/>
      <c r="SMV35" s="774"/>
      <c r="SMW35" s="774"/>
      <c r="SMX35" s="774"/>
      <c r="SMY35" s="774"/>
      <c r="SMZ35" s="774"/>
      <c r="SNA35" s="774"/>
      <c r="SNB35" s="774"/>
      <c r="SNC35" s="774"/>
      <c r="SND35" s="774"/>
      <c r="SNE35" s="774"/>
      <c r="SNF35" s="774"/>
      <c r="SNG35" s="774"/>
      <c r="SNH35" s="774"/>
      <c r="SNI35" s="774"/>
      <c r="SNJ35" s="774"/>
      <c r="SNK35" s="774"/>
      <c r="SNL35" s="774"/>
      <c r="SNM35" s="774"/>
      <c r="SNN35" s="774"/>
      <c r="SNO35" s="774"/>
      <c r="SNP35" s="774"/>
      <c r="SNQ35" s="774"/>
      <c r="SNR35" s="774"/>
      <c r="SNS35" s="774"/>
      <c r="SNT35" s="774"/>
      <c r="SNU35" s="774"/>
      <c r="SNV35" s="774"/>
      <c r="SNW35" s="774"/>
      <c r="SNX35" s="774"/>
      <c r="SNY35" s="774"/>
      <c r="SNZ35" s="774"/>
      <c r="SOA35" s="774"/>
      <c r="SOB35" s="774"/>
      <c r="SOC35" s="774"/>
      <c r="SOD35" s="774"/>
      <c r="SOE35" s="774"/>
      <c r="SOF35" s="774"/>
      <c r="SOG35" s="774"/>
      <c r="SOH35" s="774"/>
      <c r="SOI35" s="774"/>
      <c r="SOJ35" s="774"/>
      <c r="SOK35" s="774"/>
      <c r="SOL35" s="774"/>
      <c r="SOM35" s="774"/>
      <c r="SON35" s="774"/>
      <c r="SOO35" s="774"/>
      <c r="SOP35" s="774"/>
      <c r="SOQ35" s="774"/>
      <c r="SOR35" s="774"/>
      <c r="SOS35" s="774"/>
      <c r="SOT35" s="774"/>
      <c r="SOU35" s="774"/>
      <c r="SOV35" s="774"/>
      <c r="SOW35" s="774"/>
      <c r="SOX35" s="774"/>
      <c r="SOY35" s="774"/>
      <c r="SOZ35" s="774"/>
      <c r="SPA35" s="774"/>
      <c r="SPB35" s="774"/>
      <c r="SPC35" s="774"/>
      <c r="SPD35" s="774"/>
      <c r="SPE35" s="774"/>
      <c r="SPF35" s="774"/>
      <c r="SPG35" s="774"/>
      <c r="SPH35" s="774"/>
      <c r="SPI35" s="774"/>
      <c r="SPJ35" s="774"/>
      <c r="SPK35" s="774"/>
      <c r="SPL35" s="774"/>
      <c r="SPM35" s="774"/>
      <c r="SPN35" s="774"/>
      <c r="SPO35" s="774"/>
      <c r="SPP35" s="774"/>
      <c r="SPQ35" s="774"/>
      <c r="SPR35" s="774"/>
      <c r="SPS35" s="774"/>
      <c r="SPT35" s="774"/>
      <c r="SPU35" s="774"/>
      <c r="SPV35" s="774"/>
      <c r="SPW35" s="774"/>
      <c r="SPX35" s="774"/>
      <c r="SPY35" s="774"/>
      <c r="SPZ35" s="774"/>
      <c r="SQA35" s="774"/>
      <c r="SQB35" s="774"/>
      <c r="SQC35" s="774"/>
      <c r="SQD35" s="774"/>
      <c r="SQE35" s="774"/>
      <c r="SQF35" s="774"/>
      <c r="SQG35" s="774"/>
      <c r="SQH35" s="774"/>
      <c r="SQI35" s="774"/>
      <c r="SQJ35" s="774"/>
      <c r="SQK35" s="774"/>
      <c r="SQL35" s="774"/>
      <c r="SQM35" s="774"/>
      <c r="SQN35" s="774"/>
      <c r="SQO35" s="774"/>
      <c r="SQP35" s="774"/>
      <c r="SQQ35" s="774"/>
      <c r="SQR35" s="774"/>
      <c r="SQS35" s="774"/>
      <c r="SQT35" s="774"/>
      <c r="SQU35" s="774"/>
      <c r="SQV35" s="774"/>
      <c r="SQW35" s="774"/>
      <c r="SQX35" s="774"/>
      <c r="SQY35" s="774"/>
      <c r="SQZ35" s="774"/>
      <c r="SRA35" s="774"/>
      <c r="SRB35" s="774"/>
      <c r="SRC35" s="774"/>
      <c r="SRD35" s="774"/>
      <c r="SRE35" s="774"/>
      <c r="SRF35" s="774"/>
      <c r="SRG35" s="774"/>
      <c r="SRH35" s="774"/>
      <c r="SRI35" s="774"/>
      <c r="SRJ35" s="774"/>
      <c r="SRK35" s="774"/>
      <c r="SRL35" s="774"/>
      <c r="SRM35" s="774"/>
      <c r="SRN35" s="774"/>
      <c r="SRO35" s="774"/>
      <c r="SRP35" s="774"/>
      <c r="SRQ35" s="774"/>
      <c r="SRR35" s="774"/>
      <c r="SRS35" s="774"/>
      <c r="SRT35" s="774"/>
      <c r="SRU35" s="774"/>
      <c r="SRV35" s="774"/>
      <c r="SRW35" s="774"/>
      <c r="SRX35" s="774"/>
      <c r="SRY35" s="774"/>
      <c r="SRZ35" s="774"/>
      <c r="SSA35" s="774"/>
      <c r="SSB35" s="774"/>
      <c r="SSC35" s="774"/>
      <c r="SSD35" s="774"/>
      <c r="SSE35" s="774"/>
      <c r="SSF35" s="774"/>
      <c r="SSG35" s="774"/>
      <c r="SSH35" s="774"/>
      <c r="SSI35" s="774"/>
      <c r="SSJ35" s="774"/>
      <c r="SSK35" s="774"/>
      <c r="SSL35" s="774"/>
      <c r="SSM35" s="774"/>
      <c r="SSN35" s="774"/>
      <c r="SSO35" s="774"/>
      <c r="SSP35" s="774"/>
      <c r="SSQ35" s="774"/>
      <c r="SSR35" s="774"/>
      <c r="SSS35" s="774"/>
      <c r="SST35" s="774"/>
      <c r="SSU35" s="774"/>
      <c r="SSV35" s="774"/>
      <c r="SSW35" s="774"/>
      <c r="SSX35" s="774"/>
      <c r="SSY35" s="774"/>
      <c r="SSZ35" s="774"/>
      <c r="STA35" s="774"/>
      <c r="STB35" s="774"/>
      <c r="STC35" s="774"/>
      <c r="STD35" s="774"/>
      <c r="STE35" s="774"/>
      <c r="STF35" s="774"/>
      <c r="STG35" s="774"/>
      <c r="STH35" s="774"/>
      <c r="STI35" s="774"/>
      <c r="STJ35" s="774"/>
      <c r="STK35" s="774"/>
      <c r="STL35" s="774"/>
      <c r="STM35" s="774"/>
      <c r="STN35" s="774"/>
      <c r="STO35" s="774"/>
      <c r="STP35" s="774"/>
      <c r="STQ35" s="774"/>
      <c r="STR35" s="774"/>
      <c r="STS35" s="774"/>
      <c r="STT35" s="774"/>
      <c r="STU35" s="774"/>
      <c r="STV35" s="774"/>
      <c r="STW35" s="774"/>
      <c r="STX35" s="774"/>
      <c r="STY35" s="774"/>
      <c r="STZ35" s="774"/>
      <c r="SUA35" s="774"/>
      <c r="SUB35" s="774"/>
      <c r="SUC35" s="774"/>
      <c r="SUD35" s="774"/>
      <c r="SUE35" s="774"/>
      <c r="SUF35" s="774"/>
      <c r="SUG35" s="774"/>
      <c r="SUH35" s="774"/>
      <c r="SUI35" s="774"/>
      <c r="SUJ35" s="774"/>
      <c r="SUK35" s="774"/>
      <c r="SUL35" s="774"/>
      <c r="SUM35" s="774"/>
      <c r="SUN35" s="774"/>
      <c r="SUO35" s="774"/>
      <c r="SUP35" s="774"/>
      <c r="SUQ35" s="774"/>
      <c r="SUR35" s="774"/>
      <c r="SUS35" s="774"/>
      <c r="SUT35" s="774"/>
      <c r="SUU35" s="774"/>
      <c r="SUV35" s="774"/>
      <c r="SUW35" s="774"/>
      <c r="SUX35" s="774"/>
      <c r="SUY35" s="774"/>
      <c r="SUZ35" s="774"/>
      <c r="SVA35" s="774"/>
      <c r="SVB35" s="774"/>
      <c r="SVC35" s="774"/>
      <c r="SVD35" s="774"/>
      <c r="SVE35" s="774"/>
      <c r="SVF35" s="774"/>
      <c r="SVG35" s="774"/>
      <c r="SVH35" s="774"/>
      <c r="SVI35" s="774"/>
      <c r="SVJ35" s="774"/>
      <c r="SVK35" s="774"/>
      <c r="SVL35" s="774"/>
      <c r="SVM35" s="774"/>
      <c r="SVN35" s="774"/>
      <c r="SVO35" s="774"/>
      <c r="SVP35" s="774"/>
      <c r="SVQ35" s="774"/>
      <c r="SVR35" s="774"/>
      <c r="SVS35" s="774"/>
      <c r="SVT35" s="774"/>
      <c r="SVU35" s="774"/>
      <c r="SVV35" s="774"/>
      <c r="SVW35" s="774"/>
      <c r="SVX35" s="774"/>
      <c r="SVY35" s="774"/>
      <c r="SVZ35" s="774"/>
      <c r="SWA35" s="774"/>
      <c r="SWB35" s="774"/>
      <c r="SWC35" s="774"/>
      <c r="SWD35" s="774"/>
      <c r="SWE35" s="774"/>
      <c r="SWF35" s="774"/>
      <c r="SWG35" s="774"/>
      <c r="SWH35" s="774"/>
      <c r="SWI35" s="774"/>
      <c r="SWJ35" s="774"/>
      <c r="SWK35" s="774"/>
      <c r="SWL35" s="774"/>
      <c r="SWM35" s="774"/>
      <c r="SWN35" s="774"/>
      <c r="SWO35" s="774"/>
      <c r="SWP35" s="774"/>
      <c r="SWQ35" s="774"/>
      <c r="SWR35" s="774"/>
      <c r="SWS35" s="774"/>
      <c r="SWT35" s="774"/>
      <c r="SWU35" s="774"/>
      <c r="SWV35" s="774"/>
      <c r="SWW35" s="774"/>
      <c r="SWX35" s="774"/>
      <c r="SWY35" s="774"/>
      <c r="SWZ35" s="774"/>
      <c r="SXA35" s="774"/>
      <c r="SXB35" s="774"/>
      <c r="SXC35" s="774"/>
      <c r="SXD35" s="774"/>
      <c r="SXE35" s="774"/>
      <c r="SXF35" s="774"/>
      <c r="SXG35" s="774"/>
      <c r="SXH35" s="774"/>
      <c r="SXI35" s="774"/>
      <c r="SXJ35" s="774"/>
      <c r="SXK35" s="774"/>
      <c r="SXL35" s="774"/>
      <c r="SXM35" s="774"/>
      <c r="SXN35" s="774"/>
      <c r="SXO35" s="774"/>
      <c r="SXP35" s="774"/>
      <c r="SXQ35" s="774"/>
      <c r="SXR35" s="774"/>
      <c r="SXS35" s="774"/>
      <c r="SXT35" s="774"/>
      <c r="SXU35" s="774"/>
      <c r="SXV35" s="774"/>
      <c r="SXW35" s="774"/>
      <c r="SXX35" s="774"/>
      <c r="SXY35" s="774"/>
      <c r="SXZ35" s="774"/>
      <c r="SYA35" s="774"/>
      <c r="SYB35" s="774"/>
      <c r="SYC35" s="774"/>
      <c r="SYD35" s="774"/>
      <c r="SYE35" s="774"/>
      <c r="SYF35" s="774"/>
      <c r="SYG35" s="774"/>
      <c r="SYH35" s="774"/>
      <c r="SYI35" s="774"/>
      <c r="SYJ35" s="774"/>
      <c r="SYK35" s="774"/>
      <c r="SYL35" s="774"/>
      <c r="SYM35" s="774"/>
      <c r="SYN35" s="774"/>
      <c r="SYO35" s="774"/>
      <c r="SYP35" s="774"/>
      <c r="SYQ35" s="774"/>
      <c r="SYR35" s="774"/>
      <c r="SYS35" s="774"/>
      <c r="SYT35" s="774"/>
      <c r="SYU35" s="774"/>
      <c r="SYV35" s="774"/>
      <c r="SYW35" s="774"/>
      <c r="SYX35" s="774"/>
      <c r="SYY35" s="774"/>
      <c r="SYZ35" s="774"/>
      <c r="SZA35" s="774"/>
      <c r="SZB35" s="774"/>
      <c r="SZC35" s="774"/>
      <c r="SZD35" s="774"/>
      <c r="SZE35" s="774"/>
      <c r="SZF35" s="774"/>
      <c r="SZG35" s="774"/>
      <c r="SZH35" s="774"/>
      <c r="SZI35" s="774"/>
      <c r="SZJ35" s="774"/>
      <c r="SZK35" s="774"/>
      <c r="SZL35" s="774"/>
      <c r="SZM35" s="774"/>
      <c r="SZN35" s="774"/>
      <c r="SZO35" s="774"/>
      <c r="SZP35" s="774"/>
      <c r="SZQ35" s="774"/>
      <c r="SZR35" s="774"/>
      <c r="SZS35" s="774"/>
      <c r="SZT35" s="774"/>
      <c r="SZU35" s="774"/>
      <c r="SZV35" s="774"/>
      <c r="SZW35" s="774"/>
      <c r="SZX35" s="774"/>
      <c r="SZY35" s="774"/>
      <c r="SZZ35" s="774"/>
      <c r="TAA35" s="774"/>
      <c r="TAB35" s="774"/>
      <c r="TAC35" s="774"/>
      <c r="TAD35" s="774"/>
      <c r="TAE35" s="774"/>
      <c r="TAF35" s="774"/>
      <c r="TAG35" s="774"/>
      <c r="TAH35" s="774"/>
      <c r="TAI35" s="774"/>
      <c r="TAJ35" s="774"/>
      <c r="TAK35" s="774"/>
      <c r="TAL35" s="774"/>
      <c r="TAM35" s="774"/>
      <c r="TAN35" s="774"/>
      <c r="TAO35" s="774"/>
      <c r="TAP35" s="774"/>
      <c r="TAQ35" s="774"/>
      <c r="TAR35" s="774"/>
      <c r="TAS35" s="774"/>
      <c r="TAT35" s="774"/>
      <c r="TAU35" s="774"/>
      <c r="TAV35" s="774"/>
      <c r="TAW35" s="774"/>
      <c r="TAX35" s="774"/>
      <c r="TAY35" s="774"/>
      <c r="TAZ35" s="774"/>
      <c r="TBA35" s="774"/>
      <c r="TBB35" s="774"/>
      <c r="TBC35" s="774"/>
      <c r="TBD35" s="774"/>
      <c r="TBE35" s="774"/>
      <c r="TBF35" s="774"/>
      <c r="TBG35" s="774"/>
      <c r="TBH35" s="774"/>
      <c r="TBI35" s="774"/>
      <c r="TBJ35" s="774"/>
      <c r="TBK35" s="774"/>
      <c r="TBL35" s="774"/>
      <c r="TBM35" s="774"/>
      <c r="TBN35" s="774"/>
      <c r="TBO35" s="774"/>
      <c r="TBP35" s="774"/>
      <c r="TBQ35" s="774"/>
      <c r="TBR35" s="774"/>
      <c r="TBS35" s="774"/>
      <c r="TBT35" s="774"/>
      <c r="TBU35" s="774"/>
      <c r="TBV35" s="774"/>
      <c r="TBW35" s="774"/>
      <c r="TBX35" s="774"/>
      <c r="TBY35" s="774"/>
      <c r="TBZ35" s="774"/>
      <c r="TCA35" s="774"/>
      <c r="TCB35" s="774"/>
      <c r="TCC35" s="774"/>
      <c r="TCD35" s="774"/>
      <c r="TCE35" s="774"/>
      <c r="TCF35" s="774"/>
      <c r="TCG35" s="774"/>
      <c r="TCH35" s="774"/>
      <c r="TCI35" s="774"/>
      <c r="TCJ35" s="774"/>
      <c r="TCK35" s="774"/>
      <c r="TCL35" s="774"/>
      <c r="TCM35" s="774"/>
      <c r="TCN35" s="774"/>
      <c r="TCO35" s="774"/>
      <c r="TCP35" s="774"/>
      <c r="TCQ35" s="774"/>
      <c r="TCR35" s="774"/>
      <c r="TCS35" s="774"/>
      <c r="TCT35" s="774"/>
      <c r="TCU35" s="774"/>
      <c r="TCV35" s="774"/>
      <c r="TCW35" s="774"/>
      <c r="TCX35" s="774"/>
      <c r="TCY35" s="774"/>
      <c r="TCZ35" s="774"/>
      <c r="TDA35" s="774"/>
      <c r="TDB35" s="774"/>
      <c r="TDC35" s="774"/>
      <c r="TDD35" s="774"/>
      <c r="TDE35" s="774"/>
      <c r="TDF35" s="774"/>
      <c r="TDG35" s="774"/>
      <c r="TDH35" s="774"/>
      <c r="TDI35" s="774"/>
      <c r="TDJ35" s="774"/>
      <c r="TDK35" s="774"/>
      <c r="TDL35" s="774"/>
      <c r="TDM35" s="774"/>
      <c r="TDN35" s="774"/>
      <c r="TDO35" s="774"/>
      <c r="TDP35" s="774"/>
      <c r="TDQ35" s="774"/>
      <c r="TDR35" s="774"/>
      <c r="TDS35" s="774"/>
      <c r="TDT35" s="774"/>
      <c r="TDU35" s="774"/>
      <c r="TDV35" s="774"/>
      <c r="TDW35" s="774"/>
      <c r="TDX35" s="774"/>
      <c r="TDY35" s="774"/>
      <c r="TDZ35" s="774"/>
      <c r="TEA35" s="774"/>
      <c r="TEB35" s="774"/>
      <c r="TEC35" s="774"/>
      <c r="TED35" s="774"/>
      <c r="TEE35" s="774"/>
      <c r="TEF35" s="774"/>
      <c r="TEG35" s="774"/>
      <c r="TEH35" s="774"/>
      <c r="TEI35" s="774"/>
      <c r="TEJ35" s="774"/>
      <c r="TEK35" s="774"/>
      <c r="TEL35" s="774"/>
      <c r="TEM35" s="774"/>
      <c r="TEN35" s="774"/>
      <c r="TEO35" s="774"/>
      <c r="TEP35" s="774"/>
      <c r="TEQ35" s="774"/>
      <c r="TER35" s="774"/>
      <c r="TES35" s="774"/>
      <c r="TET35" s="774"/>
      <c r="TEU35" s="774"/>
      <c r="TEV35" s="774"/>
      <c r="TEW35" s="774"/>
      <c r="TEX35" s="774"/>
      <c r="TEY35" s="774"/>
      <c r="TEZ35" s="774"/>
      <c r="TFA35" s="774"/>
      <c r="TFB35" s="774"/>
      <c r="TFC35" s="774"/>
      <c r="TFD35" s="774"/>
      <c r="TFE35" s="774"/>
      <c r="TFF35" s="774"/>
      <c r="TFG35" s="774"/>
      <c r="TFH35" s="774"/>
      <c r="TFI35" s="774"/>
      <c r="TFJ35" s="774"/>
      <c r="TFK35" s="774"/>
      <c r="TFL35" s="774"/>
      <c r="TFM35" s="774"/>
      <c r="TFN35" s="774"/>
      <c r="TFO35" s="774"/>
      <c r="TFP35" s="774"/>
      <c r="TFQ35" s="774"/>
      <c r="TFR35" s="774"/>
      <c r="TFS35" s="774"/>
      <c r="TFT35" s="774"/>
      <c r="TFU35" s="774"/>
      <c r="TFV35" s="774"/>
      <c r="TFW35" s="774"/>
      <c r="TFX35" s="774"/>
      <c r="TFY35" s="774"/>
      <c r="TFZ35" s="774"/>
      <c r="TGA35" s="774"/>
      <c r="TGB35" s="774"/>
      <c r="TGC35" s="774"/>
      <c r="TGD35" s="774"/>
      <c r="TGE35" s="774"/>
      <c r="TGF35" s="774"/>
      <c r="TGG35" s="774"/>
      <c r="TGH35" s="774"/>
      <c r="TGI35" s="774"/>
      <c r="TGJ35" s="774"/>
      <c r="TGK35" s="774"/>
      <c r="TGL35" s="774"/>
      <c r="TGM35" s="774"/>
      <c r="TGN35" s="774"/>
      <c r="TGO35" s="774"/>
      <c r="TGP35" s="774"/>
      <c r="TGQ35" s="774"/>
      <c r="TGR35" s="774"/>
      <c r="TGS35" s="774"/>
      <c r="TGT35" s="774"/>
      <c r="TGU35" s="774"/>
      <c r="TGV35" s="774"/>
      <c r="TGW35" s="774"/>
      <c r="TGX35" s="774"/>
      <c r="TGY35" s="774"/>
      <c r="TGZ35" s="774"/>
      <c r="THA35" s="774"/>
      <c r="THB35" s="774"/>
      <c r="THC35" s="774"/>
      <c r="THD35" s="774"/>
      <c r="THE35" s="774"/>
      <c r="THF35" s="774"/>
      <c r="THG35" s="774"/>
      <c r="THH35" s="774"/>
      <c r="THI35" s="774"/>
      <c r="THJ35" s="774"/>
      <c r="THK35" s="774"/>
      <c r="THL35" s="774"/>
      <c r="THM35" s="774"/>
      <c r="THN35" s="774"/>
      <c r="THO35" s="774"/>
      <c r="THP35" s="774"/>
      <c r="THQ35" s="774"/>
      <c r="THR35" s="774"/>
      <c r="THS35" s="774"/>
      <c r="THT35" s="774"/>
      <c r="THU35" s="774"/>
      <c r="THV35" s="774"/>
      <c r="THW35" s="774"/>
      <c r="THX35" s="774"/>
      <c r="THY35" s="774"/>
      <c r="THZ35" s="774"/>
      <c r="TIA35" s="774"/>
      <c r="TIB35" s="774"/>
      <c r="TIC35" s="774"/>
      <c r="TID35" s="774"/>
      <c r="TIE35" s="774"/>
      <c r="TIF35" s="774"/>
      <c r="TIG35" s="774"/>
      <c r="TIH35" s="774"/>
      <c r="TII35" s="774"/>
      <c r="TIJ35" s="774"/>
      <c r="TIK35" s="774"/>
      <c r="TIL35" s="774"/>
      <c r="TIM35" s="774"/>
      <c r="TIN35" s="774"/>
      <c r="TIO35" s="774"/>
      <c r="TIP35" s="774"/>
      <c r="TIQ35" s="774"/>
      <c r="TIR35" s="774"/>
      <c r="TIS35" s="774"/>
      <c r="TIT35" s="774"/>
      <c r="TIU35" s="774"/>
      <c r="TIV35" s="774"/>
      <c r="TIW35" s="774"/>
      <c r="TIX35" s="774"/>
      <c r="TIY35" s="774"/>
      <c r="TIZ35" s="774"/>
      <c r="TJA35" s="774"/>
      <c r="TJB35" s="774"/>
      <c r="TJC35" s="774"/>
      <c r="TJD35" s="774"/>
      <c r="TJE35" s="774"/>
      <c r="TJF35" s="774"/>
      <c r="TJG35" s="774"/>
      <c r="TJH35" s="774"/>
      <c r="TJI35" s="774"/>
      <c r="TJJ35" s="774"/>
      <c r="TJK35" s="774"/>
      <c r="TJL35" s="774"/>
      <c r="TJM35" s="774"/>
      <c r="TJN35" s="774"/>
      <c r="TJO35" s="774"/>
      <c r="TJP35" s="774"/>
      <c r="TJQ35" s="774"/>
      <c r="TJR35" s="774"/>
      <c r="TJS35" s="774"/>
      <c r="TJT35" s="774"/>
      <c r="TJU35" s="774"/>
      <c r="TJV35" s="774"/>
      <c r="TJW35" s="774"/>
      <c r="TJX35" s="774"/>
      <c r="TJY35" s="774"/>
      <c r="TJZ35" s="774"/>
      <c r="TKA35" s="774"/>
      <c r="TKB35" s="774"/>
      <c r="TKC35" s="774"/>
      <c r="TKD35" s="774"/>
      <c r="TKE35" s="774"/>
      <c r="TKF35" s="774"/>
      <c r="TKG35" s="774"/>
      <c r="TKH35" s="774"/>
      <c r="TKI35" s="774"/>
      <c r="TKJ35" s="774"/>
      <c r="TKK35" s="774"/>
      <c r="TKL35" s="774"/>
      <c r="TKM35" s="774"/>
      <c r="TKN35" s="774"/>
      <c r="TKO35" s="774"/>
      <c r="TKP35" s="774"/>
      <c r="TKQ35" s="774"/>
      <c r="TKR35" s="774"/>
      <c r="TKS35" s="774"/>
      <c r="TKT35" s="774"/>
      <c r="TKU35" s="774"/>
      <c r="TKV35" s="774"/>
      <c r="TKW35" s="774"/>
      <c r="TKX35" s="774"/>
      <c r="TKY35" s="774"/>
      <c r="TKZ35" s="774"/>
      <c r="TLA35" s="774"/>
      <c r="TLB35" s="774"/>
      <c r="TLC35" s="774"/>
      <c r="TLD35" s="774"/>
      <c r="TLE35" s="774"/>
      <c r="TLF35" s="774"/>
      <c r="TLG35" s="774"/>
      <c r="TLH35" s="774"/>
      <c r="TLI35" s="774"/>
      <c r="TLJ35" s="774"/>
      <c r="TLK35" s="774"/>
      <c r="TLL35" s="774"/>
      <c r="TLM35" s="774"/>
      <c r="TLN35" s="774"/>
      <c r="TLO35" s="774"/>
      <c r="TLP35" s="774"/>
      <c r="TLQ35" s="774"/>
      <c r="TLR35" s="774"/>
      <c r="TLS35" s="774"/>
      <c r="TLT35" s="774"/>
      <c r="TLU35" s="774"/>
      <c r="TLV35" s="774"/>
      <c r="TLW35" s="774"/>
      <c r="TLX35" s="774"/>
      <c r="TLY35" s="774"/>
      <c r="TLZ35" s="774"/>
      <c r="TMA35" s="774"/>
      <c r="TMB35" s="774"/>
      <c r="TMC35" s="774"/>
      <c r="TMD35" s="774"/>
      <c r="TME35" s="774"/>
      <c r="TMF35" s="774"/>
      <c r="TMG35" s="774"/>
      <c r="TMH35" s="774"/>
      <c r="TMI35" s="774"/>
      <c r="TMJ35" s="774"/>
      <c r="TMK35" s="774"/>
      <c r="TML35" s="774"/>
      <c r="TMM35" s="774"/>
      <c r="TMN35" s="774"/>
      <c r="TMO35" s="774"/>
      <c r="TMP35" s="774"/>
      <c r="TMQ35" s="774"/>
      <c r="TMR35" s="774"/>
      <c r="TMS35" s="774"/>
      <c r="TMT35" s="774"/>
      <c r="TMU35" s="774"/>
      <c r="TMV35" s="774"/>
      <c r="TMW35" s="774"/>
      <c r="TMX35" s="774"/>
      <c r="TMY35" s="774"/>
      <c r="TMZ35" s="774"/>
      <c r="TNA35" s="774"/>
      <c r="TNB35" s="774"/>
      <c r="TNC35" s="774"/>
      <c r="TND35" s="774"/>
      <c r="TNE35" s="774"/>
      <c r="TNF35" s="774"/>
      <c r="TNG35" s="774"/>
      <c r="TNH35" s="774"/>
      <c r="TNI35" s="774"/>
      <c r="TNJ35" s="774"/>
      <c r="TNK35" s="774"/>
      <c r="TNL35" s="774"/>
      <c r="TNM35" s="774"/>
      <c r="TNN35" s="774"/>
      <c r="TNO35" s="774"/>
      <c r="TNP35" s="774"/>
      <c r="TNQ35" s="774"/>
      <c r="TNR35" s="774"/>
      <c r="TNS35" s="774"/>
      <c r="TNT35" s="774"/>
      <c r="TNU35" s="774"/>
      <c r="TNV35" s="774"/>
      <c r="TNW35" s="774"/>
      <c r="TNX35" s="774"/>
      <c r="TNY35" s="774"/>
      <c r="TNZ35" s="774"/>
      <c r="TOA35" s="774"/>
      <c r="TOB35" s="774"/>
      <c r="TOC35" s="774"/>
      <c r="TOD35" s="774"/>
      <c r="TOE35" s="774"/>
      <c r="TOF35" s="774"/>
      <c r="TOG35" s="774"/>
      <c r="TOH35" s="774"/>
      <c r="TOI35" s="774"/>
      <c r="TOJ35" s="774"/>
      <c r="TOK35" s="774"/>
      <c r="TOL35" s="774"/>
      <c r="TOM35" s="774"/>
      <c r="TON35" s="774"/>
      <c r="TOO35" s="774"/>
      <c r="TOP35" s="774"/>
      <c r="TOQ35" s="774"/>
      <c r="TOR35" s="774"/>
      <c r="TOS35" s="774"/>
      <c r="TOT35" s="774"/>
      <c r="TOU35" s="774"/>
      <c r="TOV35" s="774"/>
      <c r="TOW35" s="774"/>
      <c r="TOX35" s="774"/>
      <c r="TOY35" s="774"/>
      <c r="TOZ35" s="774"/>
      <c r="TPA35" s="774"/>
      <c r="TPB35" s="774"/>
      <c r="TPC35" s="774"/>
      <c r="TPD35" s="774"/>
      <c r="TPE35" s="774"/>
      <c r="TPF35" s="774"/>
      <c r="TPG35" s="774"/>
      <c r="TPH35" s="774"/>
      <c r="TPI35" s="774"/>
      <c r="TPJ35" s="774"/>
      <c r="TPK35" s="774"/>
      <c r="TPL35" s="774"/>
      <c r="TPM35" s="774"/>
      <c r="TPN35" s="774"/>
      <c r="TPO35" s="774"/>
      <c r="TPP35" s="774"/>
      <c r="TPQ35" s="774"/>
      <c r="TPR35" s="774"/>
      <c r="TPS35" s="774"/>
      <c r="TPT35" s="774"/>
      <c r="TPU35" s="774"/>
      <c r="TPV35" s="774"/>
      <c r="TPW35" s="774"/>
      <c r="TPX35" s="774"/>
      <c r="TPY35" s="774"/>
      <c r="TPZ35" s="774"/>
      <c r="TQA35" s="774"/>
      <c r="TQB35" s="774"/>
      <c r="TQC35" s="774"/>
      <c r="TQD35" s="774"/>
      <c r="TQE35" s="774"/>
      <c r="TQF35" s="774"/>
      <c r="TQG35" s="774"/>
      <c r="TQH35" s="774"/>
      <c r="TQI35" s="774"/>
      <c r="TQJ35" s="774"/>
      <c r="TQK35" s="774"/>
      <c r="TQL35" s="774"/>
      <c r="TQM35" s="774"/>
      <c r="TQN35" s="774"/>
      <c r="TQO35" s="774"/>
      <c r="TQP35" s="774"/>
      <c r="TQQ35" s="774"/>
      <c r="TQR35" s="774"/>
      <c r="TQS35" s="774"/>
      <c r="TQT35" s="774"/>
      <c r="TQU35" s="774"/>
      <c r="TQV35" s="774"/>
      <c r="TQW35" s="774"/>
      <c r="TQX35" s="774"/>
      <c r="TQY35" s="774"/>
      <c r="TQZ35" s="774"/>
      <c r="TRA35" s="774"/>
      <c r="TRB35" s="774"/>
      <c r="TRC35" s="774"/>
      <c r="TRD35" s="774"/>
      <c r="TRE35" s="774"/>
      <c r="TRF35" s="774"/>
      <c r="TRG35" s="774"/>
      <c r="TRH35" s="774"/>
      <c r="TRI35" s="774"/>
      <c r="TRJ35" s="774"/>
      <c r="TRK35" s="774"/>
      <c r="TRL35" s="774"/>
      <c r="TRM35" s="774"/>
      <c r="TRN35" s="774"/>
      <c r="TRO35" s="774"/>
      <c r="TRP35" s="774"/>
      <c r="TRQ35" s="774"/>
      <c r="TRR35" s="774"/>
      <c r="TRS35" s="774"/>
      <c r="TRT35" s="774"/>
      <c r="TRU35" s="774"/>
      <c r="TRV35" s="774"/>
      <c r="TRW35" s="774"/>
      <c r="TRX35" s="774"/>
      <c r="TRY35" s="774"/>
      <c r="TRZ35" s="774"/>
      <c r="TSA35" s="774"/>
      <c r="TSB35" s="774"/>
      <c r="TSC35" s="774"/>
      <c r="TSD35" s="774"/>
      <c r="TSE35" s="774"/>
      <c r="TSF35" s="774"/>
      <c r="TSG35" s="774"/>
      <c r="TSH35" s="774"/>
      <c r="TSI35" s="774"/>
      <c r="TSJ35" s="774"/>
      <c r="TSK35" s="774"/>
      <c r="TSL35" s="774"/>
      <c r="TSM35" s="774"/>
      <c r="TSN35" s="774"/>
      <c r="TSO35" s="774"/>
      <c r="TSP35" s="774"/>
      <c r="TSQ35" s="774"/>
      <c r="TSR35" s="774"/>
      <c r="TSS35" s="774"/>
      <c r="TST35" s="774"/>
      <c r="TSU35" s="774"/>
      <c r="TSV35" s="774"/>
      <c r="TSW35" s="774"/>
      <c r="TSX35" s="774"/>
      <c r="TSY35" s="774"/>
      <c r="TSZ35" s="774"/>
      <c r="TTA35" s="774"/>
      <c r="TTB35" s="774"/>
      <c r="TTC35" s="774"/>
      <c r="TTD35" s="774"/>
      <c r="TTE35" s="774"/>
      <c r="TTF35" s="774"/>
      <c r="TTG35" s="774"/>
      <c r="TTH35" s="774"/>
      <c r="TTI35" s="774"/>
      <c r="TTJ35" s="774"/>
      <c r="TTK35" s="774"/>
      <c r="TTL35" s="774"/>
      <c r="TTM35" s="774"/>
      <c r="TTN35" s="774"/>
      <c r="TTO35" s="774"/>
      <c r="TTP35" s="774"/>
      <c r="TTQ35" s="774"/>
      <c r="TTR35" s="774"/>
      <c r="TTS35" s="774"/>
      <c r="TTT35" s="774"/>
      <c r="TTU35" s="774"/>
      <c r="TTV35" s="774"/>
      <c r="TTW35" s="774"/>
      <c r="TTX35" s="774"/>
      <c r="TTY35" s="774"/>
      <c r="TTZ35" s="774"/>
      <c r="TUA35" s="774"/>
      <c r="TUB35" s="774"/>
      <c r="TUC35" s="774"/>
      <c r="TUD35" s="774"/>
      <c r="TUE35" s="774"/>
      <c r="TUF35" s="774"/>
      <c r="TUG35" s="774"/>
      <c r="TUH35" s="774"/>
      <c r="TUI35" s="774"/>
      <c r="TUJ35" s="774"/>
      <c r="TUK35" s="774"/>
      <c r="TUL35" s="774"/>
      <c r="TUM35" s="774"/>
      <c r="TUN35" s="774"/>
      <c r="TUO35" s="774"/>
      <c r="TUP35" s="774"/>
      <c r="TUQ35" s="774"/>
      <c r="TUR35" s="774"/>
      <c r="TUS35" s="774"/>
      <c r="TUT35" s="774"/>
      <c r="TUU35" s="774"/>
      <c r="TUV35" s="774"/>
      <c r="TUW35" s="774"/>
      <c r="TUX35" s="774"/>
      <c r="TUY35" s="774"/>
      <c r="TUZ35" s="774"/>
      <c r="TVA35" s="774"/>
      <c r="TVB35" s="774"/>
      <c r="TVC35" s="774"/>
      <c r="TVD35" s="774"/>
      <c r="TVE35" s="774"/>
      <c r="TVF35" s="774"/>
      <c r="TVG35" s="774"/>
      <c r="TVH35" s="774"/>
      <c r="TVI35" s="774"/>
      <c r="TVJ35" s="774"/>
      <c r="TVK35" s="774"/>
      <c r="TVL35" s="774"/>
      <c r="TVM35" s="774"/>
      <c r="TVN35" s="774"/>
      <c r="TVO35" s="774"/>
      <c r="TVP35" s="774"/>
      <c r="TVQ35" s="774"/>
      <c r="TVR35" s="774"/>
      <c r="TVS35" s="774"/>
      <c r="TVT35" s="774"/>
      <c r="TVU35" s="774"/>
      <c r="TVV35" s="774"/>
      <c r="TVW35" s="774"/>
      <c r="TVX35" s="774"/>
      <c r="TVY35" s="774"/>
      <c r="TVZ35" s="774"/>
      <c r="TWA35" s="774"/>
      <c r="TWB35" s="774"/>
      <c r="TWC35" s="774"/>
      <c r="TWD35" s="774"/>
      <c r="TWE35" s="774"/>
      <c r="TWF35" s="774"/>
      <c r="TWG35" s="774"/>
      <c r="TWH35" s="774"/>
      <c r="TWI35" s="774"/>
      <c r="TWJ35" s="774"/>
      <c r="TWK35" s="774"/>
      <c r="TWL35" s="774"/>
      <c r="TWM35" s="774"/>
      <c r="TWN35" s="774"/>
      <c r="TWO35" s="774"/>
      <c r="TWP35" s="774"/>
      <c r="TWQ35" s="774"/>
      <c r="TWR35" s="774"/>
      <c r="TWS35" s="774"/>
      <c r="TWT35" s="774"/>
      <c r="TWU35" s="774"/>
      <c r="TWV35" s="774"/>
      <c r="TWW35" s="774"/>
      <c r="TWX35" s="774"/>
      <c r="TWY35" s="774"/>
      <c r="TWZ35" s="774"/>
      <c r="TXA35" s="774"/>
      <c r="TXB35" s="774"/>
      <c r="TXC35" s="774"/>
      <c r="TXD35" s="774"/>
      <c r="TXE35" s="774"/>
      <c r="TXF35" s="774"/>
      <c r="TXG35" s="774"/>
      <c r="TXH35" s="774"/>
      <c r="TXI35" s="774"/>
      <c r="TXJ35" s="774"/>
      <c r="TXK35" s="774"/>
      <c r="TXL35" s="774"/>
      <c r="TXM35" s="774"/>
      <c r="TXN35" s="774"/>
      <c r="TXO35" s="774"/>
      <c r="TXP35" s="774"/>
      <c r="TXQ35" s="774"/>
      <c r="TXR35" s="774"/>
      <c r="TXS35" s="774"/>
      <c r="TXT35" s="774"/>
      <c r="TXU35" s="774"/>
      <c r="TXV35" s="774"/>
      <c r="TXW35" s="774"/>
      <c r="TXX35" s="774"/>
      <c r="TXY35" s="774"/>
      <c r="TXZ35" s="774"/>
      <c r="TYA35" s="774"/>
      <c r="TYB35" s="774"/>
      <c r="TYC35" s="774"/>
      <c r="TYD35" s="774"/>
      <c r="TYE35" s="774"/>
      <c r="TYF35" s="774"/>
      <c r="TYG35" s="774"/>
      <c r="TYH35" s="774"/>
      <c r="TYI35" s="774"/>
      <c r="TYJ35" s="774"/>
      <c r="TYK35" s="774"/>
      <c r="TYL35" s="774"/>
      <c r="TYM35" s="774"/>
      <c r="TYN35" s="774"/>
      <c r="TYO35" s="774"/>
      <c r="TYP35" s="774"/>
      <c r="TYQ35" s="774"/>
      <c r="TYR35" s="774"/>
      <c r="TYS35" s="774"/>
      <c r="TYT35" s="774"/>
      <c r="TYU35" s="774"/>
      <c r="TYV35" s="774"/>
      <c r="TYW35" s="774"/>
      <c r="TYX35" s="774"/>
      <c r="TYY35" s="774"/>
      <c r="TYZ35" s="774"/>
      <c r="TZA35" s="774"/>
      <c r="TZB35" s="774"/>
      <c r="TZC35" s="774"/>
      <c r="TZD35" s="774"/>
      <c r="TZE35" s="774"/>
      <c r="TZF35" s="774"/>
      <c r="TZG35" s="774"/>
      <c r="TZH35" s="774"/>
      <c r="TZI35" s="774"/>
      <c r="TZJ35" s="774"/>
      <c r="TZK35" s="774"/>
      <c r="TZL35" s="774"/>
      <c r="TZM35" s="774"/>
      <c r="TZN35" s="774"/>
      <c r="TZO35" s="774"/>
      <c r="TZP35" s="774"/>
      <c r="TZQ35" s="774"/>
      <c r="TZR35" s="774"/>
      <c r="TZS35" s="774"/>
      <c r="TZT35" s="774"/>
      <c r="TZU35" s="774"/>
      <c r="TZV35" s="774"/>
      <c r="TZW35" s="774"/>
      <c r="TZX35" s="774"/>
      <c r="TZY35" s="774"/>
      <c r="TZZ35" s="774"/>
      <c r="UAA35" s="774"/>
      <c r="UAB35" s="774"/>
      <c r="UAC35" s="774"/>
      <c r="UAD35" s="774"/>
      <c r="UAE35" s="774"/>
      <c r="UAF35" s="774"/>
      <c r="UAG35" s="774"/>
      <c r="UAH35" s="774"/>
      <c r="UAI35" s="774"/>
      <c r="UAJ35" s="774"/>
      <c r="UAK35" s="774"/>
      <c r="UAL35" s="774"/>
      <c r="UAM35" s="774"/>
      <c r="UAN35" s="774"/>
      <c r="UAO35" s="774"/>
      <c r="UAP35" s="774"/>
      <c r="UAQ35" s="774"/>
      <c r="UAR35" s="774"/>
      <c r="UAS35" s="774"/>
      <c r="UAT35" s="774"/>
      <c r="UAU35" s="774"/>
      <c r="UAV35" s="774"/>
      <c r="UAW35" s="774"/>
      <c r="UAX35" s="774"/>
      <c r="UAY35" s="774"/>
      <c r="UAZ35" s="774"/>
      <c r="UBA35" s="774"/>
      <c r="UBB35" s="774"/>
      <c r="UBC35" s="774"/>
      <c r="UBD35" s="774"/>
      <c r="UBE35" s="774"/>
      <c r="UBF35" s="774"/>
      <c r="UBG35" s="774"/>
      <c r="UBH35" s="774"/>
      <c r="UBI35" s="774"/>
      <c r="UBJ35" s="774"/>
      <c r="UBK35" s="774"/>
      <c r="UBL35" s="774"/>
      <c r="UBM35" s="774"/>
      <c r="UBN35" s="774"/>
      <c r="UBO35" s="774"/>
      <c r="UBP35" s="774"/>
      <c r="UBQ35" s="774"/>
      <c r="UBR35" s="774"/>
      <c r="UBS35" s="774"/>
      <c r="UBT35" s="774"/>
      <c r="UBU35" s="774"/>
      <c r="UBV35" s="774"/>
      <c r="UBW35" s="774"/>
      <c r="UBX35" s="774"/>
      <c r="UBY35" s="774"/>
      <c r="UBZ35" s="774"/>
      <c r="UCA35" s="774"/>
      <c r="UCB35" s="774"/>
      <c r="UCC35" s="774"/>
      <c r="UCD35" s="774"/>
      <c r="UCE35" s="774"/>
      <c r="UCF35" s="774"/>
      <c r="UCG35" s="774"/>
      <c r="UCH35" s="774"/>
      <c r="UCI35" s="774"/>
      <c r="UCJ35" s="774"/>
      <c r="UCK35" s="774"/>
      <c r="UCL35" s="774"/>
      <c r="UCM35" s="774"/>
      <c r="UCN35" s="774"/>
      <c r="UCO35" s="774"/>
      <c r="UCP35" s="774"/>
      <c r="UCQ35" s="774"/>
      <c r="UCR35" s="774"/>
      <c r="UCS35" s="774"/>
      <c r="UCT35" s="774"/>
      <c r="UCU35" s="774"/>
      <c r="UCV35" s="774"/>
      <c r="UCW35" s="774"/>
      <c r="UCX35" s="774"/>
      <c r="UCY35" s="774"/>
      <c r="UCZ35" s="774"/>
      <c r="UDA35" s="774"/>
      <c r="UDB35" s="774"/>
      <c r="UDC35" s="774"/>
      <c r="UDD35" s="774"/>
      <c r="UDE35" s="774"/>
      <c r="UDF35" s="774"/>
      <c r="UDG35" s="774"/>
      <c r="UDH35" s="774"/>
      <c r="UDI35" s="774"/>
      <c r="UDJ35" s="774"/>
      <c r="UDK35" s="774"/>
      <c r="UDL35" s="774"/>
      <c r="UDM35" s="774"/>
      <c r="UDN35" s="774"/>
      <c r="UDO35" s="774"/>
      <c r="UDP35" s="774"/>
      <c r="UDQ35" s="774"/>
      <c r="UDR35" s="774"/>
      <c r="UDS35" s="774"/>
      <c r="UDT35" s="774"/>
      <c r="UDU35" s="774"/>
      <c r="UDV35" s="774"/>
      <c r="UDW35" s="774"/>
      <c r="UDX35" s="774"/>
      <c r="UDY35" s="774"/>
      <c r="UDZ35" s="774"/>
      <c r="UEA35" s="774"/>
      <c r="UEB35" s="774"/>
      <c r="UEC35" s="774"/>
      <c r="UED35" s="774"/>
      <c r="UEE35" s="774"/>
      <c r="UEF35" s="774"/>
      <c r="UEG35" s="774"/>
      <c r="UEH35" s="774"/>
      <c r="UEI35" s="774"/>
      <c r="UEJ35" s="774"/>
      <c r="UEK35" s="774"/>
      <c r="UEL35" s="774"/>
      <c r="UEM35" s="774"/>
      <c r="UEN35" s="774"/>
      <c r="UEO35" s="774"/>
      <c r="UEP35" s="774"/>
      <c r="UEQ35" s="774"/>
      <c r="UER35" s="774"/>
      <c r="UES35" s="774"/>
      <c r="UET35" s="774"/>
      <c r="UEU35" s="774"/>
      <c r="UEV35" s="774"/>
      <c r="UEW35" s="774"/>
      <c r="UEX35" s="774"/>
      <c r="UEY35" s="774"/>
      <c r="UEZ35" s="774"/>
      <c r="UFA35" s="774"/>
      <c r="UFB35" s="774"/>
      <c r="UFC35" s="774"/>
      <c r="UFD35" s="774"/>
      <c r="UFE35" s="774"/>
      <c r="UFF35" s="774"/>
      <c r="UFG35" s="774"/>
      <c r="UFH35" s="774"/>
      <c r="UFI35" s="774"/>
      <c r="UFJ35" s="774"/>
      <c r="UFK35" s="774"/>
      <c r="UFL35" s="774"/>
      <c r="UFM35" s="774"/>
      <c r="UFN35" s="774"/>
      <c r="UFO35" s="774"/>
      <c r="UFP35" s="774"/>
      <c r="UFQ35" s="774"/>
      <c r="UFR35" s="774"/>
      <c r="UFS35" s="774"/>
      <c r="UFT35" s="774"/>
      <c r="UFU35" s="774"/>
      <c r="UFV35" s="774"/>
      <c r="UFW35" s="774"/>
      <c r="UFX35" s="774"/>
      <c r="UFY35" s="774"/>
      <c r="UFZ35" s="774"/>
      <c r="UGA35" s="774"/>
      <c r="UGB35" s="774"/>
      <c r="UGC35" s="774"/>
      <c r="UGD35" s="774"/>
      <c r="UGE35" s="774"/>
      <c r="UGF35" s="774"/>
      <c r="UGG35" s="774"/>
      <c r="UGH35" s="774"/>
      <c r="UGI35" s="774"/>
      <c r="UGJ35" s="774"/>
      <c r="UGK35" s="774"/>
      <c r="UGL35" s="774"/>
      <c r="UGM35" s="774"/>
      <c r="UGN35" s="774"/>
      <c r="UGO35" s="774"/>
      <c r="UGP35" s="774"/>
      <c r="UGQ35" s="774"/>
      <c r="UGR35" s="774"/>
      <c r="UGS35" s="774"/>
      <c r="UGT35" s="774"/>
      <c r="UGU35" s="774"/>
      <c r="UGV35" s="774"/>
      <c r="UGW35" s="774"/>
      <c r="UGX35" s="774"/>
      <c r="UGY35" s="774"/>
      <c r="UGZ35" s="774"/>
      <c r="UHA35" s="774"/>
      <c r="UHB35" s="774"/>
      <c r="UHC35" s="774"/>
      <c r="UHD35" s="774"/>
      <c r="UHE35" s="774"/>
      <c r="UHF35" s="774"/>
      <c r="UHG35" s="774"/>
      <c r="UHH35" s="774"/>
      <c r="UHI35" s="774"/>
      <c r="UHJ35" s="774"/>
      <c r="UHK35" s="774"/>
      <c r="UHL35" s="774"/>
      <c r="UHM35" s="774"/>
      <c r="UHN35" s="774"/>
      <c r="UHO35" s="774"/>
      <c r="UHP35" s="774"/>
      <c r="UHQ35" s="774"/>
      <c r="UHR35" s="774"/>
      <c r="UHS35" s="774"/>
      <c r="UHT35" s="774"/>
      <c r="UHU35" s="774"/>
      <c r="UHV35" s="774"/>
      <c r="UHW35" s="774"/>
      <c r="UHX35" s="774"/>
      <c r="UHY35" s="774"/>
      <c r="UHZ35" s="774"/>
      <c r="UIA35" s="774"/>
      <c r="UIB35" s="774"/>
      <c r="UIC35" s="774"/>
      <c r="UID35" s="774"/>
      <c r="UIE35" s="774"/>
      <c r="UIF35" s="774"/>
      <c r="UIG35" s="774"/>
      <c r="UIH35" s="774"/>
      <c r="UII35" s="774"/>
      <c r="UIJ35" s="774"/>
      <c r="UIK35" s="774"/>
      <c r="UIL35" s="774"/>
      <c r="UIM35" s="774"/>
      <c r="UIN35" s="774"/>
      <c r="UIO35" s="774"/>
      <c r="UIP35" s="774"/>
      <c r="UIQ35" s="774"/>
      <c r="UIR35" s="774"/>
      <c r="UIS35" s="774"/>
      <c r="UIT35" s="774"/>
      <c r="UIU35" s="774"/>
      <c r="UIV35" s="774"/>
      <c r="UIW35" s="774"/>
      <c r="UIX35" s="774"/>
      <c r="UIY35" s="774"/>
      <c r="UIZ35" s="774"/>
      <c r="UJA35" s="774"/>
      <c r="UJB35" s="774"/>
      <c r="UJC35" s="774"/>
      <c r="UJD35" s="774"/>
      <c r="UJE35" s="774"/>
      <c r="UJF35" s="774"/>
      <c r="UJG35" s="774"/>
      <c r="UJH35" s="774"/>
      <c r="UJI35" s="774"/>
      <c r="UJJ35" s="774"/>
      <c r="UJK35" s="774"/>
      <c r="UJL35" s="774"/>
      <c r="UJM35" s="774"/>
      <c r="UJN35" s="774"/>
      <c r="UJO35" s="774"/>
      <c r="UJP35" s="774"/>
      <c r="UJQ35" s="774"/>
      <c r="UJR35" s="774"/>
      <c r="UJS35" s="774"/>
      <c r="UJT35" s="774"/>
      <c r="UJU35" s="774"/>
      <c r="UJV35" s="774"/>
      <c r="UJW35" s="774"/>
      <c r="UJX35" s="774"/>
      <c r="UJY35" s="774"/>
      <c r="UJZ35" s="774"/>
      <c r="UKA35" s="774"/>
      <c r="UKB35" s="774"/>
      <c r="UKC35" s="774"/>
      <c r="UKD35" s="774"/>
      <c r="UKE35" s="774"/>
      <c r="UKF35" s="774"/>
      <c r="UKG35" s="774"/>
      <c r="UKH35" s="774"/>
      <c r="UKI35" s="774"/>
      <c r="UKJ35" s="774"/>
      <c r="UKK35" s="774"/>
      <c r="UKL35" s="774"/>
      <c r="UKM35" s="774"/>
      <c r="UKN35" s="774"/>
      <c r="UKO35" s="774"/>
      <c r="UKP35" s="774"/>
      <c r="UKQ35" s="774"/>
      <c r="UKR35" s="774"/>
      <c r="UKS35" s="774"/>
      <c r="UKT35" s="774"/>
      <c r="UKU35" s="774"/>
      <c r="UKV35" s="774"/>
      <c r="UKW35" s="774"/>
      <c r="UKX35" s="774"/>
      <c r="UKY35" s="774"/>
      <c r="UKZ35" s="774"/>
      <c r="ULA35" s="774"/>
      <c r="ULB35" s="774"/>
      <c r="ULC35" s="774"/>
      <c r="ULD35" s="774"/>
      <c r="ULE35" s="774"/>
      <c r="ULF35" s="774"/>
      <c r="ULG35" s="774"/>
      <c r="ULH35" s="774"/>
      <c r="ULI35" s="774"/>
      <c r="ULJ35" s="774"/>
      <c r="ULK35" s="774"/>
      <c r="ULL35" s="774"/>
      <c r="ULM35" s="774"/>
      <c r="ULN35" s="774"/>
      <c r="ULO35" s="774"/>
      <c r="ULP35" s="774"/>
      <c r="ULQ35" s="774"/>
      <c r="ULR35" s="774"/>
      <c r="ULS35" s="774"/>
      <c r="ULT35" s="774"/>
      <c r="ULU35" s="774"/>
      <c r="ULV35" s="774"/>
      <c r="ULW35" s="774"/>
      <c r="ULX35" s="774"/>
      <c r="ULY35" s="774"/>
      <c r="ULZ35" s="774"/>
      <c r="UMA35" s="774"/>
      <c r="UMB35" s="774"/>
      <c r="UMC35" s="774"/>
      <c r="UMD35" s="774"/>
      <c r="UME35" s="774"/>
      <c r="UMF35" s="774"/>
      <c r="UMG35" s="774"/>
      <c r="UMH35" s="774"/>
      <c r="UMI35" s="774"/>
      <c r="UMJ35" s="774"/>
      <c r="UMK35" s="774"/>
      <c r="UML35" s="774"/>
      <c r="UMM35" s="774"/>
      <c r="UMN35" s="774"/>
      <c r="UMO35" s="774"/>
      <c r="UMP35" s="774"/>
      <c r="UMQ35" s="774"/>
      <c r="UMR35" s="774"/>
      <c r="UMS35" s="774"/>
      <c r="UMT35" s="774"/>
      <c r="UMU35" s="774"/>
      <c r="UMV35" s="774"/>
      <c r="UMW35" s="774"/>
      <c r="UMX35" s="774"/>
      <c r="UMY35" s="774"/>
      <c r="UMZ35" s="774"/>
      <c r="UNA35" s="774"/>
      <c r="UNB35" s="774"/>
      <c r="UNC35" s="774"/>
      <c r="UND35" s="774"/>
      <c r="UNE35" s="774"/>
      <c r="UNF35" s="774"/>
      <c r="UNG35" s="774"/>
      <c r="UNH35" s="774"/>
      <c r="UNI35" s="774"/>
      <c r="UNJ35" s="774"/>
      <c r="UNK35" s="774"/>
      <c r="UNL35" s="774"/>
      <c r="UNM35" s="774"/>
      <c r="UNN35" s="774"/>
      <c r="UNO35" s="774"/>
      <c r="UNP35" s="774"/>
      <c r="UNQ35" s="774"/>
      <c r="UNR35" s="774"/>
      <c r="UNS35" s="774"/>
      <c r="UNT35" s="774"/>
      <c r="UNU35" s="774"/>
      <c r="UNV35" s="774"/>
      <c r="UNW35" s="774"/>
      <c r="UNX35" s="774"/>
      <c r="UNY35" s="774"/>
      <c r="UNZ35" s="774"/>
      <c r="UOA35" s="774"/>
      <c r="UOB35" s="774"/>
      <c r="UOC35" s="774"/>
      <c r="UOD35" s="774"/>
      <c r="UOE35" s="774"/>
      <c r="UOF35" s="774"/>
      <c r="UOG35" s="774"/>
      <c r="UOH35" s="774"/>
      <c r="UOI35" s="774"/>
      <c r="UOJ35" s="774"/>
      <c r="UOK35" s="774"/>
      <c r="UOL35" s="774"/>
      <c r="UOM35" s="774"/>
      <c r="UON35" s="774"/>
      <c r="UOO35" s="774"/>
      <c r="UOP35" s="774"/>
      <c r="UOQ35" s="774"/>
      <c r="UOR35" s="774"/>
      <c r="UOS35" s="774"/>
      <c r="UOT35" s="774"/>
      <c r="UOU35" s="774"/>
      <c r="UOV35" s="774"/>
      <c r="UOW35" s="774"/>
      <c r="UOX35" s="774"/>
      <c r="UOY35" s="774"/>
      <c r="UOZ35" s="774"/>
      <c r="UPA35" s="774"/>
      <c r="UPB35" s="774"/>
      <c r="UPC35" s="774"/>
      <c r="UPD35" s="774"/>
      <c r="UPE35" s="774"/>
      <c r="UPF35" s="774"/>
      <c r="UPG35" s="774"/>
      <c r="UPH35" s="774"/>
      <c r="UPI35" s="774"/>
      <c r="UPJ35" s="774"/>
      <c r="UPK35" s="774"/>
      <c r="UPL35" s="774"/>
      <c r="UPM35" s="774"/>
      <c r="UPN35" s="774"/>
      <c r="UPO35" s="774"/>
      <c r="UPP35" s="774"/>
      <c r="UPQ35" s="774"/>
      <c r="UPR35" s="774"/>
      <c r="UPS35" s="774"/>
      <c r="UPT35" s="774"/>
      <c r="UPU35" s="774"/>
      <c r="UPV35" s="774"/>
      <c r="UPW35" s="774"/>
      <c r="UPX35" s="774"/>
      <c r="UPY35" s="774"/>
      <c r="UPZ35" s="774"/>
      <c r="UQA35" s="774"/>
      <c r="UQB35" s="774"/>
      <c r="UQC35" s="774"/>
      <c r="UQD35" s="774"/>
      <c r="UQE35" s="774"/>
      <c r="UQF35" s="774"/>
      <c r="UQG35" s="774"/>
      <c r="UQH35" s="774"/>
      <c r="UQI35" s="774"/>
      <c r="UQJ35" s="774"/>
      <c r="UQK35" s="774"/>
      <c r="UQL35" s="774"/>
      <c r="UQM35" s="774"/>
      <c r="UQN35" s="774"/>
      <c r="UQO35" s="774"/>
      <c r="UQP35" s="774"/>
      <c r="UQQ35" s="774"/>
      <c r="UQR35" s="774"/>
      <c r="UQS35" s="774"/>
      <c r="UQT35" s="774"/>
      <c r="UQU35" s="774"/>
      <c r="UQV35" s="774"/>
      <c r="UQW35" s="774"/>
      <c r="UQX35" s="774"/>
      <c r="UQY35" s="774"/>
      <c r="UQZ35" s="774"/>
      <c r="URA35" s="774"/>
      <c r="URB35" s="774"/>
      <c r="URC35" s="774"/>
      <c r="URD35" s="774"/>
      <c r="URE35" s="774"/>
      <c r="URF35" s="774"/>
      <c r="URG35" s="774"/>
      <c r="URH35" s="774"/>
      <c r="URI35" s="774"/>
      <c r="URJ35" s="774"/>
      <c r="URK35" s="774"/>
      <c r="URL35" s="774"/>
      <c r="URM35" s="774"/>
      <c r="URN35" s="774"/>
      <c r="URO35" s="774"/>
      <c r="URP35" s="774"/>
      <c r="URQ35" s="774"/>
      <c r="URR35" s="774"/>
      <c r="URS35" s="774"/>
      <c r="URT35" s="774"/>
      <c r="URU35" s="774"/>
      <c r="URV35" s="774"/>
      <c r="URW35" s="774"/>
      <c r="URX35" s="774"/>
      <c r="URY35" s="774"/>
      <c r="URZ35" s="774"/>
      <c r="USA35" s="774"/>
      <c r="USB35" s="774"/>
      <c r="USC35" s="774"/>
      <c r="USD35" s="774"/>
      <c r="USE35" s="774"/>
      <c r="USF35" s="774"/>
      <c r="USG35" s="774"/>
      <c r="USH35" s="774"/>
      <c r="USI35" s="774"/>
      <c r="USJ35" s="774"/>
      <c r="USK35" s="774"/>
      <c r="USL35" s="774"/>
      <c r="USM35" s="774"/>
      <c r="USN35" s="774"/>
      <c r="USO35" s="774"/>
      <c r="USP35" s="774"/>
      <c r="USQ35" s="774"/>
      <c r="USR35" s="774"/>
      <c r="USS35" s="774"/>
      <c r="UST35" s="774"/>
      <c r="USU35" s="774"/>
      <c r="USV35" s="774"/>
      <c r="USW35" s="774"/>
      <c r="USX35" s="774"/>
      <c r="USY35" s="774"/>
      <c r="USZ35" s="774"/>
      <c r="UTA35" s="774"/>
      <c r="UTB35" s="774"/>
      <c r="UTC35" s="774"/>
      <c r="UTD35" s="774"/>
      <c r="UTE35" s="774"/>
      <c r="UTF35" s="774"/>
      <c r="UTG35" s="774"/>
      <c r="UTH35" s="774"/>
      <c r="UTI35" s="774"/>
      <c r="UTJ35" s="774"/>
      <c r="UTK35" s="774"/>
      <c r="UTL35" s="774"/>
      <c r="UTM35" s="774"/>
      <c r="UTN35" s="774"/>
      <c r="UTO35" s="774"/>
      <c r="UTP35" s="774"/>
      <c r="UTQ35" s="774"/>
      <c r="UTR35" s="774"/>
      <c r="UTS35" s="774"/>
      <c r="UTT35" s="774"/>
      <c r="UTU35" s="774"/>
      <c r="UTV35" s="774"/>
      <c r="UTW35" s="774"/>
      <c r="UTX35" s="774"/>
      <c r="UTY35" s="774"/>
      <c r="UTZ35" s="774"/>
      <c r="UUA35" s="774"/>
      <c r="UUB35" s="774"/>
      <c r="UUC35" s="774"/>
      <c r="UUD35" s="774"/>
      <c r="UUE35" s="774"/>
      <c r="UUF35" s="774"/>
      <c r="UUG35" s="774"/>
      <c r="UUH35" s="774"/>
      <c r="UUI35" s="774"/>
      <c r="UUJ35" s="774"/>
      <c r="UUK35" s="774"/>
      <c r="UUL35" s="774"/>
      <c r="UUM35" s="774"/>
      <c r="UUN35" s="774"/>
      <c r="UUO35" s="774"/>
      <c r="UUP35" s="774"/>
      <c r="UUQ35" s="774"/>
      <c r="UUR35" s="774"/>
      <c r="UUS35" s="774"/>
      <c r="UUT35" s="774"/>
      <c r="UUU35" s="774"/>
      <c r="UUV35" s="774"/>
      <c r="UUW35" s="774"/>
      <c r="UUX35" s="774"/>
      <c r="UUY35" s="774"/>
      <c r="UUZ35" s="774"/>
      <c r="UVA35" s="774"/>
      <c r="UVB35" s="774"/>
      <c r="UVC35" s="774"/>
      <c r="UVD35" s="774"/>
      <c r="UVE35" s="774"/>
      <c r="UVF35" s="774"/>
      <c r="UVG35" s="774"/>
      <c r="UVH35" s="774"/>
      <c r="UVI35" s="774"/>
      <c r="UVJ35" s="774"/>
      <c r="UVK35" s="774"/>
      <c r="UVL35" s="774"/>
      <c r="UVM35" s="774"/>
      <c r="UVN35" s="774"/>
      <c r="UVO35" s="774"/>
      <c r="UVP35" s="774"/>
      <c r="UVQ35" s="774"/>
      <c r="UVR35" s="774"/>
      <c r="UVS35" s="774"/>
      <c r="UVT35" s="774"/>
      <c r="UVU35" s="774"/>
      <c r="UVV35" s="774"/>
      <c r="UVW35" s="774"/>
      <c r="UVX35" s="774"/>
      <c r="UVY35" s="774"/>
      <c r="UVZ35" s="774"/>
      <c r="UWA35" s="774"/>
      <c r="UWB35" s="774"/>
      <c r="UWC35" s="774"/>
      <c r="UWD35" s="774"/>
      <c r="UWE35" s="774"/>
      <c r="UWF35" s="774"/>
      <c r="UWG35" s="774"/>
      <c r="UWH35" s="774"/>
      <c r="UWI35" s="774"/>
      <c r="UWJ35" s="774"/>
      <c r="UWK35" s="774"/>
      <c r="UWL35" s="774"/>
      <c r="UWM35" s="774"/>
      <c r="UWN35" s="774"/>
      <c r="UWO35" s="774"/>
      <c r="UWP35" s="774"/>
      <c r="UWQ35" s="774"/>
      <c r="UWR35" s="774"/>
      <c r="UWS35" s="774"/>
      <c r="UWT35" s="774"/>
      <c r="UWU35" s="774"/>
      <c r="UWV35" s="774"/>
      <c r="UWW35" s="774"/>
      <c r="UWX35" s="774"/>
      <c r="UWY35" s="774"/>
      <c r="UWZ35" s="774"/>
      <c r="UXA35" s="774"/>
      <c r="UXB35" s="774"/>
      <c r="UXC35" s="774"/>
      <c r="UXD35" s="774"/>
      <c r="UXE35" s="774"/>
      <c r="UXF35" s="774"/>
      <c r="UXG35" s="774"/>
      <c r="UXH35" s="774"/>
      <c r="UXI35" s="774"/>
      <c r="UXJ35" s="774"/>
      <c r="UXK35" s="774"/>
      <c r="UXL35" s="774"/>
      <c r="UXM35" s="774"/>
      <c r="UXN35" s="774"/>
      <c r="UXO35" s="774"/>
      <c r="UXP35" s="774"/>
      <c r="UXQ35" s="774"/>
      <c r="UXR35" s="774"/>
      <c r="UXS35" s="774"/>
      <c r="UXT35" s="774"/>
      <c r="UXU35" s="774"/>
      <c r="UXV35" s="774"/>
      <c r="UXW35" s="774"/>
      <c r="UXX35" s="774"/>
      <c r="UXY35" s="774"/>
      <c r="UXZ35" s="774"/>
      <c r="UYA35" s="774"/>
      <c r="UYB35" s="774"/>
      <c r="UYC35" s="774"/>
      <c r="UYD35" s="774"/>
      <c r="UYE35" s="774"/>
      <c r="UYF35" s="774"/>
      <c r="UYG35" s="774"/>
      <c r="UYH35" s="774"/>
      <c r="UYI35" s="774"/>
      <c r="UYJ35" s="774"/>
      <c r="UYK35" s="774"/>
      <c r="UYL35" s="774"/>
      <c r="UYM35" s="774"/>
      <c r="UYN35" s="774"/>
      <c r="UYO35" s="774"/>
      <c r="UYP35" s="774"/>
      <c r="UYQ35" s="774"/>
      <c r="UYR35" s="774"/>
      <c r="UYS35" s="774"/>
      <c r="UYT35" s="774"/>
      <c r="UYU35" s="774"/>
      <c r="UYV35" s="774"/>
      <c r="UYW35" s="774"/>
      <c r="UYX35" s="774"/>
      <c r="UYY35" s="774"/>
      <c r="UYZ35" s="774"/>
      <c r="UZA35" s="774"/>
      <c r="UZB35" s="774"/>
      <c r="UZC35" s="774"/>
      <c r="UZD35" s="774"/>
      <c r="UZE35" s="774"/>
      <c r="UZF35" s="774"/>
      <c r="UZG35" s="774"/>
      <c r="UZH35" s="774"/>
      <c r="UZI35" s="774"/>
      <c r="UZJ35" s="774"/>
      <c r="UZK35" s="774"/>
      <c r="UZL35" s="774"/>
      <c r="UZM35" s="774"/>
      <c r="UZN35" s="774"/>
      <c r="UZO35" s="774"/>
      <c r="UZP35" s="774"/>
      <c r="UZQ35" s="774"/>
      <c r="UZR35" s="774"/>
      <c r="UZS35" s="774"/>
      <c r="UZT35" s="774"/>
      <c r="UZU35" s="774"/>
      <c r="UZV35" s="774"/>
      <c r="UZW35" s="774"/>
      <c r="UZX35" s="774"/>
      <c r="UZY35" s="774"/>
      <c r="UZZ35" s="774"/>
      <c r="VAA35" s="774"/>
      <c r="VAB35" s="774"/>
      <c r="VAC35" s="774"/>
      <c r="VAD35" s="774"/>
      <c r="VAE35" s="774"/>
      <c r="VAF35" s="774"/>
      <c r="VAG35" s="774"/>
      <c r="VAH35" s="774"/>
      <c r="VAI35" s="774"/>
      <c r="VAJ35" s="774"/>
      <c r="VAK35" s="774"/>
      <c r="VAL35" s="774"/>
      <c r="VAM35" s="774"/>
      <c r="VAN35" s="774"/>
      <c r="VAO35" s="774"/>
      <c r="VAP35" s="774"/>
      <c r="VAQ35" s="774"/>
      <c r="VAR35" s="774"/>
      <c r="VAS35" s="774"/>
      <c r="VAT35" s="774"/>
      <c r="VAU35" s="774"/>
      <c r="VAV35" s="774"/>
      <c r="VAW35" s="774"/>
      <c r="VAX35" s="774"/>
      <c r="VAY35" s="774"/>
      <c r="VAZ35" s="774"/>
      <c r="VBA35" s="774"/>
      <c r="VBB35" s="774"/>
      <c r="VBC35" s="774"/>
      <c r="VBD35" s="774"/>
      <c r="VBE35" s="774"/>
      <c r="VBF35" s="774"/>
      <c r="VBG35" s="774"/>
      <c r="VBH35" s="774"/>
      <c r="VBI35" s="774"/>
      <c r="VBJ35" s="774"/>
      <c r="VBK35" s="774"/>
      <c r="VBL35" s="774"/>
      <c r="VBM35" s="774"/>
      <c r="VBN35" s="774"/>
      <c r="VBO35" s="774"/>
      <c r="VBP35" s="774"/>
      <c r="VBQ35" s="774"/>
      <c r="VBR35" s="774"/>
      <c r="VBS35" s="774"/>
      <c r="VBT35" s="774"/>
      <c r="VBU35" s="774"/>
      <c r="VBV35" s="774"/>
      <c r="VBW35" s="774"/>
      <c r="VBX35" s="774"/>
      <c r="VBY35" s="774"/>
      <c r="VBZ35" s="774"/>
      <c r="VCA35" s="774"/>
      <c r="VCB35" s="774"/>
      <c r="VCC35" s="774"/>
      <c r="VCD35" s="774"/>
      <c r="VCE35" s="774"/>
      <c r="VCF35" s="774"/>
      <c r="VCG35" s="774"/>
      <c r="VCH35" s="774"/>
      <c r="VCI35" s="774"/>
      <c r="VCJ35" s="774"/>
      <c r="VCK35" s="774"/>
      <c r="VCL35" s="774"/>
      <c r="VCM35" s="774"/>
      <c r="VCN35" s="774"/>
      <c r="VCO35" s="774"/>
      <c r="VCP35" s="774"/>
      <c r="VCQ35" s="774"/>
      <c r="VCR35" s="774"/>
      <c r="VCS35" s="774"/>
      <c r="VCT35" s="774"/>
      <c r="VCU35" s="774"/>
      <c r="VCV35" s="774"/>
      <c r="VCW35" s="774"/>
      <c r="VCX35" s="774"/>
      <c r="VCY35" s="774"/>
      <c r="VCZ35" s="774"/>
      <c r="VDA35" s="774"/>
      <c r="VDB35" s="774"/>
      <c r="VDC35" s="774"/>
      <c r="VDD35" s="774"/>
      <c r="VDE35" s="774"/>
      <c r="VDF35" s="774"/>
      <c r="VDG35" s="774"/>
      <c r="VDH35" s="774"/>
      <c r="VDI35" s="774"/>
      <c r="VDJ35" s="774"/>
      <c r="VDK35" s="774"/>
      <c r="VDL35" s="774"/>
      <c r="VDM35" s="774"/>
      <c r="VDN35" s="774"/>
      <c r="VDO35" s="774"/>
      <c r="VDP35" s="774"/>
      <c r="VDQ35" s="774"/>
      <c r="VDR35" s="774"/>
      <c r="VDS35" s="774"/>
      <c r="VDT35" s="774"/>
      <c r="VDU35" s="774"/>
      <c r="VDV35" s="774"/>
      <c r="VDW35" s="774"/>
      <c r="VDX35" s="774"/>
      <c r="VDY35" s="774"/>
      <c r="VDZ35" s="774"/>
      <c r="VEA35" s="774"/>
      <c r="VEB35" s="774"/>
      <c r="VEC35" s="774"/>
      <c r="VED35" s="774"/>
      <c r="VEE35" s="774"/>
      <c r="VEF35" s="774"/>
      <c r="VEG35" s="774"/>
      <c r="VEH35" s="774"/>
      <c r="VEI35" s="774"/>
      <c r="VEJ35" s="774"/>
      <c r="VEK35" s="774"/>
      <c r="VEL35" s="774"/>
      <c r="VEM35" s="774"/>
      <c r="VEN35" s="774"/>
      <c r="VEO35" s="774"/>
      <c r="VEP35" s="774"/>
      <c r="VEQ35" s="774"/>
      <c r="VER35" s="774"/>
      <c r="VES35" s="774"/>
      <c r="VET35" s="774"/>
      <c r="VEU35" s="774"/>
      <c r="VEV35" s="774"/>
      <c r="VEW35" s="774"/>
      <c r="VEX35" s="774"/>
      <c r="VEY35" s="774"/>
      <c r="VEZ35" s="774"/>
      <c r="VFA35" s="774"/>
      <c r="VFB35" s="774"/>
      <c r="VFC35" s="774"/>
      <c r="VFD35" s="774"/>
      <c r="VFE35" s="774"/>
      <c r="VFF35" s="774"/>
      <c r="VFG35" s="774"/>
      <c r="VFH35" s="774"/>
      <c r="VFI35" s="774"/>
      <c r="VFJ35" s="774"/>
      <c r="VFK35" s="774"/>
      <c r="VFL35" s="774"/>
      <c r="VFM35" s="774"/>
      <c r="VFN35" s="774"/>
      <c r="VFO35" s="774"/>
      <c r="VFP35" s="774"/>
      <c r="VFQ35" s="774"/>
      <c r="VFR35" s="774"/>
      <c r="VFS35" s="774"/>
      <c r="VFT35" s="774"/>
      <c r="VFU35" s="774"/>
      <c r="VFV35" s="774"/>
      <c r="VFW35" s="774"/>
      <c r="VFX35" s="774"/>
      <c r="VFY35" s="774"/>
      <c r="VFZ35" s="774"/>
      <c r="VGA35" s="774"/>
      <c r="VGB35" s="774"/>
      <c r="VGC35" s="774"/>
      <c r="VGD35" s="774"/>
      <c r="VGE35" s="774"/>
      <c r="VGF35" s="774"/>
      <c r="VGG35" s="774"/>
      <c r="VGH35" s="774"/>
      <c r="VGI35" s="774"/>
      <c r="VGJ35" s="774"/>
      <c r="VGK35" s="774"/>
      <c r="VGL35" s="774"/>
      <c r="VGM35" s="774"/>
      <c r="VGN35" s="774"/>
      <c r="VGO35" s="774"/>
      <c r="VGP35" s="774"/>
      <c r="VGQ35" s="774"/>
      <c r="VGR35" s="774"/>
      <c r="VGS35" s="774"/>
      <c r="VGT35" s="774"/>
      <c r="VGU35" s="774"/>
      <c r="VGV35" s="774"/>
      <c r="VGW35" s="774"/>
      <c r="VGX35" s="774"/>
      <c r="VGY35" s="774"/>
      <c r="VGZ35" s="774"/>
      <c r="VHA35" s="774"/>
      <c r="VHB35" s="774"/>
      <c r="VHC35" s="774"/>
      <c r="VHD35" s="774"/>
      <c r="VHE35" s="774"/>
      <c r="VHF35" s="774"/>
      <c r="VHG35" s="774"/>
      <c r="VHH35" s="774"/>
      <c r="VHI35" s="774"/>
      <c r="VHJ35" s="774"/>
      <c r="VHK35" s="774"/>
      <c r="VHL35" s="774"/>
      <c r="VHM35" s="774"/>
      <c r="VHN35" s="774"/>
      <c r="VHO35" s="774"/>
      <c r="VHP35" s="774"/>
      <c r="VHQ35" s="774"/>
      <c r="VHR35" s="774"/>
      <c r="VHS35" s="774"/>
      <c r="VHT35" s="774"/>
      <c r="VHU35" s="774"/>
      <c r="VHV35" s="774"/>
      <c r="VHW35" s="774"/>
      <c r="VHX35" s="774"/>
      <c r="VHY35" s="774"/>
      <c r="VHZ35" s="774"/>
      <c r="VIA35" s="774"/>
      <c r="VIB35" s="774"/>
      <c r="VIC35" s="774"/>
      <c r="VID35" s="774"/>
      <c r="VIE35" s="774"/>
      <c r="VIF35" s="774"/>
      <c r="VIG35" s="774"/>
      <c r="VIH35" s="774"/>
      <c r="VII35" s="774"/>
      <c r="VIJ35" s="774"/>
      <c r="VIK35" s="774"/>
      <c r="VIL35" s="774"/>
      <c r="VIM35" s="774"/>
      <c r="VIN35" s="774"/>
      <c r="VIO35" s="774"/>
      <c r="VIP35" s="774"/>
      <c r="VIQ35" s="774"/>
      <c r="VIR35" s="774"/>
      <c r="VIS35" s="774"/>
      <c r="VIT35" s="774"/>
      <c r="VIU35" s="774"/>
      <c r="VIV35" s="774"/>
      <c r="VIW35" s="774"/>
      <c r="VIX35" s="774"/>
      <c r="VIY35" s="774"/>
      <c r="VIZ35" s="774"/>
      <c r="VJA35" s="774"/>
      <c r="VJB35" s="774"/>
      <c r="VJC35" s="774"/>
      <c r="VJD35" s="774"/>
      <c r="VJE35" s="774"/>
      <c r="VJF35" s="774"/>
      <c r="VJG35" s="774"/>
      <c r="VJH35" s="774"/>
      <c r="VJI35" s="774"/>
      <c r="VJJ35" s="774"/>
      <c r="VJK35" s="774"/>
      <c r="VJL35" s="774"/>
      <c r="VJM35" s="774"/>
      <c r="VJN35" s="774"/>
      <c r="VJO35" s="774"/>
      <c r="VJP35" s="774"/>
      <c r="VJQ35" s="774"/>
      <c r="VJR35" s="774"/>
      <c r="VJS35" s="774"/>
      <c r="VJT35" s="774"/>
      <c r="VJU35" s="774"/>
      <c r="VJV35" s="774"/>
      <c r="VJW35" s="774"/>
      <c r="VJX35" s="774"/>
      <c r="VJY35" s="774"/>
      <c r="VJZ35" s="774"/>
      <c r="VKA35" s="774"/>
      <c r="VKB35" s="774"/>
      <c r="VKC35" s="774"/>
      <c r="VKD35" s="774"/>
      <c r="VKE35" s="774"/>
      <c r="VKF35" s="774"/>
      <c r="VKG35" s="774"/>
      <c r="VKH35" s="774"/>
      <c r="VKI35" s="774"/>
      <c r="VKJ35" s="774"/>
      <c r="VKK35" s="774"/>
      <c r="VKL35" s="774"/>
      <c r="VKM35" s="774"/>
      <c r="VKN35" s="774"/>
      <c r="VKO35" s="774"/>
      <c r="VKP35" s="774"/>
      <c r="VKQ35" s="774"/>
      <c r="VKR35" s="774"/>
      <c r="VKS35" s="774"/>
      <c r="VKT35" s="774"/>
      <c r="VKU35" s="774"/>
      <c r="VKV35" s="774"/>
      <c r="VKW35" s="774"/>
      <c r="VKX35" s="774"/>
      <c r="VKY35" s="774"/>
      <c r="VKZ35" s="774"/>
      <c r="VLA35" s="774"/>
      <c r="VLB35" s="774"/>
      <c r="VLC35" s="774"/>
      <c r="VLD35" s="774"/>
      <c r="VLE35" s="774"/>
      <c r="VLF35" s="774"/>
      <c r="VLG35" s="774"/>
      <c r="VLH35" s="774"/>
      <c r="VLI35" s="774"/>
      <c r="VLJ35" s="774"/>
      <c r="VLK35" s="774"/>
      <c r="VLL35" s="774"/>
      <c r="VLM35" s="774"/>
      <c r="VLN35" s="774"/>
      <c r="VLO35" s="774"/>
      <c r="VLP35" s="774"/>
      <c r="VLQ35" s="774"/>
      <c r="VLR35" s="774"/>
      <c r="VLS35" s="774"/>
      <c r="VLT35" s="774"/>
      <c r="VLU35" s="774"/>
      <c r="VLV35" s="774"/>
      <c r="VLW35" s="774"/>
      <c r="VLX35" s="774"/>
      <c r="VLY35" s="774"/>
      <c r="VLZ35" s="774"/>
      <c r="VMA35" s="774"/>
      <c r="VMB35" s="774"/>
      <c r="VMC35" s="774"/>
      <c r="VMD35" s="774"/>
      <c r="VME35" s="774"/>
      <c r="VMF35" s="774"/>
      <c r="VMG35" s="774"/>
      <c r="VMH35" s="774"/>
      <c r="VMI35" s="774"/>
      <c r="VMJ35" s="774"/>
      <c r="VMK35" s="774"/>
      <c r="VML35" s="774"/>
      <c r="VMM35" s="774"/>
      <c r="VMN35" s="774"/>
      <c r="VMO35" s="774"/>
      <c r="VMP35" s="774"/>
      <c r="VMQ35" s="774"/>
      <c r="VMR35" s="774"/>
      <c r="VMS35" s="774"/>
      <c r="VMT35" s="774"/>
      <c r="VMU35" s="774"/>
      <c r="VMV35" s="774"/>
      <c r="VMW35" s="774"/>
      <c r="VMX35" s="774"/>
      <c r="VMY35" s="774"/>
      <c r="VMZ35" s="774"/>
      <c r="VNA35" s="774"/>
      <c r="VNB35" s="774"/>
      <c r="VNC35" s="774"/>
      <c r="VND35" s="774"/>
      <c r="VNE35" s="774"/>
      <c r="VNF35" s="774"/>
      <c r="VNG35" s="774"/>
      <c r="VNH35" s="774"/>
      <c r="VNI35" s="774"/>
      <c r="VNJ35" s="774"/>
      <c r="VNK35" s="774"/>
      <c r="VNL35" s="774"/>
      <c r="VNM35" s="774"/>
      <c r="VNN35" s="774"/>
      <c r="VNO35" s="774"/>
      <c r="VNP35" s="774"/>
      <c r="VNQ35" s="774"/>
      <c r="VNR35" s="774"/>
      <c r="VNS35" s="774"/>
      <c r="VNT35" s="774"/>
      <c r="VNU35" s="774"/>
      <c r="VNV35" s="774"/>
      <c r="VNW35" s="774"/>
      <c r="VNX35" s="774"/>
      <c r="VNY35" s="774"/>
      <c r="VNZ35" s="774"/>
      <c r="VOA35" s="774"/>
      <c r="VOB35" s="774"/>
      <c r="VOC35" s="774"/>
      <c r="VOD35" s="774"/>
      <c r="VOE35" s="774"/>
      <c r="VOF35" s="774"/>
      <c r="VOG35" s="774"/>
      <c r="VOH35" s="774"/>
      <c r="VOI35" s="774"/>
      <c r="VOJ35" s="774"/>
      <c r="VOK35" s="774"/>
      <c r="VOL35" s="774"/>
      <c r="VOM35" s="774"/>
      <c r="VON35" s="774"/>
      <c r="VOO35" s="774"/>
      <c r="VOP35" s="774"/>
      <c r="VOQ35" s="774"/>
      <c r="VOR35" s="774"/>
      <c r="VOS35" s="774"/>
      <c r="VOT35" s="774"/>
      <c r="VOU35" s="774"/>
      <c r="VOV35" s="774"/>
      <c r="VOW35" s="774"/>
      <c r="VOX35" s="774"/>
      <c r="VOY35" s="774"/>
      <c r="VOZ35" s="774"/>
      <c r="VPA35" s="774"/>
      <c r="VPB35" s="774"/>
      <c r="VPC35" s="774"/>
      <c r="VPD35" s="774"/>
      <c r="VPE35" s="774"/>
      <c r="VPF35" s="774"/>
      <c r="VPG35" s="774"/>
      <c r="VPH35" s="774"/>
      <c r="VPI35" s="774"/>
      <c r="VPJ35" s="774"/>
      <c r="VPK35" s="774"/>
      <c r="VPL35" s="774"/>
      <c r="VPM35" s="774"/>
      <c r="VPN35" s="774"/>
      <c r="VPO35" s="774"/>
      <c r="VPP35" s="774"/>
      <c r="VPQ35" s="774"/>
      <c r="VPR35" s="774"/>
      <c r="VPS35" s="774"/>
      <c r="VPT35" s="774"/>
      <c r="VPU35" s="774"/>
      <c r="VPV35" s="774"/>
      <c r="VPW35" s="774"/>
      <c r="VPX35" s="774"/>
      <c r="VPY35" s="774"/>
      <c r="VPZ35" s="774"/>
      <c r="VQA35" s="774"/>
      <c r="VQB35" s="774"/>
      <c r="VQC35" s="774"/>
      <c r="VQD35" s="774"/>
      <c r="VQE35" s="774"/>
      <c r="VQF35" s="774"/>
      <c r="VQG35" s="774"/>
      <c r="VQH35" s="774"/>
      <c r="VQI35" s="774"/>
      <c r="VQJ35" s="774"/>
      <c r="VQK35" s="774"/>
      <c r="VQL35" s="774"/>
      <c r="VQM35" s="774"/>
      <c r="VQN35" s="774"/>
      <c r="VQO35" s="774"/>
      <c r="VQP35" s="774"/>
      <c r="VQQ35" s="774"/>
      <c r="VQR35" s="774"/>
      <c r="VQS35" s="774"/>
      <c r="VQT35" s="774"/>
      <c r="VQU35" s="774"/>
      <c r="VQV35" s="774"/>
      <c r="VQW35" s="774"/>
      <c r="VQX35" s="774"/>
      <c r="VQY35" s="774"/>
      <c r="VQZ35" s="774"/>
      <c r="VRA35" s="774"/>
      <c r="VRB35" s="774"/>
      <c r="VRC35" s="774"/>
      <c r="VRD35" s="774"/>
      <c r="VRE35" s="774"/>
      <c r="VRF35" s="774"/>
      <c r="VRG35" s="774"/>
      <c r="VRH35" s="774"/>
      <c r="VRI35" s="774"/>
      <c r="VRJ35" s="774"/>
      <c r="VRK35" s="774"/>
      <c r="VRL35" s="774"/>
      <c r="VRM35" s="774"/>
      <c r="VRN35" s="774"/>
      <c r="VRO35" s="774"/>
      <c r="VRP35" s="774"/>
      <c r="VRQ35" s="774"/>
      <c r="VRR35" s="774"/>
      <c r="VRS35" s="774"/>
      <c r="VRT35" s="774"/>
      <c r="VRU35" s="774"/>
      <c r="VRV35" s="774"/>
      <c r="VRW35" s="774"/>
      <c r="VRX35" s="774"/>
      <c r="VRY35" s="774"/>
      <c r="VRZ35" s="774"/>
      <c r="VSA35" s="774"/>
      <c r="VSB35" s="774"/>
      <c r="VSC35" s="774"/>
      <c r="VSD35" s="774"/>
      <c r="VSE35" s="774"/>
      <c r="VSF35" s="774"/>
      <c r="VSG35" s="774"/>
      <c r="VSH35" s="774"/>
      <c r="VSI35" s="774"/>
      <c r="VSJ35" s="774"/>
      <c r="VSK35" s="774"/>
      <c r="VSL35" s="774"/>
      <c r="VSM35" s="774"/>
      <c r="VSN35" s="774"/>
      <c r="VSO35" s="774"/>
      <c r="VSP35" s="774"/>
      <c r="VSQ35" s="774"/>
      <c r="VSR35" s="774"/>
      <c r="VSS35" s="774"/>
      <c r="VST35" s="774"/>
      <c r="VSU35" s="774"/>
      <c r="VSV35" s="774"/>
      <c r="VSW35" s="774"/>
      <c r="VSX35" s="774"/>
      <c r="VSY35" s="774"/>
      <c r="VSZ35" s="774"/>
      <c r="VTA35" s="774"/>
      <c r="VTB35" s="774"/>
      <c r="VTC35" s="774"/>
      <c r="VTD35" s="774"/>
      <c r="VTE35" s="774"/>
      <c r="VTF35" s="774"/>
      <c r="VTG35" s="774"/>
      <c r="VTH35" s="774"/>
      <c r="VTI35" s="774"/>
      <c r="VTJ35" s="774"/>
      <c r="VTK35" s="774"/>
      <c r="VTL35" s="774"/>
      <c r="VTM35" s="774"/>
      <c r="VTN35" s="774"/>
      <c r="VTO35" s="774"/>
      <c r="VTP35" s="774"/>
      <c r="VTQ35" s="774"/>
      <c r="VTR35" s="774"/>
      <c r="VTS35" s="774"/>
      <c r="VTT35" s="774"/>
      <c r="VTU35" s="774"/>
      <c r="VTV35" s="774"/>
      <c r="VTW35" s="774"/>
      <c r="VTX35" s="774"/>
      <c r="VTY35" s="774"/>
      <c r="VTZ35" s="774"/>
      <c r="VUA35" s="774"/>
      <c r="VUB35" s="774"/>
      <c r="VUC35" s="774"/>
      <c r="VUD35" s="774"/>
      <c r="VUE35" s="774"/>
      <c r="VUF35" s="774"/>
      <c r="VUG35" s="774"/>
      <c r="VUH35" s="774"/>
      <c r="VUI35" s="774"/>
      <c r="VUJ35" s="774"/>
      <c r="VUK35" s="774"/>
      <c r="VUL35" s="774"/>
      <c r="VUM35" s="774"/>
      <c r="VUN35" s="774"/>
      <c r="VUO35" s="774"/>
      <c r="VUP35" s="774"/>
      <c r="VUQ35" s="774"/>
      <c r="VUR35" s="774"/>
      <c r="VUS35" s="774"/>
      <c r="VUT35" s="774"/>
      <c r="VUU35" s="774"/>
      <c r="VUV35" s="774"/>
      <c r="VUW35" s="774"/>
      <c r="VUX35" s="774"/>
      <c r="VUY35" s="774"/>
      <c r="VUZ35" s="774"/>
      <c r="VVA35" s="774"/>
      <c r="VVB35" s="774"/>
      <c r="VVC35" s="774"/>
      <c r="VVD35" s="774"/>
      <c r="VVE35" s="774"/>
      <c r="VVF35" s="774"/>
      <c r="VVG35" s="774"/>
      <c r="VVH35" s="774"/>
      <c r="VVI35" s="774"/>
      <c r="VVJ35" s="774"/>
      <c r="VVK35" s="774"/>
      <c r="VVL35" s="774"/>
      <c r="VVM35" s="774"/>
      <c r="VVN35" s="774"/>
      <c r="VVO35" s="774"/>
      <c r="VVP35" s="774"/>
      <c r="VVQ35" s="774"/>
      <c r="VVR35" s="774"/>
      <c r="VVS35" s="774"/>
      <c r="VVT35" s="774"/>
      <c r="VVU35" s="774"/>
      <c r="VVV35" s="774"/>
      <c r="VVW35" s="774"/>
      <c r="VVX35" s="774"/>
      <c r="VVY35" s="774"/>
      <c r="VVZ35" s="774"/>
      <c r="VWA35" s="774"/>
      <c r="VWB35" s="774"/>
      <c r="VWC35" s="774"/>
      <c r="VWD35" s="774"/>
      <c r="VWE35" s="774"/>
      <c r="VWF35" s="774"/>
      <c r="VWG35" s="774"/>
      <c r="VWH35" s="774"/>
      <c r="VWI35" s="774"/>
      <c r="VWJ35" s="774"/>
      <c r="VWK35" s="774"/>
      <c r="VWL35" s="774"/>
      <c r="VWM35" s="774"/>
      <c r="VWN35" s="774"/>
      <c r="VWO35" s="774"/>
      <c r="VWP35" s="774"/>
      <c r="VWQ35" s="774"/>
      <c r="VWR35" s="774"/>
      <c r="VWS35" s="774"/>
      <c r="VWT35" s="774"/>
      <c r="VWU35" s="774"/>
      <c r="VWV35" s="774"/>
      <c r="VWW35" s="774"/>
      <c r="VWX35" s="774"/>
      <c r="VWY35" s="774"/>
      <c r="VWZ35" s="774"/>
      <c r="VXA35" s="774"/>
      <c r="VXB35" s="774"/>
      <c r="VXC35" s="774"/>
      <c r="VXD35" s="774"/>
      <c r="VXE35" s="774"/>
      <c r="VXF35" s="774"/>
      <c r="VXG35" s="774"/>
      <c r="VXH35" s="774"/>
      <c r="VXI35" s="774"/>
      <c r="VXJ35" s="774"/>
      <c r="VXK35" s="774"/>
      <c r="VXL35" s="774"/>
      <c r="VXM35" s="774"/>
      <c r="VXN35" s="774"/>
      <c r="VXO35" s="774"/>
      <c r="VXP35" s="774"/>
      <c r="VXQ35" s="774"/>
      <c r="VXR35" s="774"/>
      <c r="VXS35" s="774"/>
      <c r="VXT35" s="774"/>
      <c r="VXU35" s="774"/>
      <c r="VXV35" s="774"/>
      <c r="VXW35" s="774"/>
      <c r="VXX35" s="774"/>
      <c r="VXY35" s="774"/>
      <c r="VXZ35" s="774"/>
      <c r="VYA35" s="774"/>
      <c r="VYB35" s="774"/>
      <c r="VYC35" s="774"/>
      <c r="VYD35" s="774"/>
      <c r="VYE35" s="774"/>
      <c r="VYF35" s="774"/>
      <c r="VYG35" s="774"/>
      <c r="VYH35" s="774"/>
      <c r="VYI35" s="774"/>
      <c r="VYJ35" s="774"/>
      <c r="VYK35" s="774"/>
      <c r="VYL35" s="774"/>
      <c r="VYM35" s="774"/>
      <c r="VYN35" s="774"/>
      <c r="VYO35" s="774"/>
      <c r="VYP35" s="774"/>
      <c r="VYQ35" s="774"/>
      <c r="VYR35" s="774"/>
      <c r="VYS35" s="774"/>
      <c r="VYT35" s="774"/>
      <c r="VYU35" s="774"/>
      <c r="VYV35" s="774"/>
      <c r="VYW35" s="774"/>
      <c r="VYX35" s="774"/>
      <c r="VYY35" s="774"/>
      <c r="VYZ35" s="774"/>
      <c r="VZA35" s="774"/>
      <c r="VZB35" s="774"/>
      <c r="VZC35" s="774"/>
      <c r="VZD35" s="774"/>
      <c r="VZE35" s="774"/>
      <c r="VZF35" s="774"/>
      <c r="VZG35" s="774"/>
      <c r="VZH35" s="774"/>
      <c r="VZI35" s="774"/>
      <c r="VZJ35" s="774"/>
      <c r="VZK35" s="774"/>
      <c r="VZL35" s="774"/>
      <c r="VZM35" s="774"/>
      <c r="VZN35" s="774"/>
      <c r="VZO35" s="774"/>
      <c r="VZP35" s="774"/>
      <c r="VZQ35" s="774"/>
      <c r="VZR35" s="774"/>
      <c r="VZS35" s="774"/>
      <c r="VZT35" s="774"/>
      <c r="VZU35" s="774"/>
      <c r="VZV35" s="774"/>
      <c r="VZW35" s="774"/>
      <c r="VZX35" s="774"/>
      <c r="VZY35" s="774"/>
      <c r="VZZ35" s="774"/>
      <c r="WAA35" s="774"/>
      <c r="WAB35" s="774"/>
      <c r="WAC35" s="774"/>
      <c r="WAD35" s="774"/>
      <c r="WAE35" s="774"/>
      <c r="WAF35" s="774"/>
      <c r="WAG35" s="774"/>
      <c r="WAH35" s="774"/>
      <c r="WAI35" s="774"/>
      <c r="WAJ35" s="774"/>
      <c r="WAK35" s="774"/>
      <c r="WAL35" s="774"/>
      <c r="WAM35" s="774"/>
      <c r="WAN35" s="774"/>
      <c r="WAO35" s="774"/>
      <c r="WAP35" s="774"/>
      <c r="WAQ35" s="774"/>
      <c r="WAR35" s="774"/>
      <c r="WAS35" s="774"/>
      <c r="WAT35" s="774"/>
      <c r="WAU35" s="774"/>
      <c r="WAV35" s="774"/>
      <c r="WAW35" s="774"/>
      <c r="WAX35" s="774"/>
      <c r="WAY35" s="774"/>
      <c r="WAZ35" s="774"/>
      <c r="WBA35" s="774"/>
      <c r="WBB35" s="774"/>
      <c r="WBC35" s="774"/>
      <c r="WBD35" s="774"/>
      <c r="WBE35" s="774"/>
      <c r="WBF35" s="774"/>
      <c r="WBG35" s="774"/>
      <c r="WBH35" s="774"/>
      <c r="WBI35" s="774"/>
      <c r="WBJ35" s="774"/>
      <c r="WBK35" s="774"/>
      <c r="WBL35" s="774"/>
      <c r="WBM35" s="774"/>
      <c r="WBN35" s="774"/>
      <c r="WBO35" s="774"/>
      <c r="WBP35" s="774"/>
      <c r="WBQ35" s="774"/>
      <c r="WBR35" s="774"/>
      <c r="WBS35" s="774"/>
      <c r="WBT35" s="774"/>
      <c r="WBU35" s="774"/>
      <c r="WBV35" s="774"/>
      <c r="WBW35" s="774"/>
      <c r="WBX35" s="774"/>
      <c r="WBY35" s="774"/>
      <c r="WBZ35" s="774"/>
      <c r="WCA35" s="774"/>
      <c r="WCB35" s="774"/>
      <c r="WCC35" s="774"/>
      <c r="WCD35" s="774"/>
      <c r="WCE35" s="774"/>
      <c r="WCF35" s="774"/>
      <c r="WCG35" s="774"/>
      <c r="WCH35" s="774"/>
      <c r="WCI35" s="774"/>
      <c r="WCJ35" s="774"/>
      <c r="WCK35" s="774"/>
      <c r="WCL35" s="774"/>
      <c r="WCM35" s="774"/>
      <c r="WCN35" s="774"/>
      <c r="WCO35" s="774"/>
      <c r="WCP35" s="774"/>
      <c r="WCQ35" s="774"/>
      <c r="WCR35" s="774"/>
      <c r="WCS35" s="774"/>
      <c r="WCT35" s="774"/>
      <c r="WCU35" s="774"/>
      <c r="WCV35" s="774"/>
      <c r="WCW35" s="774"/>
      <c r="WCX35" s="774"/>
      <c r="WCY35" s="774"/>
      <c r="WCZ35" s="774"/>
      <c r="WDA35" s="774"/>
      <c r="WDB35" s="774"/>
      <c r="WDC35" s="774"/>
      <c r="WDD35" s="774"/>
      <c r="WDE35" s="774"/>
      <c r="WDF35" s="774"/>
      <c r="WDG35" s="774"/>
      <c r="WDH35" s="774"/>
      <c r="WDI35" s="774"/>
      <c r="WDJ35" s="774"/>
      <c r="WDK35" s="774"/>
      <c r="WDL35" s="774"/>
      <c r="WDM35" s="774"/>
      <c r="WDN35" s="774"/>
      <c r="WDO35" s="774"/>
      <c r="WDP35" s="774"/>
      <c r="WDQ35" s="774"/>
      <c r="WDR35" s="774"/>
      <c r="WDS35" s="774"/>
      <c r="WDT35" s="774"/>
      <c r="WDU35" s="774"/>
      <c r="WDV35" s="774"/>
      <c r="WDW35" s="774"/>
      <c r="WDX35" s="774"/>
      <c r="WDY35" s="774"/>
      <c r="WDZ35" s="774"/>
      <c r="WEA35" s="774"/>
      <c r="WEB35" s="774"/>
      <c r="WEC35" s="774"/>
      <c r="WED35" s="774"/>
      <c r="WEE35" s="774"/>
      <c r="WEF35" s="774"/>
      <c r="WEG35" s="774"/>
      <c r="WEH35" s="774"/>
      <c r="WEI35" s="774"/>
      <c r="WEJ35" s="774"/>
      <c r="WEK35" s="774"/>
      <c r="WEL35" s="774"/>
      <c r="WEM35" s="774"/>
      <c r="WEN35" s="774"/>
      <c r="WEO35" s="774"/>
      <c r="WEP35" s="774"/>
      <c r="WEQ35" s="774"/>
      <c r="WER35" s="774"/>
      <c r="WES35" s="774"/>
      <c r="WET35" s="774"/>
      <c r="WEU35" s="774"/>
      <c r="WEV35" s="774"/>
      <c r="WEW35" s="774"/>
      <c r="WEX35" s="774"/>
      <c r="WEY35" s="774"/>
      <c r="WEZ35" s="774"/>
      <c r="WFA35" s="774"/>
      <c r="WFB35" s="774"/>
      <c r="WFC35" s="774"/>
      <c r="WFD35" s="774"/>
      <c r="WFE35" s="774"/>
      <c r="WFF35" s="774"/>
      <c r="WFG35" s="774"/>
      <c r="WFH35" s="774"/>
      <c r="WFI35" s="774"/>
      <c r="WFJ35" s="774"/>
      <c r="WFK35" s="774"/>
      <c r="WFL35" s="774"/>
      <c r="WFM35" s="774"/>
      <c r="WFN35" s="774"/>
      <c r="WFO35" s="774"/>
      <c r="WFP35" s="774"/>
      <c r="WFQ35" s="774"/>
      <c r="WFR35" s="774"/>
      <c r="WFS35" s="774"/>
      <c r="WFT35" s="774"/>
      <c r="WFU35" s="774"/>
      <c r="WFV35" s="774"/>
      <c r="WFW35" s="774"/>
      <c r="WFX35" s="774"/>
      <c r="WFY35" s="774"/>
      <c r="WFZ35" s="774"/>
      <c r="WGA35" s="774"/>
      <c r="WGB35" s="774"/>
      <c r="WGC35" s="774"/>
      <c r="WGD35" s="774"/>
      <c r="WGE35" s="774"/>
      <c r="WGF35" s="774"/>
      <c r="WGG35" s="774"/>
      <c r="WGH35" s="774"/>
      <c r="WGI35" s="774"/>
      <c r="WGJ35" s="774"/>
      <c r="WGK35" s="774"/>
      <c r="WGL35" s="774"/>
      <c r="WGM35" s="774"/>
      <c r="WGN35" s="774"/>
      <c r="WGO35" s="774"/>
      <c r="WGP35" s="774"/>
      <c r="WGQ35" s="774"/>
      <c r="WGR35" s="774"/>
      <c r="WGS35" s="774"/>
      <c r="WGT35" s="774"/>
      <c r="WGU35" s="774"/>
      <c r="WGV35" s="774"/>
      <c r="WGW35" s="774"/>
      <c r="WGX35" s="774"/>
      <c r="WGY35" s="774"/>
      <c r="WGZ35" s="774"/>
      <c r="WHA35" s="774"/>
      <c r="WHB35" s="774"/>
      <c r="WHC35" s="774"/>
      <c r="WHD35" s="774"/>
      <c r="WHE35" s="774"/>
      <c r="WHF35" s="774"/>
      <c r="WHG35" s="774"/>
      <c r="WHH35" s="774"/>
      <c r="WHI35" s="774"/>
      <c r="WHJ35" s="774"/>
      <c r="WHK35" s="774"/>
      <c r="WHL35" s="774"/>
      <c r="WHM35" s="774"/>
      <c r="WHN35" s="774"/>
      <c r="WHO35" s="774"/>
      <c r="WHP35" s="774"/>
      <c r="WHQ35" s="774"/>
      <c r="WHR35" s="774"/>
      <c r="WHS35" s="774"/>
      <c r="WHT35" s="774"/>
      <c r="WHU35" s="774"/>
      <c r="WHV35" s="774"/>
      <c r="WHW35" s="774"/>
      <c r="WHX35" s="774"/>
      <c r="WHY35" s="774"/>
      <c r="WHZ35" s="774"/>
      <c r="WIA35" s="774"/>
      <c r="WIB35" s="774"/>
      <c r="WIC35" s="774"/>
      <c r="WID35" s="774"/>
      <c r="WIE35" s="774"/>
      <c r="WIF35" s="774"/>
      <c r="WIG35" s="774"/>
      <c r="WIH35" s="774"/>
      <c r="WII35" s="774"/>
      <c r="WIJ35" s="774"/>
      <c r="WIK35" s="774"/>
      <c r="WIL35" s="774"/>
      <c r="WIM35" s="774"/>
      <c r="WIN35" s="774"/>
      <c r="WIO35" s="774"/>
      <c r="WIP35" s="774"/>
      <c r="WIQ35" s="774"/>
      <c r="WIR35" s="774"/>
      <c r="WIS35" s="774"/>
      <c r="WIT35" s="774"/>
      <c r="WIU35" s="774"/>
      <c r="WIV35" s="774"/>
      <c r="WIW35" s="774"/>
      <c r="WIX35" s="774"/>
      <c r="WIY35" s="774"/>
      <c r="WIZ35" s="774"/>
      <c r="WJA35" s="774"/>
      <c r="WJB35" s="774"/>
      <c r="WJC35" s="774"/>
      <c r="WJD35" s="774"/>
      <c r="WJE35" s="774"/>
      <c r="WJF35" s="774"/>
      <c r="WJG35" s="774"/>
      <c r="WJH35" s="774"/>
      <c r="WJI35" s="774"/>
      <c r="WJJ35" s="774"/>
      <c r="WJK35" s="774"/>
      <c r="WJL35" s="774"/>
      <c r="WJM35" s="774"/>
      <c r="WJN35" s="774"/>
      <c r="WJO35" s="774"/>
      <c r="WJP35" s="774"/>
      <c r="WJQ35" s="774"/>
      <c r="WJR35" s="774"/>
      <c r="WJS35" s="774"/>
      <c r="WJT35" s="774"/>
      <c r="WJU35" s="774"/>
      <c r="WJV35" s="774"/>
      <c r="WJW35" s="774"/>
      <c r="WJX35" s="774"/>
      <c r="WJY35" s="774"/>
      <c r="WJZ35" s="774"/>
      <c r="WKA35" s="774"/>
      <c r="WKB35" s="774"/>
      <c r="WKC35" s="774"/>
      <c r="WKD35" s="774"/>
      <c r="WKE35" s="774"/>
      <c r="WKF35" s="774"/>
      <c r="WKG35" s="774"/>
      <c r="WKH35" s="774"/>
      <c r="WKI35" s="774"/>
      <c r="WKJ35" s="774"/>
      <c r="WKK35" s="774"/>
      <c r="WKL35" s="774"/>
      <c r="WKM35" s="774"/>
      <c r="WKN35" s="774"/>
      <c r="WKO35" s="774"/>
      <c r="WKP35" s="774"/>
      <c r="WKQ35" s="774"/>
      <c r="WKR35" s="774"/>
      <c r="WKS35" s="774"/>
      <c r="WKT35" s="774"/>
      <c r="WKU35" s="774"/>
      <c r="WKV35" s="774"/>
      <c r="WKW35" s="774"/>
      <c r="WKX35" s="774"/>
      <c r="WKY35" s="774"/>
      <c r="WKZ35" s="774"/>
      <c r="WLA35" s="774"/>
      <c r="WLB35" s="774"/>
      <c r="WLC35" s="774"/>
      <c r="WLD35" s="774"/>
      <c r="WLE35" s="774"/>
      <c r="WLF35" s="774"/>
      <c r="WLG35" s="774"/>
      <c r="WLH35" s="774"/>
      <c r="WLI35" s="774"/>
      <c r="WLJ35" s="774"/>
      <c r="WLK35" s="774"/>
      <c r="WLL35" s="774"/>
      <c r="WLM35" s="774"/>
      <c r="WLN35" s="774"/>
      <c r="WLO35" s="774"/>
      <c r="WLP35" s="774"/>
      <c r="WLQ35" s="774"/>
      <c r="WLR35" s="774"/>
      <c r="WLS35" s="774"/>
      <c r="WLT35" s="774"/>
      <c r="WLU35" s="774"/>
      <c r="WLV35" s="774"/>
      <c r="WLW35" s="774"/>
      <c r="WLX35" s="774"/>
      <c r="WLY35" s="774"/>
      <c r="WLZ35" s="774"/>
      <c r="WMA35" s="774"/>
      <c r="WMB35" s="774"/>
      <c r="WMC35" s="774"/>
      <c r="WMD35" s="774"/>
      <c r="WME35" s="774"/>
      <c r="WMF35" s="774"/>
      <c r="WMG35" s="774"/>
      <c r="WMH35" s="774"/>
      <c r="WMI35" s="774"/>
      <c r="WMJ35" s="774"/>
      <c r="WMK35" s="774"/>
      <c r="WML35" s="774"/>
      <c r="WMM35" s="774"/>
      <c r="WMN35" s="774"/>
      <c r="WMO35" s="774"/>
      <c r="WMP35" s="774"/>
      <c r="WMQ35" s="774"/>
      <c r="WMR35" s="774"/>
      <c r="WMS35" s="774"/>
      <c r="WMT35" s="774"/>
      <c r="WMU35" s="774"/>
      <c r="WMV35" s="774"/>
      <c r="WMW35" s="774"/>
      <c r="WMX35" s="774"/>
      <c r="WMY35" s="774"/>
      <c r="WMZ35" s="774"/>
      <c r="WNA35" s="774"/>
      <c r="WNB35" s="774"/>
      <c r="WNC35" s="774"/>
      <c r="WND35" s="774"/>
      <c r="WNE35" s="774"/>
      <c r="WNF35" s="774"/>
      <c r="WNG35" s="774"/>
      <c r="WNH35" s="774"/>
      <c r="WNI35" s="774"/>
      <c r="WNJ35" s="774"/>
      <c r="WNK35" s="774"/>
      <c r="WNL35" s="774"/>
      <c r="WNM35" s="774"/>
      <c r="WNN35" s="774"/>
      <c r="WNO35" s="774"/>
      <c r="WNP35" s="774"/>
      <c r="WNQ35" s="774"/>
      <c r="WNR35" s="774"/>
      <c r="WNS35" s="774"/>
      <c r="WNT35" s="774"/>
      <c r="WNU35" s="774"/>
      <c r="WNV35" s="774"/>
      <c r="WNW35" s="774"/>
      <c r="WNX35" s="774"/>
      <c r="WNY35" s="774"/>
      <c r="WNZ35" s="774"/>
      <c r="WOA35" s="774"/>
      <c r="WOB35" s="774"/>
      <c r="WOC35" s="774"/>
      <c r="WOD35" s="774"/>
      <c r="WOE35" s="774"/>
      <c r="WOF35" s="774"/>
      <c r="WOG35" s="774"/>
      <c r="WOH35" s="774"/>
      <c r="WOI35" s="774"/>
      <c r="WOJ35" s="774"/>
      <c r="WOK35" s="774"/>
      <c r="WOL35" s="774"/>
      <c r="WOM35" s="774"/>
      <c r="WON35" s="774"/>
      <c r="WOO35" s="774"/>
      <c r="WOP35" s="774"/>
      <c r="WOQ35" s="774"/>
      <c r="WOR35" s="774"/>
      <c r="WOS35" s="774"/>
      <c r="WOT35" s="774"/>
      <c r="WOU35" s="774"/>
      <c r="WOV35" s="774"/>
      <c r="WOW35" s="774"/>
      <c r="WOX35" s="774"/>
      <c r="WOY35" s="774"/>
      <c r="WOZ35" s="774"/>
      <c r="WPA35" s="774"/>
      <c r="WPB35" s="774"/>
      <c r="WPC35" s="774"/>
      <c r="WPD35" s="774"/>
      <c r="WPE35" s="774"/>
      <c r="WPF35" s="774"/>
      <c r="WPG35" s="774"/>
      <c r="WPH35" s="774"/>
      <c r="WPI35" s="774"/>
      <c r="WPJ35" s="774"/>
      <c r="WPK35" s="774"/>
      <c r="WPL35" s="774"/>
      <c r="WPM35" s="774"/>
      <c r="WPN35" s="774"/>
      <c r="WPO35" s="774"/>
      <c r="WPP35" s="774"/>
      <c r="WPQ35" s="774"/>
      <c r="WPR35" s="774"/>
      <c r="WPS35" s="774"/>
      <c r="WPT35" s="774"/>
      <c r="WPU35" s="774"/>
      <c r="WPV35" s="774"/>
      <c r="WPW35" s="774"/>
      <c r="WPX35" s="774"/>
      <c r="WPY35" s="774"/>
      <c r="WPZ35" s="774"/>
      <c r="WQA35" s="774"/>
      <c r="WQB35" s="774"/>
      <c r="WQC35" s="774"/>
      <c r="WQD35" s="774"/>
      <c r="WQE35" s="774"/>
      <c r="WQF35" s="774"/>
      <c r="WQG35" s="774"/>
      <c r="WQH35" s="774"/>
      <c r="WQI35" s="774"/>
      <c r="WQJ35" s="774"/>
      <c r="WQK35" s="774"/>
      <c r="WQL35" s="774"/>
      <c r="WQM35" s="774"/>
      <c r="WQN35" s="774"/>
      <c r="WQO35" s="774"/>
      <c r="WQP35" s="774"/>
      <c r="WQQ35" s="774"/>
      <c r="WQR35" s="774"/>
      <c r="WQS35" s="774"/>
      <c r="WQT35" s="774"/>
      <c r="WQU35" s="774"/>
      <c r="WQV35" s="774"/>
      <c r="WQW35" s="774"/>
      <c r="WQX35" s="774"/>
      <c r="WQY35" s="774"/>
      <c r="WQZ35" s="774"/>
      <c r="WRA35" s="774"/>
      <c r="WRB35" s="774"/>
      <c r="WRC35" s="774"/>
      <c r="WRD35" s="774"/>
      <c r="WRE35" s="774"/>
      <c r="WRF35" s="774"/>
      <c r="WRG35" s="774"/>
      <c r="WRH35" s="774"/>
      <c r="WRI35" s="774"/>
      <c r="WRJ35" s="774"/>
      <c r="WRK35" s="774"/>
      <c r="WRL35" s="774"/>
      <c r="WRM35" s="774"/>
      <c r="WRN35" s="774"/>
      <c r="WRO35" s="774"/>
      <c r="WRP35" s="774"/>
      <c r="WRQ35" s="774"/>
      <c r="WRR35" s="774"/>
      <c r="WRS35" s="774"/>
      <c r="WRT35" s="774"/>
      <c r="WRU35" s="774"/>
      <c r="WRV35" s="774"/>
      <c r="WRW35" s="774"/>
      <c r="WRX35" s="774"/>
      <c r="WRY35" s="774"/>
      <c r="WRZ35" s="774"/>
      <c r="WSA35" s="774"/>
      <c r="WSB35" s="774"/>
      <c r="WSC35" s="774"/>
      <c r="WSD35" s="774"/>
      <c r="WSE35" s="774"/>
      <c r="WSF35" s="774"/>
      <c r="WSG35" s="774"/>
      <c r="WSH35" s="774"/>
      <c r="WSI35" s="774"/>
      <c r="WSJ35" s="774"/>
      <c r="WSK35" s="774"/>
      <c r="WSL35" s="774"/>
      <c r="WSM35" s="774"/>
      <c r="WSN35" s="774"/>
      <c r="WSO35" s="774"/>
      <c r="WSP35" s="774"/>
      <c r="WSQ35" s="774"/>
      <c r="WSR35" s="774"/>
      <c r="WSS35" s="774"/>
      <c r="WST35" s="774"/>
      <c r="WSU35" s="774"/>
      <c r="WSV35" s="774"/>
      <c r="WSW35" s="774"/>
      <c r="WSX35" s="774"/>
      <c r="WSY35" s="774"/>
      <c r="WSZ35" s="774"/>
      <c r="WTA35" s="774"/>
      <c r="WTB35" s="774"/>
      <c r="WTC35" s="774"/>
      <c r="WTD35" s="774"/>
      <c r="WTE35" s="774"/>
      <c r="WTF35" s="774"/>
      <c r="WTG35" s="774"/>
      <c r="WTH35" s="774"/>
      <c r="WTI35" s="774"/>
      <c r="WTJ35" s="774"/>
      <c r="WTK35" s="774"/>
      <c r="WTL35" s="774"/>
      <c r="WTM35" s="774"/>
      <c r="WTN35" s="774"/>
      <c r="WTO35" s="774"/>
      <c r="WTP35" s="774"/>
      <c r="WTQ35" s="774"/>
      <c r="WTR35" s="774"/>
      <c r="WTS35" s="774"/>
      <c r="WTT35" s="774"/>
      <c r="WTU35" s="774"/>
      <c r="WTV35" s="774"/>
      <c r="WTW35" s="774"/>
      <c r="WTX35" s="774"/>
      <c r="WTY35" s="774"/>
      <c r="WTZ35" s="774"/>
      <c r="WUA35" s="774"/>
      <c r="WUB35" s="774"/>
      <c r="WUC35" s="774"/>
      <c r="WUD35" s="774"/>
      <c r="WUE35" s="774"/>
      <c r="WUF35" s="774"/>
      <c r="WUG35" s="774"/>
      <c r="WUH35" s="774"/>
      <c r="WUI35" s="774"/>
      <c r="WUJ35" s="774"/>
      <c r="WUK35" s="774"/>
      <c r="WUL35" s="774"/>
      <c r="WUM35" s="774"/>
      <c r="WUN35" s="774"/>
      <c r="WUO35" s="774"/>
      <c r="WUP35" s="774"/>
      <c r="WUQ35" s="774"/>
      <c r="WUR35" s="774"/>
      <c r="WUS35" s="774"/>
      <c r="WUT35" s="774"/>
      <c r="WUU35" s="774"/>
      <c r="WUV35" s="774"/>
      <c r="WUW35" s="774"/>
      <c r="WUX35" s="774"/>
      <c r="WUY35" s="774"/>
      <c r="WUZ35" s="774"/>
      <c r="WVA35" s="774"/>
      <c r="WVB35" s="774"/>
      <c r="WVC35" s="774"/>
      <c r="WVD35" s="774"/>
      <c r="WVE35" s="774"/>
      <c r="WVF35" s="774"/>
      <c r="WVG35" s="774"/>
      <c r="WVH35" s="774"/>
      <c r="WVI35" s="774"/>
      <c r="WVJ35" s="774"/>
      <c r="WVK35" s="774"/>
      <c r="WVL35" s="774"/>
      <c r="WVM35" s="774"/>
      <c r="WVN35" s="774"/>
      <c r="WVO35" s="774"/>
      <c r="WVP35" s="774"/>
      <c r="WVQ35" s="774"/>
      <c r="WVR35" s="774"/>
      <c r="WVS35" s="774"/>
      <c r="WVT35" s="774"/>
      <c r="WVU35" s="774"/>
      <c r="WVV35" s="774"/>
      <c r="WVW35" s="774"/>
      <c r="WVX35" s="774"/>
      <c r="WVY35" s="774"/>
      <c r="WVZ35" s="774"/>
      <c r="WWA35" s="774"/>
      <c r="WWB35" s="774"/>
      <c r="WWC35" s="774"/>
      <c r="WWD35" s="774"/>
      <c r="WWE35" s="774"/>
      <c r="WWF35" s="774"/>
      <c r="WWG35" s="774"/>
      <c r="WWH35" s="774"/>
      <c r="WWI35" s="774"/>
      <c r="WWJ35" s="774"/>
      <c r="WWK35" s="774"/>
      <c r="WWL35" s="774"/>
      <c r="WWM35" s="774"/>
      <c r="WWN35" s="774"/>
      <c r="WWO35" s="774"/>
      <c r="WWP35" s="774"/>
      <c r="WWQ35" s="774"/>
      <c r="WWR35" s="774"/>
      <c r="WWS35" s="774"/>
      <c r="WWT35" s="774"/>
      <c r="WWU35" s="774"/>
      <c r="WWV35" s="774"/>
      <c r="WWW35" s="774"/>
      <c r="WWX35" s="774"/>
      <c r="WWY35" s="774"/>
      <c r="WWZ35" s="774"/>
      <c r="WXA35" s="774"/>
      <c r="WXB35" s="774"/>
      <c r="WXC35" s="774"/>
      <c r="WXD35" s="774"/>
      <c r="WXE35" s="774"/>
      <c r="WXF35" s="774"/>
      <c r="WXG35" s="774"/>
      <c r="WXH35" s="774"/>
      <c r="WXI35" s="774"/>
      <c r="WXJ35" s="774"/>
      <c r="WXK35" s="774"/>
      <c r="WXL35" s="774"/>
      <c r="WXM35" s="774"/>
      <c r="WXN35" s="774"/>
      <c r="WXO35" s="774"/>
      <c r="WXP35" s="774"/>
      <c r="WXQ35" s="774"/>
      <c r="WXR35" s="774"/>
      <c r="WXS35" s="774"/>
      <c r="WXT35" s="774"/>
      <c r="WXU35" s="774"/>
      <c r="WXV35" s="774"/>
      <c r="WXW35" s="774"/>
      <c r="WXX35" s="774"/>
      <c r="WXY35" s="774"/>
      <c r="WXZ35" s="774"/>
      <c r="WYA35" s="774"/>
      <c r="WYB35" s="774"/>
      <c r="WYC35" s="774"/>
      <c r="WYD35" s="774"/>
      <c r="WYE35" s="774"/>
      <c r="WYF35" s="774"/>
      <c r="WYG35" s="774"/>
      <c r="WYH35" s="774"/>
      <c r="WYI35" s="774"/>
      <c r="WYJ35" s="774"/>
      <c r="WYK35" s="774"/>
      <c r="WYL35" s="774"/>
      <c r="WYM35" s="774"/>
      <c r="WYN35" s="774"/>
      <c r="WYO35" s="774"/>
      <c r="WYP35" s="774"/>
      <c r="WYQ35" s="774"/>
      <c r="WYR35" s="774"/>
      <c r="WYS35" s="774"/>
      <c r="WYT35" s="774"/>
      <c r="WYU35" s="774"/>
      <c r="WYV35" s="774"/>
      <c r="WYW35" s="774"/>
      <c r="WYX35" s="774"/>
      <c r="WYY35" s="774"/>
      <c r="WYZ35" s="774"/>
      <c r="WZA35" s="774"/>
      <c r="WZB35" s="774"/>
      <c r="WZC35" s="774"/>
      <c r="WZD35" s="774"/>
      <c r="WZE35" s="774"/>
      <c r="WZF35" s="774"/>
      <c r="WZG35" s="774"/>
      <c r="WZH35" s="774"/>
      <c r="WZI35" s="774"/>
      <c r="WZJ35" s="774"/>
      <c r="WZK35" s="774"/>
      <c r="WZL35" s="774"/>
      <c r="WZM35" s="774"/>
      <c r="WZN35" s="774"/>
      <c r="WZO35" s="774"/>
      <c r="WZP35" s="774"/>
      <c r="WZQ35" s="774"/>
      <c r="WZR35" s="774"/>
      <c r="WZS35" s="774"/>
      <c r="WZT35" s="774"/>
      <c r="WZU35" s="774"/>
      <c r="WZV35" s="774"/>
      <c r="WZW35" s="774"/>
      <c r="WZX35" s="774"/>
      <c r="WZY35" s="774"/>
      <c r="WZZ35" s="774"/>
      <c r="XAA35" s="774"/>
      <c r="XAB35" s="774"/>
      <c r="XAC35" s="774"/>
      <c r="XAD35" s="774"/>
      <c r="XAE35" s="774"/>
      <c r="XAF35" s="774"/>
      <c r="XAG35" s="774"/>
      <c r="XAH35" s="774"/>
      <c r="XAI35" s="774"/>
      <c r="XAJ35" s="774"/>
      <c r="XAK35" s="774"/>
      <c r="XAL35" s="774"/>
      <c r="XAM35" s="774"/>
      <c r="XAN35" s="774"/>
      <c r="XAO35" s="774"/>
      <c r="XAP35" s="774"/>
      <c r="XAQ35" s="774"/>
      <c r="XAR35" s="774"/>
      <c r="XAS35" s="774"/>
      <c r="XAT35" s="774"/>
      <c r="XAU35" s="774"/>
      <c r="XAV35" s="774"/>
      <c r="XAW35" s="774"/>
      <c r="XAX35" s="774"/>
      <c r="XAY35" s="774"/>
      <c r="XAZ35" s="774"/>
      <c r="XBA35" s="774"/>
      <c r="XBB35" s="774"/>
      <c r="XBC35" s="774"/>
      <c r="XBD35" s="774"/>
      <c r="XBE35" s="774"/>
      <c r="XBF35" s="774"/>
      <c r="XBG35" s="774"/>
      <c r="XBH35" s="774"/>
      <c r="XBI35" s="774"/>
      <c r="XBJ35" s="774"/>
      <c r="XBK35" s="774"/>
      <c r="XBL35" s="774"/>
      <c r="XBM35" s="774"/>
      <c r="XBN35" s="774"/>
    </row>
    <row r="36" spans="1:16290" s="900" customFormat="1" ht="25" customHeight="1">
      <c r="A36" s="788" t="s">
        <v>1389</v>
      </c>
      <c r="B36" s="787">
        <v>0.3241979341722383</v>
      </c>
      <c r="C36" s="787" t="s">
        <v>1293</v>
      </c>
      <c r="D36" s="787" t="s">
        <v>1293</v>
      </c>
      <c r="E36" s="849" t="s">
        <v>1293</v>
      </c>
      <c r="F36" s="904"/>
      <c r="G36" s="784"/>
      <c r="H36" s="846" t="s">
        <v>1293</v>
      </c>
      <c r="I36" s="846" t="s">
        <v>1293</v>
      </c>
      <c r="J36" s="846" t="s">
        <v>1293</v>
      </c>
      <c r="K36" s="846" t="s">
        <v>1293</v>
      </c>
      <c r="L36" s="846" t="s">
        <v>1293</v>
      </c>
      <c r="M36" s="846" t="s">
        <v>1293</v>
      </c>
      <c r="N36" s="846" t="s">
        <v>1293</v>
      </c>
      <c r="O36" s="846" t="s">
        <v>1293</v>
      </c>
      <c r="P36" s="768" t="s">
        <v>1293</v>
      </c>
    </row>
    <row r="37" spans="1:16290" s="900" customFormat="1" ht="25" customHeight="1">
      <c r="A37" s="788" t="s">
        <v>1388</v>
      </c>
      <c r="B37" s="787">
        <v>0.81391505363624472</v>
      </c>
      <c r="C37" s="787" t="s">
        <v>1293</v>
      </c>
      <c r="D37" s="787" t="s">
        <v>1293</v>
      </c>
      <c r="E37" s="849" t="s">
        <v>1293</v>
      </c>
      <c r="F37" s="904"/>
      <c r="G37" s="784"/>
      <c r="H37" s="846" t="s">
        <v>1293</v>
      </c>
      <c r="I37" s="846" t="s">
        <v>1293</v>
      </c>
      <c r="J37" s="846" t="s">
        <v>1293</v>
      </c>
      <c r="K37" s="846" t="s">
        <v>1293</v>
      </c>
      <c r="L37" s="846" t="s">
        <v>1293</v>
      </c>
      <c r="M37" s="846" t="s">
        <v>1293</v>
      </c>
      <c r="N37" s="846" t="s">
        <v>1293</v>
      </c>
      <c r="O37" s="846" t="s">
        <v>1293</v>
      </c>
      <c r="P37" s="768" t="s">
        <v>1293</v>
      </c>
    </row>
    <row r="38" spans="1:16290" s="900" customFormat="1" ht="25" customHeight="1">
      <c r="A38" s="788" t="s">
        <v>1387</v>
      </c>
      <c r="B38" s="787">
        <v>0.54186365207090303</v>
      </c>
      <c r="C38" s="787" t="s">
        <v>1293</v>
      </c>
      <c r="D38" s="787" t="s">
        <v>1293</v>
      </c>
      <c r="E38" s="849" t="s">
        <v>1293</v>
      </c>
      <c r="F38" s="904"/>
      <c r="G38" s="784"/>
      <c r="H38" s="846" t="s">
        <v>1293</v>
      </c>
      <c r="I38" s="846" t="s">
        <v>1293</v>
      </c>
      <c r="J38" s="846" t="s">
        <v>1293</v>
      </c>
      <c r="K38" s="846" t="s">
        <v>1293</v>
      </c>
      <c r="L38" s="846" t="s">
        <v>1293</v>
      </c>
      <c r="M38" s="846" t="s">
        <v>1293</v>
      </c>
      <c r="N38" s="846" t="s">
        <v>1293</v>
      </c>
      <c r="O38" s="846" t="s">
        <v>1293</v>
      </c>
      <c r="P38" s="768" t="s">
        <v>1293</v>
      </c>
    </row>
    <row r="39" spans="1:16290" s="900" customFormat="1" ht="25" customHeight="1">
      <c r="A39" s="788" t="s">
        <v>1386</v>
      </c>
      <c r="B39" s="787">
        <v>1.7597847798106234</v>
      </c>
      <c r="C39" s="787" t="s">
        <v>1293</v>
      </c>
      <c r="D39" s="787" t="s">
        <v>1293</v>
      </c>
      <c r="E39" s="772" t="s">
        <v>1293</v>
      </c>
      <c r="F39" s="903"/>
      <c r="G39" s="847"/>
      <c r="H39" s="846" t="s">
        <v>1293</v>
      </c>
      <c r="I39" s="846" t="s">
        <v>1293</v>
      </c>
      <c r="J39" s="846" t="s">
        <v>1293</v>
      </c>
      <c r="K39" s="846" t="s">
        <v>1293</v>
      </c>
      <c r="L39" s="846" t="s">
        <v>1293</v>
      </c>
      <c r="M39" s="846" t="s">
        <v>1293</v>
      </c>
      <c r="N39" s="846" t="s">
        <v>1293</v>
      </c>
      <c r="O39" s="846" t="s">
        <v>1293</v>
      </c>
      <c r="P39" s="768" t="s">
        <v>1293</v>
      </c>
    </row>
    <row r="40" spans="1:16290" s="900" customFormat="1" ht="25" customHeight="1">
      <c r="A40" s="902"/>
      <c r="B40" s="901"/>
      <c r="C40" s="901"/>
      <c r="D40" s="901"/>
      <c r="E40" s="894"/>
      <c r="F40" s="850"/>
      <c r="G40" s="850"/>
      <c r="H40" s="846"/>
      <c r="I40" s="846"/>
      <c r="J40" s="846"/>
      <c r="K40" s="846"/>
      <c r="L40" s="846"/>
      <c r="M40" s="846"/>
      <c r="N40" s="846"/>
      <c r="O40" s="846"/>
      <c r="P40" s="737"/>
    </row>
    <row r="41" spans="1:16290" ht="25" customHeight="1">
      <c r="A41" s="826"/>
      <c r="B41" s="824"/>
      <c r="C41" s="824"/>
      <c r="D41" s="824"/>
      <c r="E41" s="824"/>
      <c r="F41" s="824"/>
      <c r="G41" s="824"/>
      <c r="H41" s="824"/>
      <c r="I41" s="824"/>
      <c r="J41" s="824"/>
      <c r="K41" s="824"/>
      <c r="L41" s="824"/>
      <c r="M41" s="824"/>
      <c r="N41" s="824"/>
      <c r="O41" s="824"/>
      <c r="P41" s="824"/>
    </row>
    <row r="42" spans="1:16290" ht="25" customHeight="1">
      <c r="A42" s="825" t="s">
        <v>1385</v>
      </c>
      <c r="B42" s="824"/>
      <c r="C42" s="824"/>
      <c r="D42" s="824"/>
      <c r="E42" s="824"/>
      <c r="F42" s="824"/>
      <c r="G42" s="824"/>
      <c r="H42" s="824"/>
      <c r="I42" s="824"/>
      <c r="J42" s="824"/>
      <c r="K42" s="824"/>
      <c r="L42" s="824"/>
      <c r="M42" s="824"/>
      <c r="N42" s="824"/>
      <c r="O42" s="824"/>
      <c r="P42" s="823" t="s">
        <v>1367</v>
      </c>
    </row>
    <row r="43" spans="1:16290" ht="25" customHeight="1">
      <c r="A43" s="822" t="s">
        <v>1114</v>
      </c>
      <c r="B43" s="878" t="s">
        <v>1115</v>
      </c>
      <c r="C43" s="878" t="s">
        <v>1116</v>
      </c>
      <c r="D43" s="878" t="s">
        <v>1117</v>
      </c>
      <c r="E43" s="878" t="s">
        <v>1118</v>
      </c>
      <c r="F43" s="878" t="s">
        <v>1366</v>
      </c>
      <c r="G43" s="878" t="s">
        <v>1152</v>
      </c>
      <c r="H43" s="820" t="s">
        <v>1365</v>
      </c>
      <c r="I43" s="820" t="s">
        <v>1364</v>
      </c>
      <c r="J43" s="820" t="s">
        <v>1363</v>
      </c>
      <c r="K43" s="820" t="s">
        <v>1362</v>
      </c>
      <c r="L43" s="820" t="s">
        <v>1361</v>
      </c>
      <c r="M43" s="820" t="s">
        <v>1360</v>
      </c>
      <c r="N43" s="820" t="s">
        <v>1359</v>
      </c>
      <c r="O43" s="820" t="s">
        <v>1358</v>
      </c>
      <c r="P43" s="819" t="s">
        <v>1295</v>
      </c>
    </row>
    <row r="44" spans="1:16290" ht="25" customHeight="1">
      <c r="B44" s="734"/>
      <c r="C44" s="734"/>
      <c r="D44" s="734"/>
      <c r="E44" s="734"/>
      <c r="F44" s="734"/>
      <c r="G44" s="734"/>
      <c r="H44" s="734"/>
      <c r="I44" s="734"/>
      <c r="J44" s="734"/>
      <c r="K44" s="734"/>
      <c r="L44" s="734"/>
      <c r="M44" s="734"/>
      <c r="N44" s="734"/>
      <c r="O44" s="734"/>
      <c r="P44" s="734"/>
    </row>
    <row r="45" spans="1:16290" s="774" customFormat="1" ht="25" customHeight="1">
      <c r="A45" s="899" t="s">
        <v>1297</v>
      </c>
      <c r="B45" s="787"/>
      <c r="C45" s="787"/>
      <c r="D45" s="787"/>
      <c r="E45" s="877"/>
      <c r="F45" s="876"/>
      <c r="G45" s="875"/>
      <c r="H45" s="846"/>
      <c r="I45" s="846"/>
      <c r="J45" s="846"/>
      <c r="K45" s="846"/>
      <c r="L45" s="846"/>
      <c r="M45" s="846"/>
      <c r="N45" s="846"/>
      <c r="O45" s="846"/>
      <c r="P45" s="783"/>
    </row>
    <row r="46" spans="1:16290" ht="25" customHeight="1">
      <c r="A46" s="812" t="s">
        <v>1126</v>
      </c>
      <c r="B46" s="764">
        <v>18453.294000000002</v>
      </c>
      <c r="C46" s="764">
        <v>16391.310000000001</v>
      </c>
      <c r="D46" s="764">
        <v>16917</v>
      </c>
      <c r="E46" s="817">
        <v>18039</v>
      </c>
      <c r="F46" s="882"/>
      <c r="G46" s="747"/>
      <c r="H46" s="852">
        <v>16446.701541764396</v>
      </c>
      <c r="I46" s="852">
        <v>16734.002400296726</v>
      </c>
      <c r="J46" s="852">
        <v>18520.030228854277</v>
      </c>
      <c r="K46" s="852">
        <v>16737.757416919998</v>
      </c>
      <c r="L46" s="852">
        <v>17794.742928017797</v>
      </c>
      <c r="M46" s="852">
        <v>19661.443010410905</v>
      </c>
      <c r="N46" s="852">
        <v>17850.568282411987</v>
      </c>
      <c r="O46" s="852">
        <v>21406.614032153055</v>
      </c>
      <c r="P46" s="760">
        <v>214952.46384082915</v>
      </c>
    </row>
    <row r="47" spans="1:16290" s="810" customFormat="1" ht="25" customHeight="1">
      <c r="A47" s="793" t="s">
        <v>1127</v>
      </c>
      <c r="B47" s="809">
        <v>1952.3961384000002</v>
      </c>
      <c r="C47" s="809">
        <v>1799.4943307999999</v>
      </c>
      <c r="D47" s="809">
        <v>1794.4943307999999</v>
      </c>
      <c r="E47" s="898">
        <v>2112.7942692000001</v>
      </c>
      <c r="F47" s="897"/>
      <c r="G47" s="806"/>
      <c r="H47" s="865">
        <v>2122.7942692000001</v>
      </c>
      <c r="I47" s="865">
        <v>2509.8924616000004</v>
      </c>
      <c r="J47" s="865">
        <v>2552.7942692000001</v>
      </c>
      <c r="K47" s="865">
        <v>2652.7942692000001</v>
      </c>
      <c r="L47" s="865">
        <v>2919.8924616000004</v>
      </c>
      <c r="M47" s="865">
        <v>3378.1923999999999</v>
      </c>
      <c r="N47" s="865">
        <v>3382.1923999999999</v>
      </c>
      <c r="O47" s="865">
        <v>3740.9843999999998</v>
      </c>
      <c r="P47" s="804">
        <v>30918.716</v>
      </c>
    </row>
    <row r="48" spans="1:16290" ht="25" customHeight="1">
      <c r="A48" s="812" t="s">
        <v>1128</v>
      </c>
      <c r="B48" s="764">
        <v>20405.690138400001</v>
      </c>
      <c r="C48" s="764">
        <v>18190.804330800001</v>
      </c>
      <c r="D48" s="764">
        <v>18711.4943308</v>
      </c>
      <c r="E48" s="817">
        <v>20151.7942692</v>
      </c>
      <c r="F48" s="882"/>
      <c r="G48" s="747"/>
      <c r="H48" s="852">
        <v>18569.495810964396</v>
      </c>
      <c r="I48" s="852">
        <v>19243.894861896726</v>
      </c>
      <c r="J48" s="852">
        <v>21072.824498054277</v>
      </c>
      <c r="K48" s="852">
        <v>19390.551686119998</v>
      </c>
      <c r="L48" s="852">
        <v>20714.635389617797</v>
      </c>
      <c r="M48" s="852">
        <v>23039.635410410905</v>
      </c>
      <c r="N48" s="852">
        <v>21232.760682411987</v>
      </c>
      <c r="O48" s="852">
        <v>25147.598432153056</v>
      </c>
      <c r="P48" s="760">
        <v>245871.17984082911</v>
      </c>
    </row>
    <row r="49" spans="1:16" ht="25" customHeight="1">
      <c r="A49" s="812"/>
      <c r="B49" s="764"/>
      <c r="C49" s="764"/>
      <c r="D49" s="764"/>
      <c r="E49" s="817"/>
      <c r="F49" s="882"/>
      <c r="G49" s="747"/>
      <c r="H49" s="852"/>
      <c r="I49" s="852"/>
      <c r="J49" s="852"/>
      <c r="K49" s="852"/>
      <c r="L49" s="852"/>
      <c r="M49" s="852"/>
      <c r="N49" s="852"/>
      <c r="O49" s="852"/>
      <c r="P49" s="760"/>
    </row>
    <row r="50" spans="1:16" ht="25" customHeight="1">
      <c r="A50" s="754" t="s">
        <v>1298</v>
      </c>
      <c r="B50" s="764">
        <v>20146.53</v>
      </c>
      <c r="C50" s="764">
        <v>17736.945</v>
      </c>
      <c r="D50" s="764">
        <v>18087.696330800001</v>
      </c>
      <c r="E50" s="802" t="s">
        <v>1296</v>
      </c>
      <c r="F50" s="896"/>
      <c r="G50" s="739"/>
      <c r="H50" s="852" t="s">
        <v>1296</v>
      </c>
      <c r="I50" s="852" t="s">
        <v>1296</v>
      </c>
      <c r="J50" s="852" t="s">
        <v>1296</v>
      </c>
      <c r="K50" s="852" t="s">
        <v>1296</v>
      </c>
      <c r="L50" s="852" t="s">
        <v>1296</v>
      </c>
      <c r="M50" s="852" t="s">
        <v>1296</v>
      </c>
      <c r="N50" s="852" t="s">
        <v>1296</v>
      </c>
      <c r="O50" s="852" t="s">
        <v>1296</v>
      </c>
      <c r="P50" s="760"/>
    </row>
    <row r="51" spans="1:16" s="774" customFormat="1" ht="25" customHeight="1">
      <c r="A51" s="845"/>
      <c r="B51" s="895"/>
      <c r="C51" s="895"/>
      <c r="D51" s="895"/>
      <c r="E51" s="894"/>
      <c r="F51" s="850"/>
      <c r="G51" s="850"/>
      <c r="H51" s="846"/>
      <c r="I51" s="846"/>
      <c r="J51" s="846"/>
      <c r="K51" s="846"/>
      <c r="L51" s="846"/>
      <c r="M51" s="846"/>
      <c r="N51" s="846"/>
      <c r="O51" s="846"/>
      <c r="P51" s="783"/>
    </row>
    <row r="52" spans="1:16" ht="25" customHeight="1">
      <c r="A52" s="843" t="s">
        <v>1384</v>
      </c>
      <c r="B52" s="764"/>
      <c r="C52" s="764"/>
      <c r="D52" s="893" t="s">
        <v>1383</v>
      </c>
      <c r="E52" s="877"/>
      <c r="F52" s="876"/>
      <c r="G52" s="875"/>
      <c r="H52" s="852"/>
      <c r="I52" s="852"/>
      <c r="J52" s="852"/>
      <c r="K52" s="852"/>
      <c r="L52" s="852"/>
      <c r="M52" s="852"/>
      <c r="N52" s="852"/>
      <c r="O52" s="852"/>
      <c r="P52" s="737"/>
    </row>
    <row r="53" spans="1:16" s="744" customFormat="1" ht="25" customHeight="1">
      <c r="A53" s="754" t="s">
        <v>1119</v>
      </c>
      <c r="B53" s="742">
        <v>-155.31300207379536</v>
      </c>
      <c r="C53" s="742">
        <v>-557.33712866523638</v>
      </c>
      <c r="D53" s="887">
        <v>-600.00293337474432</v>
      </c>
      <c r="E53" s="838">
        <v>109.22629841188609</v>
      </c>
      <c r="F53" s="854"/>
      <c r="G53" s="853"/>
      <c r="H53" s="738">
        <v>0</v>
      </c>
      <c r="I53" s="738">
        <v>0</v>
      </c>
      <c r="J53" s="738">
        <v>0</v>
      </c>
      <c r="K53" s="738">
        <v>0</v>
      </c>
      <c r="L53" s="738">
        <v>0</v>
      </c>
      <c r="M53" s="738">
        <v>0</v>
      </c>
      <c r="N53" s="738">
        <v>0</v>
      </c>
      <c r="O53" s="738">
        <v>0</v>
      </c>
      <c r="P53" s="737">
        <v>-1203.42676570189</v>
      </c>
    </row>
    <row r="54" spans="1:16" s="752" customFormat="1" ht="25" customHeight="1">
      <c r="A54" s="751" t="s">
        <v>78</v>
      </c>
      <c r="B54" s="750">
        <v>-103.86613840000018</v>
      </c>
      <c r="C54" s="750">
        <v>103.45066919999999</v>
      </c>
      <c r="D54" s="750">
        <v>113.35466920000022</v>
      </c>
      <c r="E54" s="892">
        <v>-183.15132155696892</v>
      </c>
      <c r="F54" s="891"/>
      <c r="G54" s="890"/>
      <c r="H54" s="746">
        <v>0</v>
      </c>
      <c r="I54" s="746">
        <v>0</v>
      </c>
      <c r="J54" s="746">
        <v>0</v>
      </c>
      <c r="K54" s="746">
        <v>0</v>
      </c>
      <c r="L54" s="746">
        <v>0</v>
      </c>
      <c r="M54" s="746">
        <v>0</v>
      </c>
      <c r="N54" s="746">
        <v>0</v>
      </c>
      <c r="O54" s="746">
        <v>0</v>
      </c>
      <c r="P54" s="745">
        <v>-70.212121556968896</v>
      </c>
    </row>
    <row r="55" spans="1:16" s="744" customFormat="1" ht="25" customHeight="1">
      <c r="A55" s="754" t="s">
        <v>1382</v>
      </c>
      <c r="B55" s="742">
        <v>-259.179140473796</v>
      </c>
      <c r="C55" s="742">
        <v>-453.88645946523684</v>
      </c>
      <c r="D55" s="742">
        <v>-486.64826417474251</v>
      </c>
      <c r="E55" s="838">
        <v>-73.925023145082378</v>
      </c>
      <c r="F55" s="842"/>
      <c r="G55" s="841"/>
      <c r="H55" s="738">
        <v>0</v>
      </c>
      <c r="I55" s="738">
        <v>0</v>
      </c>
      <c r="J55" s="738">
        <v>0</v>
      </c>
      <c r="K55" s="738">
        <v>0</v>
      </c>
      <c r="L55" s="738">
        <v>0</v>
      </c>
      <c r="M55" s="738">
        <v>0</v>
      </c>
      <c r="N55" s="738">
        <v>0</v>
      </c>
      <c r="O55" s="738">
        <v>0</v>
      </c>
      <c r="P55" s="737">
        <v>-1273.6388872588577</v>
      </c>
    </row>
    <row r="56" spans="1:16" s="744" customFormat="1" ht="25" customHeight="1">
      <c r="A56" s="754" t="s">
        <v>1381</v>
      </c>
      <c r="B56" s="889"/>
      <c r="C56" s="888"/>
      <c r="D56" s="887">
        <v>-1199.7138641137753</v>
      </c>
      <c r="E56" s="838"/>
      <c r="F56" s="854"/>
      <c r="G56" s="853"/>
      <c r="H56" s="738"/>
      <c r="I56" s="738"/>
      <c r="J56" s="738"/>
      <c r="K56" s="738"/>
      <c r="L56" s="738"/>
      <c r="M56" s="738"/>
      <c r="N56" s="738"/>
      <c r="O56" s="738"/>
      <c r="P56" s="737"/>
    </row>
    <row r="57" spans="1:16" ht="25" customHeight="1">
      <c r="A57" s="812"/>
      <c r="B57" s="787"/>
      <c r="C57" s="787"/>
      <c r="D57" s="787"/>
      <c r="E57" s="849"/>
      <c r="F57" s="842"/>
      <c r="G57" s="841"/>
      <c r="H57" s="846">
        <v>0</v>
      </c>
      <c r="I57" s="846">
        <v>0</v>
      </c>
      <c r="J57" s="846">
        <v>0</v>
      </c>
      <c r="K57" s="846">
        <v>0</v>
      </c>
      <c r="L57" s="846">
        <v>0</v>
      </c>
      <c r="M57" s="846">
        <v>0</v>
      </c>
      <c r="N57" s="846">
        <v>0</v>
      </c>
      <c r="O57" s="846">
        <v>0</v>
      </c>
      <c r="P57" s="783">
        <v>-5.1801064609661848E-3</v>
      </c>
    </row>
    <row r="58" spans="1:16" ht="25" customHeight="1">
      <c r="A58" s="812" t="s">
        <v>1380</v>
      </c>
      <c r="B58" s="787">
        <v>-1.2701317069696428E-2</v>
      </c>
      <c r="C58" s="787">
        <v>-2.4951423324186549E-2</v>
      </c>
      <c r="D58" s="787">
        <v>-2.600798501558994E-2</v>
      </c>
      <c r="E58" s="849">
        <v>-3.6684089842098761E-3</v>
      </c>
      <c r="F58" s="842"/>
      <c r="G58" s="841"/>
      <c r="H58" s="846"/>
      <c r="I58" s="846"/>
      <c r="J58" s="846"/>
      <c r="K58" s="846"/>
      <c r="L58" s="846"/>
      <c r="M58" s="846"/>
      <c r="N58" s="846"/>
      <c r="O58" s="846"/>
      <c r="P58" s="783"/>
    </row>
    <row r="59" spans="1:16" s="744" customFormat="1" ht="25" customHeight="1">
      <c r="A59" s="754" t="s">
        <v>1379</v>
      </c>
      <c r="B59" s="742">
        <v>-1.9002073793672025E-2</v>
      </c>
      <c r="C59" s="742">
        <v>-2.7128665235068183E-2</v>
      </c>
      <c r="D59" s="742">
        <v>137.14973582525636</v>
      </c>
      <c r="E59" s="834">
        <v>-73.925023145082378</v>
      </c>
      <c r="F59" s="881"/>
      <c r="G59" s="880"/>
      <c r="H59" s="738">
        <v>0</v>
      </c>
      <c r="I59" s="738">
        <v>0</v>
      </c>
      <c r="J59" s="738">
        <v>0</v>
      </c>
      <c r="K59" s="738">
        <v>0</v>
      </c>
      <c r="L59" s="738">
        <v>0</v>
      </c>
      <c r="M59" s="738">
        <v>0</v>
      </c>
      <c r="N59" s="738">
        <v>0</v>
      </c>
      <c r="O59" s="738">
        <v>0</v>
      </c>
      <c r="P59" s="737">
        <v>63.178581941145239</v>
      </c>
    </row>
    <row r="60" spans="1:16" ht="25" customHeight="1">
      <c r="A60" s="851"/>
      <c r="B60" s="863"/>
      <c r="C60" s="863"/>
      <c r="D60" s="863"/>
      <c r="E60" s="886"/>
      <c r="F60" s="885"/>
      <c r="G60" s="885"/>
      <c r="H60" s="852"/>
      <c r="I60" s="852"/>
      <c r="J60" s="852"/>
      <c r="K60" s="852"/>
      <c r="L60" s="852"/>
      <c r="M60" s="852"/>
      <c r="N60" s="852"/>
      <c r="O60" s="852"/>
      <c r="P60" s="734"/>
    </row>
    <row r="61" spans="1:16" ht="25" customHeight="1">
      <c r="A61" s="843" t="s">
        <v>1378</v>
      </c>
      <c r="B61" s="764"/>
      <c r="C61" s="764"/>
      <c r="D61" s="764"/>
      <c r="E61" s="884"/>
      <c r="F61" s="883"/>
      <c r="G61" s="761"/>
      <c r="H61" s="852"/>
      <c r="I61" s="852"/>
      <c r="J61" s="852"/>
      <c r="K61" s="852"/>
      <c r="L61" s="852"/>
      <c r="M61" s="852"/>
      <c r="N61" s="852"/>
      <c r="O61" s="852"/>
      <c r="P61" s="734"/>
    </row>
    <row r="62" spans="1:16" ht="25" customHeight="1">
      <c r="A62" s="812" t="s">
        <v>1122</v>
      </c>
      <c r="B62" s="742">
        <v>347.65763259725031</v>
      </c>
      <c r="C62" s="742">
        <v>-209.13903494634053</v>
      </c>
      <c r="D62" s="742">
        <v>-500.81460360299934</v>
      </c>
      <c r="E62" s="838">
        <v>-267.70280463193876</v>
      </c>
      <c r="F62" s="842"/>
      <c r="G62" s="841"/>
      <c r="H62" s="738">
        <v>0</v>
      </c>
      <c r="I62" s="738">
        <v>0</v>
      </c>
      <c r="J62" s="738">
        <v>0</v>
      </c>
      <c r="K62" s="738">
        <v>0</v>
      </c>
      <c r="L62" s="738">
        <v>0</v>
      </c>
      <c r="M62" s="738">
        <v>0</v>
      </c>
      <c r="N62" s="738">
        <v>0</v>
      </c>
      <c r="O62" s="738">
        <v>0</v>
      </c>
      <c r="P62" s="737">
        <v>-629.99881058402832</v>
      </c>
    </row>
    <row r="63" spans="1:16" ht="25" customHeight="1">
      <c r="A63" s="812" t="s">
        <v>1123</v>
      </c>
      <c r="B63" s="742">
        <v>-31.277103343679755</v>
      </c>
      <c r="C63" s="742">
        <v>31.61075576929602</v>
      </c>
      <c r="D63" s="742">
        <v>230.65824857905932</v>
      </c>
      <c r="E63" s="838">
        <v>829.10704571018402</v>
      </c>
      <c r="F63" s="842"/>
      <c r="G63" s="841"/>
      <c r="H63" s="738">
        <v>0</v>
      </c>
      <c r="I63" s="738">
        <v>0</v>
      </c>
      <c r="J63" s="738">
        <v>0</v>
      </c>
      <c r="K63" s="738">
        <v>0</v>
      </c>
      <c r="L63" s="738">
        <v>0</v>
      </c>
      <c r="M63" s="738">
        <v>0</v>
      </c>
      <c r="N63" s="738">
        <v>0</v>
      </c>
      <c r="O63" s="738">
        <v>0</v>
      </c>
      <c r="P63" s="737">
        <v>1060.0989467148597</v>
      </c>
    </row>
    <row r="64" spans="1:16" ht="25" customHeight="1">
      <c r="A64" s="812" t="s">
        <v>1368</v>
      </c>
      <c r="B64" s="742">
        <v>-471.69353132736614</v>
      </c>
      <c r="C64" s="742">
        <v>-379.8088494881913</v>
      </c>
      <c r="D64" s="742">
        <v>-329.84657835080543</v>
      </c>
      <c r="E64" s="838">
        <v>-452.17794266636247</v>
      </c>
      <c r="F64" s="842"/>
      <c r="G64" s="841"/>
      <c r="H64" s="738">
        <v>0</v>
      </c>
      <c r="I64" s="738">
        <v>0</v>
      </c>
      <c r="J64" s="738">
        <v>0</v>
      </c>
      <c r="K64" s="738">
        <v>0</v>
      </c>
      <c r="L64" s="738">
        <v>0</v>
      </c>
      <c r="M64" s="738">
        <v>0</v>
      </c>
      <c r="N64" s="738">
        <v>0</v>
      </c>
      <c r="O64" s="738">
        <v>0</v>
      </c>
      <c r="P64" s="737">
        <v>-1633.5269018327253</v>
      </c>
    </row>
    <row r="65" spans="1:16" ht="25" customHeight="1">
      <c r="A65" s="812"/>
      <c r="B65" s="764"/>
      <c r="C65" s="764"/>
      <c r="D65" s="764"/>
      <c r="E65" s="817"/>
      <c r="F65" s="882"/>
      <c r="G65" s="747"/>
      <c r="H65" s="852"/>
      <c r="I65" s="852"/>
      <c r="J65" s="852"/>
      <c r="K65" s="852"/>
      <c r="L65" s="852"/>
      <c r="M65" s="852"/>
      <c r="N65" s="852"/>
      <c r="O65" s="852"/>
      <c r="P65" s="734"/>
    </row>
    <row r="66" spans="1:16" ht="25" customHeight="1">
      <c r="A66" s="812" t="s">
        <v>1145</v>
      </c>
      <c r="B66" s="742">
        <v>-769.92082869852493</v>
      </c>
      <c r="C66" s="742">
        <v>-843.53335603792675</v>
      </c>
      <c r="D66" s="742">
        <v>-1090.7878526296909</v>
      </c>
      <c r="E66" s="838">
        <v>-1122.1768758872058</v>
      </c>
      <c r="F66" s="842"/>
      <c r="G66" s="841"/>
      <c r="H66" s="738">
        <v>0</v>
      </c>
      <c r="I66" s="738">
        <v>0</v>
      </c>
      <c r="J66" s="738">
        <v>0</v>
      </c>
      <c r="K66" s="738">
        <v>0</v>
      </c>
      <c r="L66" s="738">
        <v>0</v>
      </c>
      <c r="M66" s="738">
        <v>0</v>
      </c>
      <c r="N66" s="738">
        <v>0</v>
      </c>
      <c r="O66" s="738">
        <v>0</v>
      </c>
      <c r="P66" s="737">
        <v>-3826.4189132533484</v>
      </c>
    </row>
    <row r="67" spans="1:16" ht="25" customHeight="1">
      <c r="A67" s="812" t="s">
        <v>1034</v>
      </c>
      <c r="B67" s="742">
        <v>-197.51248182517247</v>
      </c>
      <c r="C67" s="742">
        <v>-39.476824862672402</v>
      </c>
      <c r="D67" s="742">
        <v>54.220702339000127</v>
      </c>
      <c r="E67" s="838">
        <v>289.59134985479977</v>
      </c>
      <c r="F67" s="842"/>
      <c r="G67" s="841"/>
      <c r="H67" s="738">
        <v>0</v>
      </c>
      <c r="I67" s="738">
        <v>0</v>
      </c>
      <c r="J67" s="738">
        <v>0</v>
      </c>
      <c r="K67" s="738">
        <v>0</v>
      </c>
      <c r="L67" s="738">
        <v>0</v>
      </c>
      <c r="M67" s="738">
        <v>0</v>
      </c>
      <c r="N67" s="738">
        <v>0</v>
      </c>
      <c r="O67" s="738">
        <v>0</v>
      </c>
      <c r="P67" s="737">
        <v>106.82274550595503</v>
      </c>
    </row>
    <row r="68" spans="1:16" ht="25" customHeight="1">
      <c r="A68" s="812"/>
      <c r="B68" s="742"/>
      <c r="C68" s="742"/>
      <c r="D68" s="742"/>
      <c r="E68" s="838"/>
      <c r="F68" s="842"/>
      <c r="G68" s="841"/>
      <c r="H68" s="738"/>
      <c r="I68" s="738"/>
      <c r="J68" s="738"/>
      <c r="K68" s="738"/>
      <c r="L68" s="738"/>
      <c r="M68" s="738"/>
      <c r="N68" s="738"/>
      <c r="O68" s="738"/>
      <c r="P68" s="737"/>
    </row>
    <row r="69" spans="1:16" ht="25" customHeight="1">
      <c r="A69" s="843" t="s">
        <v>1377</v>
      </c>
      <c r="B69" s="764"/>
      <c r="C69" s="764"/>
      <c r="D69" s="764"/>
      <c r="E69" s="817"/>
      <c r="F69" s="882"/>
      <c r="G69" s="747"/>
      <c r="H69" s="852"/>
      <c r="I69" s="852"/>
      <c r="J69" s="852"/>
      <c r="K69" s="852"/>
      <c r="L69" s="852"/>
      <c r="M69" s="852"/>
      <c r="N69" s="852"/>
      <c r="O69" s="852"/>
      <c r="P69" s="734"/>
    </row>
    <row r="70" spans="1:16" ht="25" customHeight="1">
      <c r="A70" s="812" t="s">
        <v>1124</v>
      </c>
      <c r="B70" s="742">
        <v>6.4149043380002819</v>
      </c>
      <c r="C70" s="742">
        <v>0</v>
      </c>
      <c r="D70" s="742">
        <v>-39.694590417999983</v>
      </c>
      <c r="E70" s="838">
        <v>-28.996560589999795</v>
      </c>
      <c r="F70" s="842"/>
      <c r="G70" s="841"/>
      <c r="H70" s="738">
        <v>0</v>
      </c>
      <c r="I70" s="738">
        <v>0</v>
      </c>
      <c r="J70" s="738">
        <v>0</v>
      </c>
      <c r="K70" s="738">
        <v>0</v>
      </c>
      <c r="L70" s="738">
        <v>0</v>
      </c>
      <c r="M70" s="738">
        <v>0</v>
      </c>
      <c r="N70" s="738">
        <v>0</v>
      </c>
      <c r="O70" s="738">
        <v>0</v>
      </c>
      <c r="P70" s="737">
        <v>-62.276246669999495</v>
      </c>
    </row>
    <row r="71" spans="1:16" ht="25" customHeight="1">
      <c r="A71" s="812" t="s">
        <v>1125</v>
      </c>
      <c r="B71" s="742">
        <v>-69.396138400000154</v>
      </c>
      <c r="C71" s="742">
        <v>177.50566920000011</v>
      </c>
      <c r="D71" s="742">
        <v>96.119669200000132</v>
      </c>
      <c r="E71" s="838">
        <v>-134.04660253333338</v>
      </c>
      <c r="F71" s="842"/>
      <c r="G71" s="841"/>
      <c r="H71" s="738">
        <v>0</v>
      </c>
      <c r="I71" s="738">
        <v>0</v>
      </c>
      <c r="J71" s="738">
        <v>0</v>
      </c>
      <c r="K71" s="738">
        <v>0</v>
      </c>
      <c r="L71" s="738">
        <v>0</v>
      </c>
      <c r="M71" s="738">
        <v>0</v>
      </c>
      <c r="N71" s="738">
        <v>0</v>
      </c>
      <c r="O71" s="738">
        <v>0</v>
      </c>
      <c r="P71" s="737">
        <v>70.182597466666721</v>
      </c>
    </row>
    <row r="72" spans="1:16" ht="25" customHeight="1">
      <c r="A72" s="812"/>
      <c r="B72" s="742"/>
      <c r="C72" s="742"/>
      <c r="D72" s="742"/>
      <c r="E72" s="838"/>
      <c r="F72" s="842"/>
      <c r="G72" s="841"/>
      <c r="H72" s="738"/>
      <c r="I72" s="738"/>
      <c r="J72" s="738"/>
      <c r="K72" s="738"/>
      <c r="L72" s="738"/>
      <c r="M72" s="738"/>
      <c r="N72" s="738"/>
      <c r="O72" s="738"/>
      <c r="P72" s="737"/>
    </row>
    <row r="73" spans="1:16" ht="25" customHeight="1">
      <c r="A73" s="812" t="s">
        <v>1376</v>
      </c>
      <c r="B73" s="742">
        <v>6.4149043380002819</v>
      </c>
      <c r="C73" s="742">
        <v>0</v>
      </c>
      <c r="D73" s="742">
        <v>-39.694590417999983</v>
      </c>
      <c r="E73" s="838">
        <v>-28.996560589999795</v>
      </c>
      <c r="F73" s="842"/>
      <c r="G73" s="841"/>
      <c r="H73" s="738">
        <v>0</v>
      </c>
      <c r="I73" s="738">
        <v>0</v>
      </c>
      <c r="J73" s="738">
        <v>0</v>
      </c>
      <c r="K73" s="738">
        <v>0</v>
      </c>
      <c r="L73" s="738">
        <v>0</v>
      </c>
      <c r="M73" s="738">
        <v>0</v>
      </c>
      <c r="N73" s="738">
        <v>0</v>
      </c>
      <c r="O73" s="738">
        <v>0</v>
      </c>
      <c r="P73" s="737">
        <v>-62.276246669999495</v>
      </c>
    </row>
    <row r="74" spans="1:16" ht="25" customHeight="1">
      <c r="A74" s="812" t="s">
        <v>1375</v>
      </c>
      <c r="B74" s="742">
        <v>-69.396138400000154</v>
      </c>
      <c r="C74" s="742">
        <v>177.50566920000011</v>
      </c>
      <c r="D74" s="742">
        <v>96.119669200000132</v>
      </c>
      <c r="E74" s="834">
        <v>-134.04660253333338</v>
      </c>
      <c r="F74" s="881"/>
      <c r="G74" s="880"/>
      <c r="H74" s="738">
        <v>0</v>
      </c>
      <c r="I74" s="738">
        <v>0</v>
      </c>
      <c r="J74" s="738">
        <v>0</v>
      </c>
      <c r="K74" s="738">
        <v>0</v>
      </c>
      <c r="L74" s="738">
        <v>0</v>
      </c>
      <c r="M74" s="738">
        <v>0</v>
      </c>
      <c r="N74" s="738">
        <v>0</v>
      </c>
      <c r="O74" s="738">
        <v>0</v>
      </c>
      <c r="P74" s="737">
        <v>70.182597466666721</v>
      </c>
    </row>
    <row r="75" spans="1:16" ht="25" customHeight="1">
      <c r="B75" s="734"/>
      <c r="C75" s="734"/>
      <c r="D75" s="734"/>
      <c r="E75" s="879"/>
      <c r="F75" s="879"/>
      <c r="G75" s="879"/>
      <c r="H75" s="734"/>
      <c r="I75" s="734"/>
      <c r="J75" s="734"/>
      <c r="K75" s="734"/>
      <c r="L75" s="734"/>
      <c r="M75" s="734"/>
      <c r="N75" s="734"/>
      <c r="O75" s="734"/>
      <c r="P75" s="734"/>
    </row>
    <row r="76" spans="1:16" ht="25" customHeight="1">
      <c r="A76" s="826"/>
      <c r="B76" s="824"/>
      <c r="C76" s="824"/>
      <c r="D76" s="824"/>
      <c r="E76" s="824"/>
      <c r="F76" s="824"/>
      <c r="G76" s="824"/>
      <c r="H76" s="824"/>
      <c r="I76" s="824"/>
      <c r="J76" s="824"/>
      <c r="K76" s="824"/>
      <c r="L76" s="824"/>
      <c r="M76" s="824"/>
      <c r="N76" s="824"/>
      <c r="O76" s="824"/>
      <c r="P76" s="824"/>
    </row>
    <row r="77" spans="1:16" ht="25" customHeight="1">
      <c r="A77" s="825" t="s">
        <v>1119</v>
      </c>
      <c r="B77" s="824"/>
      <c r="C77" s="824"/>
      <c r="D77" s="824"/>
      <c r="E77" s="824"/>
      <c r="F77" s="824"/>
      <c r="G77" s="824"/>
      <c r="H77" s="824"/>
      <c r="I77" s="824"/>
      <c r="J77" s="824"/>
      <c r="K77" s="824"/>
      <c r="L77" s="824"/>
      <c r="M77" s="824"/>
      <c r="N77" s="824"/>
      <c r="O77" s="824"/>
      <c r="P77" s="823" t="s">
        <v>1367</v>
      </c>
    </row>
    <row r="78" spans="1:16" ht="25" customHeight="1">
      <c r="A78" s="822" t="s">
        <v>1114</v>
      </c>
      <c r="B78" s="878" t="s">
        <v>1115</v>
      </c>
      <c r="C78" s="878" t="s">
        <v>1116</v>
      </c>
      <c r="D78" s="878" t="s">
        <v>1117</v>
      </c>
      <c r="E78" s="878" t="s">
        <v>1118</v>
      </c>
      <c r="F78" s="878" t="s">
        <v>1366</v>
      </c>
      <c r="G78" s="878" t="s">
        <v>1152</v>
      </c>
      <c r="H78" s="820" t="s">
        <v>1365</v>
      </c>
      <c r="I78" s="820" t="s">
        <v>1364</v>
      </c>
      <c r="J78" s="820" t="s">
        <v>1363</v>
      </c>
      <c r="K78" s="820" t="s">
        <v>1362</v>
      </c>
      <c r="L78" s="820" t="s">
        <v>1361</v>
      </c>
      <c r="M78" s="820" t="s">
        <v>1360</v>
      </c>
      <c r="N78" s="820" t="s">
        <v>1359</v>
      </c>
      <c r="O78" s="820" t="s">
        <v>1358</v>
      </c>
      <c r="P78" s="819" t="s">
        <v>1295</v>
      </c>
    </row>
    <row r="79" spans="1:16" ht="25" customHeight="1">
      <c r="B79" s="734"/>
      <c r="C79" s="734"/>
      <c r="D79" s="734"/>
      <c r="E79" s="734"/>
      <c r="F79" s="734"/>
      <c r="G79" s="734"/>
      <c r="H79" s="734"/>
      <c r="I79" s="734"/>
      <c r="J79" s="734"/>
      <c r="K79" s="734"/>
      <c r="L79" s="734"/>
      <c r="M79" s="734"/>
      <c r="N79" s="734"/>
      <c r="O79" s="734"/>
      <c r="P79" s="734"/>
    </row>
    <row r="80" spans="1:16" ht="25" customHeight="1">
      <c r="A80" s="813" t="s">
        <v>1374</v>
      </c>
      <c r="B80" s="764"/>
      <c r="C80" s="764"/>
      <c r="D80" s="764"/>
      <c r="E80" s="877"/>
      <c r="F80" s="876"/>
      <c r="G80" s="875"/>
      <c r="H80" s="734"/>
      <c r="I80" s="734"/>
      <c r="J80" s="734"/>
      <c r="K80" s="734"/>
      <c r="L80" s="734"/>
      <c r="M80" s="734"/>
      <c r="N80" s="734"/>
      <c r="O80" s="734"/>
      <c r="P80" s="734"/>
    </row>
    <row r="81" spans="1:16" ht="25" customHeight="1">
      <c r="A81" s="812" t="s">
        <v>1129</v>
      </c>
      <c r="B81" s="764">
        <v>368.71425300199996</v>
      </c>
      <c r="C81" s="764">
        <v>760.90585141300005</v>
      </c>
      <c r="D81" s="764">
        <v>878.38756243</v>
      </c>
      <c r="E81" s="811">
        <v>677.66621985023903</v>
      </c>
      <c r="F81" s="748">
        <v>133.26616178045606</v>
      </c>
      <c r="G81" s="747">
        <v>169.18932061765122</v>
      </c>
      <c r="H81" s="798" t="s">
        <v>1293</v>
      </c>
      <c r="I81" s="798" t="s">
        <v>1293</v>
      </c>
      <c r="J81" s="798" t="s">
        <v>1293</v>
      </c>
      <c r="K81" s="798" t="s">
        <v>1293</v>
      </c>
      <c r="L81" s="798" t="s">
        <v>1293</v>
      </c>
      <c r="M81" s="798" t="s">
        <v>1293</v>
      </c>
      <c r="N81" s="798" t="s">
        <v>1293</v>
      </c>
      <c r="O81" s="798" t="s">
        <v>1293</v>
      </c>
      <c r="P81" s="760">
        <v>2685.6738866952392</v>
      </c>
    </row>
    <row r="82" spans="1:16" ht="25" customHeight="1">
      <c r="A82" s="793" t="s">
        <v>1130</v>
      </c>
      <c r="B82" s="809">
        <v>8328.1948042250006</v>
      </c>
      <c r="C82" s="809">
        <v>6115.8477211580121</v>
      </c>
      <c r="D82" s="809">
        <v>5639.1335849403113</v>
      </c>
      <c r="E82" s="808">
        <v>7314.688173556774</v>
      </c>
      <c r="F82" s="807">
        <v>1532.5608604752463</v>
      </c>
      <c r="G82" s="806">
        <v>1442.9535610060764</v>
      </c>
      <c r="H82" s="874" t="s">
        <v>1293</v>
      </c>
      <c r="I82" s="874" t="s">
        <v>1293</v>
      </c>
      <c r="J82" s="874" t="s">
        <v>1293</v>
      </c>
      <c r="K82" s="874" t="s">
        <v>1293</v>
      </c>
      <c r="L82" s="874" t="s">
        <v>1293</v>
      </c>
      <c r="M82" s="874" t="s">
        <v>1293</v>
      </c>
      <c r="N82" s="874" t="s">
        <v>1293</v>
      </c>
      <c r="O82" s="874" t="s">
        <v>1293</v>
      </c>
      <c r="P82" s="804">
        <v>27397.864283880095</v>
      </c>
    </row>
    <row r="83" spans="1:16" ht="25" customHeight="1">
      <c r="A83" s="873" t="s">
        <v>1131</v>
      </c>
      <c r="B83" s="803">
        <v>8696.9090572269997</v>
      </c>
      <c r="C83" s="803">
        <v>6876.7535725710122</v>
      </c>
      <c r="D83" s="803">
        <v>6517.5211473703112</v>
      </c>
      <c r="E83" s="817">
        <v>7992.354393407013</v>
      </c>
      <c r="F83" s="816">
        <v>1665.8270222557023</v>
      </c>
      <c r="G83" s="815">
        <v>1612.1428816237276</v>
      </c>
      <c r="H83" s="852">
        <v>6648.3313941219594</v>
      </c>
      <c r="I83" s="852">
        <v>6629.1391780672693</v>
      </c>
      <c r="J83" s="852">
        <v>7886.6353547100098</v>
      </c>
      <c r="K83" s="852">
        <v>6103.34867649024</v>
      </c>
      <c r="L83" s="852">
        <v>6189.5759241375508</v>
      </c>
      <c r="M83" s="852">
        <v>7727.7900883551292</v>
      </c>
      <c r="N83" s="852">
        <v>6301.3764738825903</v>
      </c>
      <c r="O83" s="852">
        <v>7793.6741940334005</v>
      </c>
      <c r="P83" s="760">
        <v>85363.409454373483</v>
      </c>
    </row>
    <row r="84" spans="1:16" s="866" customFormat="1" ht="25" hidden="1" customHeight="1">
      <c r="A84" s="872" t="s">
        <v>1132</v>
      </c>
      <c r="B84" s="871">
        <v>0.57876545539421032</v>
      </c>
      <c r="C84" s="871">
        <v>0.58456186535186483</v>
      </c>
      <c r="D84" s="871">
        <v>0.5814712113981555</v>
      </c>
      <c r="E84" s="870">
        <v>0.57495224625601749</v>
      </c>
      <c r="F84" s="869"/>
      <c r="G84" s="868"/>
      <c r="H84" s="846"/>
      <c r="I84" s="846"/>
      <c r="J84" s="846"/>
      <c r="K84" s="846"/>
      <c r="L84" s="846"/>
      <c r="M84" s="846"/>
      <c r="N84" s="846"/>
      <c r="O84" s="846"/>
      <c r="P84" s="867"/>
    </row>
    <row r="85" spans="1:16" s="866" customFormat="1" ht="25" hidden="1" customHeight="1">
      <c r="A85" s="872" t="s">
        <v>1133</v>
      </c>
      <c r="B85" s="871">
        <v>0.25669723224132707</v>
      </c>
      <c r="C85" s="871">
        <v>0.24293339723741408</v>
      </c>
      <c r="D85" s="871">
        <v>0.2354186005083049</v>
      </c>
      <c r="E85" s="870">
        <v>0.25337191150995231</v>
      </c>
      <c r="F85" s="869"/>
      <c r="G85" s="868"/>
      <c r="H85" s="846"/>
      <c r="I85" s="846"/>
      <c r="J85" s="846"/>
      <c r="K85" s="846"/>
      <c r="L85" s="846"/>
      <c r="M85" s="846"/>
      <c r="N85" s="846"/>
      <c r="O85" s="846"/>
      <c r="P85" s="867"/>
    </row>
    <row r="86" spans="1:16" s="866" customFormat="1" ht="25" hidden="1" customHeight="1">
      <c r="A86" s="872" t="s">
        <v>1134</v>
      </c>
      <c r="B86" s="871">
        <v>0.17607367739939919</v>
      </c>
      <c r="C86" s="871">
        <v>0.17250473741072095</v>
      </c>
      <c r="D86" s="871">
        <v>0.18311018809353963</v>
      </c>
      <c r="E86" s="870">
        <v>0.17167584223403007</v>
      </c>
      <c r="F86" s="869"/>
      <c r="G86" s="868"/>
      <c r="H86" s="846"/>
      <c r="I86" s="846"/>
      <c r="J86" s="846"/>
      <c r="K86" s="846"/>
      <c r="L86" s="846"/>
      <c r="M86" s="846"/>
      <c r="N86" s="846"/>
      <c r="O86" s="846"/>
      <c r="P86" s="867"/>
    </row>
    <row r="87" spans="1:16" ht="25" customHeight="1">
      <c r="A87" s="812" t="s">
        <v>1086</v>
      </c>
      <c r="B87" s="764">
        <v>1155.4252411770001</v>
      </c>
      <c r="C87" s="764">
        <v>1122.780956221</v>
      </c>
      <c r="D87" s="764">
        <v>1116.628394843</v>
      </c>
      <c r="E87" s="811">
        <v>1171.8723877644998</v>
      </c>
      <c r="F87" s="748">
        <v>230.61164648299996</v>
      </c>
      <c r="G87" s="747">
        <v>266.70433374724996</v>
      </c>
      <c r="H87" s="852">
        <v>1259.69165884428</v>
      </c>
      <c r="I87" s="852">
        <v>1363.47514798729</v>
      </c>
      <c r="J87" s="852">
        <v>1286.40105482643</v>
      </c>
      <c r="K87" s="852">
        <v>1247.09109849779</v>
      </c>
      <c r="L87" s="852">
        <v>1342.22922490316</v>
      </c>
      <c r="M87" s="852">
        <v>1189.6320852624399</v>
      </c>
      <c r="N87" s="852">
        <v>1245.1572784432101</v>
      </c>
      <c r="O87" s="852">
        <v>1413.27383890643</v>
      </c>
      <c r="P87" s="760">
        <v>14913.658367676529</v>
      </c>
    </row>
    <row r="88" spans="1:16" ht="25" customHeight="1">
      <c r="A88" s="793" t="s">
        <v>1135</v>
      </c>
      <c r="B88" s="809">
        <v>2179.3949094785062</v>
      </c>
      <c r="C88" s="809">
        <v>1662.8198900927021</v>
      </c>
      <c r="D88" s="809">
        <v>1910.2602758328851</v>
      </c>
      <c r="E88" s="808">
        <v>1803.6160288078586</v>
      </c>
      <c r="F88" s="807">
        <v>429.41453129984217</v>
      </c>
      <c r="G88" s="806">
        <v>425.43126211887324</v>
      </c>
      <c r="H88" s="865">
        <v>1062.2032409438461</v>
      </c>
      <c r="I88" s="865">
        <v>1084.3739084032495</v>
      </c>
      <c r="J88" s="865">
        <v>1221.7442272506742</v>
      </c>
      <c r="K88" s="865">
        <v>1463.226369798007</v>
      </c>
      <c r="L88" s="865">
        <v>1729.4752384137446</v>
      </c>
      <c r="M88" s="865">
        <v>1735.7094613449117</v>
      </c>
      <c r="N88" s="865">
        <v>1547.137925190018</v>
      </c>
      <c r="O88" s="865">
        <v>1956.5709153438002</v>
      </c>
      <c r="P88" s="804">
        <v>19356.532390900204</v>
      </c>
    </row>
    <row r="89" spans="1:16" s="790" customFormat="1" ht="25" customHeight="1">
      <c r="A89" s="743" t="s">
        <v>1136</v>
      </c>
      <c r="B89" s="803">
        <v>12031.729207882505</v>
      </c>
      <c r="C89" s="803">
        <v>9662.3544188847136</v>
      </c>
      <c r="D89" s="803">
        <v>9544.409818046197</v>
      </c>
      <c r="E89" s="817">
        <v>10967.842809979373</v>
      </c>
      <c r="F89" s="816">
        <v>2325.8532000385444</v>
      </c>
      <c r="G89" s="815">
        <v>2304.278477489851</v>
      </c>
      <c r="H89" s="861">
        <v>8970.2262939100856</v>
      </c>
      <c r="I89" s="861">
        <v>9076.9882344578091</v>
      </c>
      <c r="J89" s="861">
        <v>10394.780636787114</v>
      </c>
      <c r="K89" s="861">
        <v>8813.666144786037</v>
      </c>
      <c r="L89" s="861">
        <v>9261.2803874544552</v>
      </c>
      <c r="M89" s="861">
        <v>10653.131634962481</v>
      </c>
      <c r="N89" s="861">
        <v>9093.6716775158184</v>
      </c>
      <c r="O89" s="861">
        <v>11163.51894828363</v>
      </c>
      <c r="P89" s="760">
        <v>119633.60021295022</v>
      </c>
    </row>
    <row r="90" spans="1:16" ht="25" customHeight="1">
      <c r="A90" s="812"/>
      <c r="B90" s="764"/>
      <c r="C90" s="764"/>
      <c r="D90" s="764"/>
      <c r="E90" s="864"/>
      <c r="F90" s="854"/>
      <c r="G90" s="853"/>
      <c r="H90" s="863"/>
      <c r="I90" s="863"/>
      <c r="J90" s="863"/>
      <c r="K90" s="863"/>
      <c r="L90" s="863"/>
      <c r="M90" s="863"/>
      <c r="N90" s="863"/>
      <c r="O90" s="863"/>
      <c r="P90" s="734"/>
    </row>
    <row r="91" spans="1:16" ht="25" customHeight="1">
      <c r="A91" s="843" t="s">
        <v>1123</v>
      </c>
      <c r="B91" s="764"/>
      <c r="C91" s="764"/>
      <c r="D91" s="764"/>
      <c r="E91" s="864"/>
      <c r="F91" s="854"/>
      <c r="G91" s="853"/>
      <c r="H91" s="863"/>
      <c r="I91" s="863"/>
      <c r="J91" s="863"/>
      <c r="K91" s="863"/>
      <c r="L91" s="863"/>
      <c r="M91" s="863"/>
      <c r="N91" s="863"/>
      <c r="O91" s="863"/>
      <c r="P91" s="734"/>
    </row>
    <row r="92" spans="1:16" ht="25" customHeight="1">
      <c r="A92" s="812" t="s">
        <v>1034</v>
      </c>
      <c r="B92" s="764">
        <v>3193.149491744</v>
      </c>
      <c r="C92" s="764">
        <v>3157.4258200669997</v>
      </c>
      <c r="D92" s="764">
        <v>3354.2207023390001</v>
      </c>
      <c r="E92" s="811">
        <v>3477.8051699403754</v>
      </c>
      <c r="F92" s="748">
        <v>820.76144434300011</v>
      </c>
      <c r="G92" s="747">
        <v>843.39812423775004</v>
      </c>
      <c r="H92" s="861">
        <v>3610.3233348827489</v>
      </c>
      <c r="I92" s="861">
        <v>3712.3090297684907</v>
      </c>
      <c r="J92" s="861">
        <v>4128.1438936811173</v>
      </c>
      <c r="K92" s="861">
        <v>4052.0450452360706</v>
      </c>
      <c r="L92" s="861">
        <v>4315.5193599678742</v>
      </c>
      <c r="M92" s="861">
        <v>4701.3075104026593</v>
      </c>
      <c r="N92" s="861">
        <v>4642.7421876889093</v>
      </c>
      <c r="O92" s="861">
        <v>5256.5527525037069</v>
      </c>
      <c r="P92" s="760">
        <v>47601.544298221939</v>
      </c>
    </row>
    <row r="93" spans="1:16" ht="25" customHeight="1">
      <c r="A93" s="812" t="s">
        <v>313</v>
      </c>
      <c r="B93" s="764">
        <v>585.82658188300002</v>
      </c>
      <c r="C93" s="764">
        <v>543.16585190000001</v>
      </c>
      <c r="D93" s="764">
        <v>581.76305150000007</v>
      </c>
      <c r="E93" s="811">
        <v>693.22219625000002</v>
      </c>
      <c r="F93" s="748">
        <v>154.49413950000002</v>
      </c>
      <c r="G93" s="747">
        <v>149.31996822500003</v>
      </c>
      <c r="H93" s="861">
        <v>472.38437206660291</v>
      </c>
      <c r="I93" s="861">
        <v>570.7286715797045</v>
      </c>
      <c r="J93" s="861">
        <v>662.67090934947578</v>
      </c>
      <c r="K93" s="861">
        <v>676.67202624768026</v>
      </c>
      <c r="L93" s="861">
        <v>628.34492929654857</v>
      </c>
      <c r="M93" s="861">
        <v>622.7269604388672</v>
      </c>
      <c r="N93" s="861">
        <v>565.76718611089962</v>
      </c>
      <c r="O93" s="861">
        <v>639.60903401300959</v>
      </c>
      <c r="P93" s="760">
        <v>7242.8817706357886</v>
      </c>
    </row>
    <row r="94" spans="1:16" ht="25" customHeight="1">
      <c r="A94" s="812" t="s">
        <v>1058</v>
      </c>
      <c r="B94" s="764">
        <v>359.17905290544104</v>
      </c>
      <c r="C94" s="764">
        <v>309.27131479999969</v>
      </c>
      <c r="D94" s="764">
        <v>314.78774179999948</v>
      </c>
      <c r="E94" s="811">
        <v>339.35833840000004</v>
      </c>
      <c r="F94" s="748">
        <v>79.849000000000004</v>
      </c>
      <c r="G94" s="747">
        <v>79.06650519999954</v>
      </c>
      <c r="H94" s="861">
        <v>506.94599834384508</v>
      </c>
      <c r="I94" s="861">
        <v>567.54308995226495</v>
      </c>
      <c r="J94" s="861">
        <v>547.01547040536798</v>
      </c>
      <c r="K94" s="861">
        <v>543.94810179110334</v>
      </c>
      <c r="L94" s="861">
        <v>624.96200883329936</v>
      </c>
      <c r="M94" s="861">
        <v>568.45847423896021</v>
      </c>
      <c r="N94" s="861">
        <v>625.79016499333738</v>
      </c>
      <c r="O94" s="861">
        <v>694.54420689288645</v>
      </c>
      <c r="P94" s="760">
        <v>6001.803963356504</v>
      </c>
    </row>
    <row r="95" spans="1:16" s="810" customFormat="1" ht="25" customHeight="1">
      <c r="A95" s="793" t="s">
        <v>1135</v>
      </c>
      <c r="B95" s="809">
        <v>1455.0966635112591</v>
      </c>
      <c r="C95" s="809">
        <v>1418.7554656830512</v>
      </c>
      <c r="D95" s="809">
        <v>1705.8157529400596</v>
      </c>
      <c r="E95" s="808">
        <v>1809.997783842136</v>
      </c>
      <c r="F95" s="807">
        <v>423.40879107831154</v>
      </c>
      <c r="G95" s="806">
        <v>430.10240666366531</v>
      </c>
      <c r="H95" s="862">
        <v>1648.1777257737876</v>
      </c>
      <c r="I95" s="862">
        <v>1631.5126922204081</v>
      </c>
      <c r="J95" s="862">
        <v>1901.9259365464368</v>
      </c>
      <c r="K95" s="862">
        <v>1658.3324440774541</v>
      </c>
      <c r="L95" s="862">
        <v>1908.9649623004689</v>
      </c>
      <c r="M95" s="862">
        <v>1945.1730578787265</v>
      </c>
      <c r="N95" s="862">
        <v>1729.4505994743358</v>
      </c>
      <c r="O95" s="862">
        <v>2435.2012662290617</v>
      </c>
      <c r="P95" s="804">
        <v>21248.404350477187</v>
      </c>
    </row>
    <row r="96" spans="1:16" ht="25" customHeight="1">
      <c r="A96" s="743" t="s">
        <v>1137</v>
      </c>
      <c r="B96" s="803">
        <v>5593.2517900437006</v>
      </c>
      <c r="C96" s="803">
        <v>5428.6184524500504</v>
      </c>
      <c r="D96" s="803">
        <v>5956.5872485790596</v>
      </c>
      <c r="E96" s="817">
        <v>6320.3834884325115</v>
      </c>
      <c r="F96" s="816">
        <v>1478.5133749213117</v>
      </c>
      <c r="G96" s="815">
        <v>1501.8870043264151</v>
      </c>
      <c r="H96" s="861">
        <v>5956.5872485790596</v>
      </c>
      <c r="I96" s="861">
        <v>5956.5872485790596</v>
      </c>
      <c r="J96" s="861">
        <v>5956.5872485790596</v>
      </c>
      <c r="K96" s="861">
        <v>5956.5872485790596</v>
      </c>
      <c r="L96" s="861">
        <v>5956.5872485790596</v>
      </c>
      <c r="M96" s="861">
        <v>5956.5872485790596</v>
      </c>
      <c r="N96" s="861">
        <v>5956.5872485790596</v>
      </c>
      <c r="O96" s="861">
        <v>5956.5872485790596</v>
      </c>
      <c r="P96" s="760">
        <v>70951.5389681378</v>
      </c>
    </row>
    <row r="97" spans="1:16" s="767" customFormat="1" ht="25" customHeight="1">
      <c r="A97" s="860"/>
      <c r="B97" s="859"/>
      <c r="C97" s="787"/>
      <c r="D97" s="787"/>
      <c r="E97" s="858"/>
      <c r="F97" s="857"/>
      <c r="G97" s="856"/>
      <c r="H97" s="783"/>
      <c r="I97" s="783"/>
      <c r="J97" s="783"/>
      <c r="K97" s="783"/>
      <c r="L97" s="783"/>
      <c r="M97" s="783"/>
      <c r="N97" s="783"/>
      <c r="O97" s="783"/>
      <c r="P97" s="768"/>
    </row>
    <row r="98" spans="1:16" ht="25" customHeight="1">
      <c r="A98" s="855" t="s">
        <v>1373</v>
      </c>
      <c r="B98" s="803"/>
      <c r="C98" s="803"/>
      <c r="D98" s="803"/>
      <c r="E98" s="817"/>
      <c r="F98" s="854"/>
      <c r="G98" s="853"/>
      <c r="H98" s="734"/>
      <c r="I98" s="734"/>
      <c r="J98" s="734"/>
      <c r="K98" s="734"/>
      <c r="L98" s="734"/>
      <c r="M98" s="734"/>
      <c r="N98" s="734"/>
      <c r="O98" s="734"/>
      <c r="P98" s="734"/>
    </row>
    <row r="99" spans="1:16" s="790" customFormat="1" ht="25" customHeight="1">
      <c r="A99" s="812" t="s">
        <v>1138</v>
      </c>
      <c r="B99" s="764">
        <v>673</v>
      </c>
      <c r="C99" s="764">
        <v>743</v>
      </c>
      <c r="D99" s="764">
        <v>816</v>
      </c>
      <c r="E99" s="802">
        <v>860</v>
      </c>
      <c r="F99" s="740">
        <v>202.35294117647058</v>
      </c>
      <c r="G99" s="739">
        <v>181.88235294117646</v>
      </c>
      <c r="H99" s="852">
        <v>1238.6438167873266</v>
      </c>
      <c r="I99" s="852">
        <v>1174.9206823180475</v>
      </c>
      <c r="J99" s="852">
        <v>885.49338208476547</v>
      </c>
      <c r="K99" s="852">
        <v>993.09365478165273</v>
      </c>
      <c r="L99" s="852">
        <v>1055.6712801651502</v>
      </c>
      <c r="M99" s="852">
        <v>1170.6453724892108</v>
      </c>
      <c r="N99" s="852">
        <v>1193.1464666286865</v>
      </c>
      <c r="O99" s="852">
        <v>1217.1878242307594</v>
      </c>
      <c r="P99" s="760">
        <v>12020.802479485599</v>
      </c>
    </row>
    <row r="100" spans="1:16" s="774" customFormat="1" ht="25" customHeight="1">
      <c r="A100" s="851"/>
      <c r="B100" s="783"/>
      <c r="C100" s="783"/>
      <c r="D100" s="783"/>
      <c r="E100" s="850"/>
      <c r="F100" s="850"/>
      <c r="G100" s="850"/>
      <c r="H100" s="783"/>
      <c r="I100" s="783"/>
      <c r="J100" s="783"/>
      <c r="K100" s="783"/>
      <c r="L100" s="783"/>
      <c r="M100" s="783"/>
      <c r="N100" s="783"/>
      <c r="O100" s="783"/>
      <c r="P100" s="783"/>
    </row>
    <row r="101" spans="1:16" s="774" customFormat="1" ht="25" customHeight="1">
      <c r="A101" s="843" t="s">
        <v>1372</v>
      </c>
      <c r="B101" s="787"/>
      <c r="C101" s="787"/>
      <c r="D101" s="787"/>
      <c r="E101" s="818"/>
      <c r="F101" s="796"/>
      <c r="G101" s="795"/>
      <c r="H101" s="783"/>
      <c r="I101" s="783"/>
      <c r="J101" s="783"/>
      <c r="K101" s="783"/>
      <c r="L101" s="783"/>
      <c r="M101" s="783"/>
      <c r="N101" s="783"/>
      <c r="O101" s="783"/>
      <c r="P101" s="783"/>
    </row>
    <row r="102" spans="1:16" s="782" customFormat="1" ht="25" hidden="1" customHeight="1">
      <c r="A102" s="788" t="s">
        <v>1129</v>
      </c>
      <c r="B102" s="787" t="s">
        <v>1293</v>
      </c>
      <c r="C102" s="787" t="s">
        <v>1293</v>
      </c>
      <c r="D102" s="787" t="s">
        <v>1293</v>
      </c>
      <c r="E102" s="786" t="s">
        <v>1293</v>
      </c>
      <c r="F102" s="778"/>
      <c r="G102" s="777"/>
      <c r="H102" s="769" t="s">
        <v>1293</v>
      </c>
      <c r="I102" s="769" t="s">
        <v>1293</v>
      </c>
      <c r="J102" s="769" t="s">
        <v>1293</v>
      </c>
      <c r="K102" s="769" t="s">
        <v>1293</v>
      </c>
      <c r="L102" s="769" t="s">
        <v>1293</v>
      </c>
      <c r="M102" s="769" t="s">
        <v>1293</v>
      </c>
      <c r="N102" s="769" t="s">
        <v>1293</v>
      </c>
      <c r="O102" s="769" t="s">
        <v>1293</v>
      </c>
      <c r="P102" s="768" t="s">
        <v>1293</v>
      </c>
    </row>
    <row r="103" spans="1:16" s="774" customFormat="1" ht="25" hidden="1" customHeight="1">
      <c r="A103" s="781" t="s">
        <v>1130</v>
      </c>
      <c r="B103" s="780" t="s">
        <v>1293</v>
      </c>
      <c r="C103" s="780" t="s">
        <v>1293</v>
      </c>
      <c r="D103" s="780" t="s">
        <v>1293</v>
      </c>
      <c r="E103" s="779" t="s">
        <v>1293</v>
      </c>
      <c r="F103" s="778"/>
      <c r="G103" s="777"/>
      <c r="H103" s="776" t="s">
        <v>1293</v>
      </c>
      <c r="I103" s="776" t="s">
        <v>1293</v>
      </c>
      <c r="J103" s="776" t="s">
        <v>1293</v>
      </c>
      <c r="K103" s="776" t="s">
        <v>1293</v>
      </c>
      <c r="L103" s="776" t="s">
        <v>1293</v>
      </c>
      <c r="M103" s="776" t="s">
        <v>1293</v>
      </c>
      <c r="N103" s="776" t="s">
        <v>1293</v>
      </c>
      <c r="O103" s="776" t="s">
        <v>1293</v>
      </c>
      <c r="P103" s="792" t="s">
        <v>1293</v>
      </c>
    </row>
    <row r="104" spans="1:16" s="774" customFormat="1" ht="25" customHeight="1">
      <c r="A104" s="788" t="s">
        <v>1131</v>
      </c>
      <c r="B104" s="787">
        <v>-0.16172963092501025</v>
      </c>
      <c r="C104" s="787">
        <v>-0.20488825154423063</v>
      </c>
      <c r="D104" s="787">
        <v>-0.1664257866285801</v>
      </c>
      <c r="E104" s="786">
        <v>-0.10313857706178309</v>
      </c>
      <c r="F104" s="785"/>
      <c r="G104" s="784"/>
      <c r="H104" s="769"/>
      <c r="I104" s="769"/>
      <c r="J104" s="769"/>
      <c r="K104" s="769"/>
      <c r="L104" s="769"/>
      <c r="M104" s="769"/>
      <c r="N104" s="769"/>
      <c r="O104" s="769"/>
      <c r="P104" s="768">
        <v>-8.7183157720056359E-2</v>
      </c>
    </row>
    <row r="105" spans="1:16" s="782" customFormat="1" ht="25" customHeight="1">
      <c r="A105" s="788" t="s">
        <v>1086</v>
      </c>
      <c r="B105" s="787">
        <v>-0.13777646411461419</v>
      </c>
      <c r="C105" s="787">
        <v>-3.1703403637032723E-2</v>
      </c>
      <c r="D105" s="787">
        <v>-0.11180022535499912</v>
      </c>
      <c r="E105" s="786">
        <v>6.1161211580088359E-2</v>
      </c>
      <c r="F105" s="785"/>
      <c r="G105" s="784"/>
      <c r="H105" s="769"/>
      <c r="I105" s="769"/>
      <c r="J105" s="769"/>
      <c r="K105" s="769"/>
      <c r="L105" s="769"/>
      <c r="M105" s="769"/>
      <c r="N105" s="769"/>
      <c r="O105" s="769"/>
      <c r="P105" s="768">
        <v>7.6287954295414906E-2</v>
      </c>
    </row>
    <row r="106" spans="1:16" s="767" customFormat="1" ht="25" customHeight="1">
      <c r="A106" s="781" t="s">
        <v>1135</v>
      </c>
      <c r="B106" s="780">
        <v>0.53631582030198355</v>
      </c>
      <c r="C106" s="780">
        <v>-0.13204824594545728</v>
      </c>
      <c r="D106" s="780">
        <v>1.9941142025341176</v>
      </c>
      <c r="E106" s="779">
        <v>-0.20804095647067744</v>
      </c>
      <c r="F106" s="778"/>
      <c r="G106" s="777"/>
      <c r="H106" s="776"/>
      <c r="I106" s="776"/>
      <c r="J106" s="776"/>
      <c r="K106" s="776"/>
      <c r="L106" s="776"/>
      <c r="M106" s="776"/>
      <c r="N106" s="776"/>
      <c r="O106" s="776"/>
      <c r="P106" s="792">
        <v>0.16486083809829766</v>
      </c>
    </row>
    <row r="107" spans="1:16" s="774" customFormat="1" ht="25" customHeight="1">
      <c r="A107" s="794" t="s">
        <v>1122</v>
      </c>
      <c r="B107" s="773">
        <v>-8.3887603253601783E-2</v>
      </c>
      <c r="C107" s="773">
        <v>-0.1758573625088462</v>
      </c>
      <c r="D107" s="773">
        <v>-1.7453475539876306E-2</v>
      </c>
      <c r="E107" s="849">
        <v>-0.10781307430059606</v>
      </c>
      <c r="F107" s="785"/>
      <c r="G107" s="784"/>
      <c r="H107" s="846">
        <v>-5.9509805707875785E-2</v>
      </c>
      <c r="I107" s="846">
        <v>-2.5165615176646838E-2</v>
      </c>
      <c r="J107" s="846">
        <v>6.3231753291943749E-2</v>
      </c>
      <c r="K107" s="846">
        <v>-1.6552311585717572E-2</v>
      </c>
      <c r="L107" s="846">
        <v>-1.890509194020995E-2</v>
      </c>
      <c r="M107" s="846">
        <v>3.9497131442003397E-3</v>
      </c>
      <c r="N107" s="846">
        <v>-1.0675703571960127E-2</v>
      </c>
      <c r="O107" s="846">
        <v>8.4381538960718538E-2</v>
      </c>
      <c r="P107" s="768">
        <v>-3.5135665141604044E-2</v>
      </c>
    </row>
    <row r="108" spans="1:16" s="774" customFormat="1" ht="25" customHeight="1">
      <c r="A108" s="794"/>
      <c r="B108" s="773"/>
      <c r="C108" s="773"/>
      <c r="D108" s="773"/>
      <c r="E108" s="849"/>
      <c r="F108" s="785"/>
      <c r="G108" s="784"/>
      <c r="H108" s="846"/>
      <c r="I108" s="846"/>
      <c r="J108" s="846"/>
      <c r="K108" s="846"/>
      <c r="L108" s="846"/>
      <c r="M108" s="846"/>
      <c r="N108" s="846"/>
      <c r="O108" s="846"/>
      <c r="P108" s="768"/>
    </row>
    <row r="109" spans="1:16" s="774" customFormat="1" ht="25" customHeight="1">
      <c r="A109" s="843" t="s">
        <v>1371</v>
      </c>
      <c r="B109" s="787"/>
      <c r="C109" s="787"/>
      <c r="D109" s="787"/>
      <c r="E109" s="786"/>
      <c r="F109" s="785"/>
      <c r="G109" s="784"/>
      <c r="H109" s="846"/>
      <c r="I109" s="846"/>
      <c r="J109" s="846"/>
      <c r="K109" s="846"/>
      <c r="L109" s="846"/>
      <c r="M109" s="846"/>
      <c r="N109" s="846"/>
      <c r="O109" s="846"/>
      <c r="P109" s="768"/>
    </row>
    <row r="110" spans="1:16" s="774" customFormat="1" ht="25" customHeight="1">
      <c r="A110" s="788" t="s">
        <v>1034</v>
      </c>
      <c r="B110" s="787">
        <v>0.34529331318773737</v>
      </c>
      <c r="C110" s="787">
        <v>0.36813658478873257</v>
      </c>
      <c r="D110" s="787">
        <v>0.3591321183186027</v>
      </c>
      <c r="E110" s="786">
        <v>0.60863925957892517</v>
      </c>
      <c r="F110" s="785"/>
      <c r="G110" s="784"/>
      <c r="H110" s="769"/>
      <c r="I110" s="769"/>
      <c r="J110" s="769"/>
      <c r="K110" s="769"/>
      <c r="L110" s="769"/>
      <c r="M110" s="769"/>
      <c r="N110" s="769"/>
      <c r="O110" s="769"/>
      <c r="P110" s="768">
        <v>0.46902399565354114</v>
      </c>
    </row>
    <row r="111" spans="1:16" s="774" customFormat="1" ht="25" customHeight="1">
      <c r="A111" s="788" t="s">
        <v>313</v>
      </c>
      <c r="B111" s="787">
        <v>0.98141682986106393</v>
      </c>
      <c r="C111" s="787">
        <v>0.50218294157741239</v>
      </c>
      <c r="D111" s="787">
        <v>0.46986199437726661</v>
      </c>
      <c r="E111" s="786">
        <v>0.72855143300554093</v>
      </c>
      <c r="F111" s="785"/>
      <c r="G111" s="784"/>
      <c r="H111" s="769"/>
      <c r="I111" s="769"/>
      <c r="J111" s="769"/>
      <c r="K111" s="769"/>
      <c r="L111" s="769"/>
      <c r="M111" s="769"/>
      <c r="N111" s="769"/>
      <c r="O111" s="769"/>
      <c r="P111" s="768">
        <v>0.34110604305150516</v>
      </c>
    </row>
    <row r="112" spans="1:16" s="782" customFormat="1" ht="25" customHeight="1">
      <c r="A112" s="788" t="s">
        <v>1058</v>
      </c>
      <c r="B112" s="787">
        <v>0.43352944670444526</v>
      </c>
      <c r="C112" s="787">
        <v>0.30972043459941379</v>
      </c>
      <c r="D112" s="787">
        <v>0.30744225522389512</v>
      </c>
      <c r="E112" s="786">
        <v>0.31784623020679481</v>
      </c>
      <c r="F112" s="785"/>
      <c r="G112" s="784"/>
      <c r="H112" s="769"/>
      <c r="I112" s="769"/>
      <c r="J112" s="769"/>
      <c r="K112" s="769"/>
      <c r="L112" s="769"/>
      <c r="M112" s="769"/>
      <c r="N112" s="769"/>
      <c r="O112" s="769"/>
      <c r="P112" s="768">
        <v>0.57499815323824865</v>
      </c>
    </row>
    <row r="113" spans="1:16" s="774" customFormat="1" ht="25" customHeight="1">
      <c r="A113" s="781" t="s">
        <v>1135</v>
      </c>
      <c r="B113" s="780">
        <v>0.36026569349993376</v>
      </c>
      <c r="C113" s="780">
        <v>0.13170482003985606</v>
      </c>
      <c r="D113" s="780">
        <v>2.2640591212493923</v>
      </c>
      <c r="E113" s="779">
        <v>0.33032837804619097</v>
      </c>
      <c r="F113" s="778"/>
      <c r="G113" s="777"/>
      <c r="H113" s="776"/>
      <c r="I113" s="776"/>
      <c r="J113" s="776"/>
      <c r="K113" s="776"/>
      <c r="L113" s="776"/>
      <c r="M113" s="776"/>
      <c r="N113" s="776"/>
      <c r="O113" s="776"/>
      <c r="P113" s="792">
        <v>0.59765358084911901</v>
      </c>
    </row>
    <row r="114" spans="1:16" s="774" customFormat="1" ht="25" customHeight="1">
      <c r="A114" s="794" t="s">
        <v>1123</v>
      </c>
      <c r="B114" s="773">
        <v>0.40199231663095847</v>
      </c>
      <c r="C114" s="773">
        <v>0.30520938051711299</v>
      </c>
      <c r="D114" s="773">
        <v>0.64225429824590674</v>
      </c>
      <c r="E114" s="772">
        <v>0.51166599170398452</v>
      </c>
      <c r="F114" s="848"/>
      <c r="G114" s="847"/>
      <c r="H114" s="846">
        <v>0.47102269670756591</v>
      </c>
      <c r="I114" s="846">
        <v>0.48679127071440043</v>
      </c>
      <c r="J114" s="846">
        <v>0.48099402536199887</v>
      </c>
      <c r="K114" s="846">
        <v>0.27398956584615464</v>
      </c>
      <c r="L114" s="846">
        <v>9.0511146983308643E-2</v>
      </c>
      <c r="M114" s="846">
        <v>8.6694904430234532E-2</v>
      </c>
      <c r="N114" s="846">
        <v>2.7720272532533841E-2</v>
      </c>
      <c r="O114" s="846">
        <v>8.9931924297796728E-2</v>
      </c>
      <c r="P114" s="767">
        <v>0.2920335528513951</v>
      </c>
    </row>
    <row r="115" spans="1:16" ht="25" customHeight="1">
      <c r="A115" s="845"/>
      <c r="B115" s="734"/>
      <c r="C115" s="734"/>
      <c r="D115" s="734"/>
      <c r="E115" s="766"/>
      <c r="F115" s="766"/>
      <c r="G115" s="766"/>
      <c r="H115" s="734"/>
      <c r="I115" s="734"/>
      <c r="J115" s="734"/>
      <c r="K115" s="734"/>
      <c r="L115" s="734"/>
      <c r="M115" s="734"/>
      <c r="N115" s="734"/>
      <c r="O115" s="734"/>
      <c r="P115" s="767"/>
    </row>
    <row r="116" spans="1:16" s="744" customFormat="1" ht="25" customHeight="1">
      <c r="A116" s="843" t="s">
        <v>1370</v>
      </c>
      <c r="B116" s="742"/>
      <c r="C116" s="742"/>
      <c r="D116" s="742"/>
      <c r="E116" s="818"/>
      <c r="F116" s="796"/>
      <c r="G116" s="795"/>
      <c r="H116" s="756"/>
      <c r="I116" s="756"/>
      <c r="J116" s="756"/>
      <c r="K116" s="756"/>
      <c r="L116" s="756"/>
      <c r="M116" s="756"/>
      <c r="N116" s="756"/>
      <c r="O116" s="756"/>
      <c r="P116" s="737"/>
    </row>
    <row r="117" spans="1:16" s="736" customFormat="1" ht="25" customHeight="1">
      <c r="A117" s="754" t="s">
        <v>1131</v>
      </c>
      <c r="B117" s="742">
        <v>-769.92082869852493</v>
      </c>
      <c r="C117" s="742">
        <v>-843.53335603792675</v>
      </c>
      <c r="D117" s="742">
        <v>-1090.7878526296909</v>
      </c>
      <c r="E117" s="753">
        <v>-1122.1768758872058</v>
      </c>
      <c r="F117" s="844"/>
      <c r="G117" s="841"/>
      <c r="H117" s="738">
        <v>0</v>
      </c>
      <c r="I117" s="738">
        <v>0</v>
      </c>
      <c r="J117" s="738">
        <v>0</v>
      </c>
      <c r="K117" s="738">
        <v>0</v>
      </c>
      <c r="L117" s="738">
        <v>0</v>
      </c>
      <c r="M117" s="738">
        <v>0</v>
      </c>
      <c r="N117" s="738">
        <v>0</v>
      </c>
      <c r="O117" s="738">
        <v>0</v>
      </c>
      <c r="P117" s="737">
        <v>-3826.4189132533484</v>
      </c>
    </row>
    <row r="118" spans="1:16" s="752" customFormat="1" ht="25" customHeight="1">
      <c r="A118" s="754" t="s">
        <v>1086</v>
      </c>
      <c r="B118" s="742">
        <v>-180.29008174418891</v>
      </c>
      <c r="C118" s="742">
        <v>-114.72974504209878</v>
      </c>
      <c r="D118" s="742">
        <v>-183.37160515699998</v>
      </c>
      <c r="E118" s="753">
        <v>-62.274897429920202</v>
      </c>
      <c r="F118" s="844"/>
      <c r="G118" s="841"/>
      <c r="H118" s="738">
        <v>0</v>
      </c>
      <c r="I118" s="738">
        <v>0</v>
      </c>
      <c r="J118" s="738">
        <v>0</v>
      </c>
      <c r="K118" s="738">
        <v>0</v>
      </c>
      <c r="L118" s="738">
        <v>0</v>
      </c>
      <c r="M118" s="738">
        <v>0</v>
      </c>
      <c r="N118" s="738">
        <v>0</v>
      </c>
      <c r="O118" s="738">
        <v>0</v>
      </c>
      <c r="P118" s="737">
        <v>-540.66632937320787</v>
      </c>
    </row>
    <row r="119" spans="1:16" s="736" customFormat="1" ht="25" customHeight="1">
      <c r="A119" s="751" t="s">
        <v>1135</v>
      </c>
      <c r="B119" s="750">
        <v>1297.8685430399642</v>
      </c>
      <c r="C119" s="750">
        <v>749.12406613368501</v>
      </c>
      <c r="D119" s="750">
        <v>773.3448541836915</v>
      </c>
      <c r="E119" s="749">
        <v>916.74896868518726</v>
      </c>
      <c r="F119" s="840"/>
      <c r="G119" s="836"/>
      <c r="H119" s="746">
        <v>0</v>
      </c>
      <c r="I119" s="746">
        <v>0</v>
      </c>
      <c r="J119" s="746">
        <v>0</v>
      </c>
      <c r="K119" s="746">
        <v>0</v>
      </c>
      <c r="L119" s="746">
        <v>0</v>
      </c>
      <c r="M119" s="746">
        <v>0</v>
      </c>
      <c r="N119" s="746">
        <v>0</v>
      </c>
      <c r="O119" s="746">
        <v>0</v>
      </c>
      <c r="P119" s="745">
        <v>3737.086432042528</v>
      </c>
    </row>
    <row r="120" spans="1:16" s="744" customFormat="1" ht="25" customHeight="1">
      <c r="A120" s="758" t="s">
        <v>1122</v>
      </c>
      <c r="B120" s="835">
        <v>347.65763259725031</v>
      </c>
      <c r="C120" s="835">
        <v>-209.13903494634053</v>
      </c>
      <c r="D120" s="835">
        <v>-500.81460360299934</v>
      </c>
      <c r="E120" s="838">
        <v>-267.70280463193876</v>
      </c>
      <c r="F120" s="842"/>
      <c r="G120" s="841"/>
      <c r="H120" s="738">
        <v>0</v>
      </c>
      <c r="I120" s="738">
        <v>0</v>
      </c>
      <c r="J120" s="738">
        <v>0</v>
      </c>
      <c r="K120" s="738">
        <v>0</v>
      </c>
      <c r="L120" s="738">
        <v>0</v>
      </c>
      <c r="M120" s="738">
        <v>0</v>
      </c>
      <c r="N120" s="738">
        <v>0</v>
      </c>
      <c r="O120" s="738">
        <v>0</v>
      </c>
      <c r="P120" s="737">
        <v>-629.99881058402832</v>
      </c>
    </row>
    <row r="121" spans="1:16" s="744" customFormat="1" ht="25" customHeight="1">
      <c r="A121" s="757"/>
      <c r="B121" s="742"/>
      <c r="C121" s="742"/>
      <c r="D121" s="742"/>
      <c r="E121" s="753"/>
      <c r="F121" s="842"/>
      <c r="G121" s="841"/>
      <c r="H121" s="738"/>
      <c r="I121" s="738"/>
      <c r="J121" s="738"/>
      <c r="K121" s="738"/>
      <c r="L121" s="738"/>
      <c r="M121" s="738"/>
      <c r="N121" s="738"/>
      <c r="O121" s="738"/>
      <c r="P121" s="737"/>
    </row>
    <row r="122" spans="1:16" s="744" customFormat="1" ht="25" customHeight="1">
      <c r="A122" s="843" t="s">
        <v>1369</v>
      </c>
      <c r="B122" s="742"/>
      <c r="C122" s="742"/>
      <c r="D122" s="742"/>
      <c r="E122" s="753"/>
      <c r="F122" s="842"/>
      <c r="G122" s="841"/>
      <c r="H122" s="738"/>
      <c r="I122" s="738"/>
      <c r="J122" s="738"/>
      <c r="K122" s="738"/>
      <c r="L122" s="738"/>
      <c r="M122" s="738"/>
      <c r="N122" s="738"/>
      <c r="O122" s="738"/>
      <c r="P122" s="737"/>
    </row>
    <row r="123" spans="1:16" s="744" customFormat="1" ht="25" customHeight="1">
      <c r="A123" s="754" t="s">
        <v>1034</v>
      </c>
      <c r="B123" s="742">
        <v>-197.51248182517247</v>
      </c>
      <c r="C123" s="742">
        <v>-39.476824862672402</v>
      </c>
      <c r="D123" s="742">
        <v>54.220702339000127</v>
      </c>
      <c r="E123" s="753">
        <v>289.59134985479977</v>
      </c>
      <c r="F123" s="842"/>
      <c r="G123" s="841"/>
      <c r="H123" s="738">
        <v>0</v>
      </c>
      <c r="I123" s="738">
        <v>0</v>
      </c>
      <c r="J123" s="738">
        <v>0</v>
      </c>
      <c r="K123" s="738">
        <v>0</v>
      </c>
      <c r="L123" s="738">
        <v>0</v>
      </c>
      <c r="M123" s="738">
        <v>0</v>
      </c>
      <c r="N123" s="738">
        <v>0</v>
      </c>
      <c r="O123" s="738">
        <v>0</v>
      </c>
      <c r="P123" s="737">
        <v>106.82274550595321</v>
      </c>
    </row>
    <row r="124" spans="1:16" s="744" customFormat="1" ht="25" customHeight="1">
      <c r="A124" s="754" t="s">
        <v>313</v>
      </c>
      <c r="B124" s="742">
        <v>72.089919221004266</v>
      </c>
      <c r="C124" s="742">
        <v>27.536393040375515</v>
      </c>
      <c r="D124" s="742">
        <v>81.763051500000074</v>
      </c>
      <c r="E124" s="753">
        <v>224.41119625000005</v>
      </c>
      <c r="F124" s="842"/>
      <c r="G124" s="841"/>
      <c r="H124" s="738">
        <v>0</v>
      </c>
      <c r="I124" s="738">
        <v>0</v>
      </c>
      <c r="J124" s="738">
        <v>0</v>
      </c>
      <c r="K124" s="738">
        <v>0</v>
      </c>
      <c r="L124" s="738">
        <v>0</v>
      </c>
      <c r="M124" s="738">
        <v>0</v>
      </c>
      <c r="N124" s="738">
        <v>0</v>
      </c>
      <c r="O124" s="738">
        <v>0</v>
      </c>
      <c r="P124" s="737">
        <v>405.8005600113799</v>
      </c>
    </row>
    <row r="125" spans="1:16" s="752" customFormat="1" ht="25" customHeight="1">
      <c r="A125" s="788" t="s">
        <v>1058</v>
      </c>
      <c r="B125" s="742">
        <v>73.820779572008632</v>
      </c>
      <c r="C125" s="742">
        <v>40.186245072211705</v>
      </c>
      <c r="D125" s="742">
        <v>53.858741799999507</v>
      </c>
      <c r="E125" s="753">
        <v>55.494330444449986</v>
      </c>
      <c r="F125" s="842"/>
      <c r="G125" s="841"/>
      <c r="H125" s="738">
        <v>0</v>
      </c>
      <c r="I125" s="738">
        <v>0</v>
      </c>
      <c r="J125" s="738">
        <v>0</v>
      </c>
      <c r="K125" s="738">
        <v>0</v>
      </c>
      <c r="L125" s="738">
        <v>0</v>
      </c>
      <c r="M125" s="738">
        <v>0</v>
      </c>
      <c r="N125" s="738">
        <v>0</v>
      </c>
      <c r="O125" s="738">
        <v>0</v>
      </c>
      <c r="P125" s="737">
        <v>223.36009688866983</v>
      </c>
    </row>
    <row r="126" spans="1:16" s="744" customFormat="1" ht="25" customHeight="1">
      <c r="A126" s="751" t="s">
        <v>1135</v>
      </c>
      <c r="B126" s="750">
        <v>20.324679688479819</v>
      </c>
      <c r="C126" s="750">
        <v>3.3649425193812021</v>
      </c>
      <c r="D126" s="750">
        <v>40.81575294005961</v>
      </c>
      <c r="E126" s="749">
        <v>259.61016916093422</v>
      </c>
      <c r="F126" s="840"/>
      <c r="G126" s="836"/>
      <c r="H126" s="746">
        <v>0</v>
      </c>
      <c r="I126" s="746">
        <v>0</v>
      </c>
      <c r="J126" s="746">
        <v>0</v>
      </c>
      <c r="K126" s="746">
        <v>0</v>
      </c>
      <c r="L126" s="746">
        <v>0</v>
      </c>
      <c r="M126" s="746">
        <v>0</v>
      </c>
      <c r="N126" s="746">
        <v>0</v>
      </c>
      <c r="O126" s="746">
        <v>0</v>
      </c>
      <c r="P126" s="745">
        <v>324.11554430885485</v>
      </c>
    </row>
    <row r="127" spans="1:16" ht="25" customHeight="1">
      <c r="A127" s="758" t="s">
        <v>1123</v>
      </c>
      <c r="B127" s="835">
        <v>-31.277103343679755</v>
      </c>
      <c r="C127" s="835">
        <v>31.61075576929602</v>
      </c>
      <c r="D127" s="835">
        <v>230.65824857905932</v>
      </c>
      <c r="E127" s="834">
        <v>829.10704571018402</v>
      </c>
      <c r="F127" s="839"/>
      <c r="G127" s="832"/>
      <c r="H127" s="738">
        <v>0</v>
      </c>
      <c r="I127" s="738">
        <v>0</v>
      </c>
      <c r="J127" s="738">
        <v>0</v>
      </c>
      <c r="K127" s="738">
        <v>0</v>
      </c>
      <c r="L127" s="738">
        <v>0</v>
      </c>
      <c r="M127" s="738">
        <v>0</v>
      </c>
      <c r="N127" s="738">
        <v>0</v>
      </c>
      <c r="O127" s="738">
        <v>0</v>
      </c>
      <c r="P127" s="737">
        <v>1060.0989467148597</v>
      </c>
    </row>
    <row r="128" spans="1:16" ht="25" hidden="1" customHeight="1">
      <c r="A128" s="814"/>
      <c r="B128" s="764"/>
      <c r="C128" s="764"/>
      <c r="D128" s="764"/>
      <c r="E128" s="838"/>
      <c r="F128" s="837"/>
      <c r="G128" s="836"/>
      <c r="H128" s="734"/>
      <c r="I128" s="734"/>
      <c r="J128" s="734"/>
      <c r="K128" s="734"/>
      <c r="L128" s="734"/>
      <c r="M128" s="734"/>
      <c r="N128" s="734"/>
      <c r="O128" s="734"/>
      <c r="P128" s="734"/>
    </row>
    <row r="129" spans="1:16" ht="25" hidden="1" customHeight="1">
      <c r="A129" s="794" t="s">
        <v>1368</v>
      </c>
      <c r="B129" s="835">
        <v>-471.69353132736614</v>
      </c>
      <c r="C129" s="835">
        <v>-379.8088494881913</v>
      </c>
      <c r="D129" s="835">
        <v>-329.84657835080543</v>
      </c>
      <c r="E129" s="834">
        <v>-452.17794266636247</v>
      </c>
      <c r="F129" s="833"/>
      <c r="G129" s="832"/>
      <c r="H129" s="738">
        <v>0</v>
      </c>
      <c r="I129" s="738">
        <v>0</v>
      </c>
      <c r="J129" s="738">
        <v>0</v>
      </c>
      <c r="K129" s="738">
        <v>0</v>
      </c>
      <c r="L129" s="738">
        <v>0</v>
      </c>
      <c r="M129" s="738">
        <v>0</v>
      </c>
      <c r="N129" s="738">
        <v>0</v>
      </c>
      <c r="O129" s="738">
        <v>0</v>
      </c>
      <c r="P129" s="737">
        <v>-1633.5269018327253</v>
      </c>
    </row>
    <row r="130" spans="1:16" s="827" customFormat="1" ht="25" customHeight="1">
      <c r="A130" s="831"/>
      <c r="B130" s="828"/>
      <c r="C130" s="828"/>
      <c r="D130" s="828"/>
      <c r="E130" s="829"/>
      <c r="F130" s="830"/>
      <c r="G130" s="829"/>
      <c r="H130" s="738"/>
      <c r="I130" s="738"/>
      <c r="J130" s="738"/>
      <c r="K130" s="738"/>
      <c r="L130" s="738"/>
      <c r="M130" s="738"/>
      <c r="N130" s="738"/>
      <c r="O130" s="738"/>
      <c r="P130" s="828"/>
    </row>
    <row r="131" spans="1:16" ht="25" customHeight="1">
      <c r="A131" s="826"/>
      <c r="B131" s="824"/>
      <c r="C131" s="824"/>
      <c r="D131" s="824"/>
      <c r="E131" s="824"/>
      <c r="F131" s="824"/>
      <c r="G131" s="824"/>
      <c r="H131" s="824"/>
      <c r="I131" s="824"/>
      <c r="J131" s="824"/>
      <c r="K131" s="824"/>
      <c r="L131" s="824"/>
      <c r="M131" s="824"/>
      <c r="N131" s="824"/>
      <c r="O131" s="824"/>
      <c r="P131" s="824"/>
    </row>
    <row r="132" spans="1:16" ht="25" customHeight="1">
      <c r="A132" s="825" t="s">
        <v>78</v>
      </c>
      <c r="B132" s="824"/>
      <c r="C132" s="824"/>
      <c r="D132" s="824"/>
      <c r="E132" s="824"/>
      <c r="F132" s="824"/>
      <c r="G132" s="824"/>
      <c r="H132" s="824"/>
      <c r="I132" s="824"/>
      <c r="J132" s="824"/>
      <c r="K132" s="824"/>
      <c r="L132" s="824"/>
      <c r="M132" s="824"/>
      <c r="N132" s="824"/>
      <c r="O132" s="824"/>
      <c r="P132" s="823" t="s">
        <v>1367</v>
      </c>
    </row>
    <row r="133" spans="1:16" ht="25" customHeight="1">
      <c r="A133" s="822" t="s">
        <v>1114</v>
      </c>
      <c r="B133" s="821" t="s">
        <v>1115</v>
      </c>
      <c r="C133" s="821" t="s">
        <v>1116</v>
      </c>
      <c r="D133" s="821" t="s">
        <v>1117</v>
      </c>
      <c r="E133" s="821" t="s">
        <v>1118</v>
      </c>
      <c r="F133" s="821" t="s">
        <v>1366</v>
      </c>
      <c r="G133" s="821" t="s">
        <v>1152</v>
      </c>
      <c r="H133" s="820" t="s">
        <v>1365</v>
      </c>
      <c r="I133" s="820" t="s">
        <v>1364</v>
      </c>
      <c r="J133" s="820" t="s">
        <v>1363</v>
      </c>
      <c r="K133" s="820" t="s">
        <v>1362</v>
      </c>
      <c r="L133" s="820" t="s">
        <v>1361</v>
      </c>
      <c r="M133" s="820" t="s">
        <v>1360</v>
      </c>
      <c r="N133" s="820" t="s">
        <v>1359</v>
      </c>
      <c r="O133" s="820" t="s">
        <v>1358</v>
      </c>
      <c r="P133" s="819" t="s">
        <v>1295</v>
      </c>
    </row>
    <row r="134" spans="1:16" ht="25" customHeight="1">
      <c r="B134" s="734"/>
      <c r="C134" s="734"/>
      <c r="D134" s="734"/>
      <c r="E134" s="734"/>
      <c r="F134" s="734"/>
      <c r="G134" s="734"/>
      <c r="H134" s="734"/>
      <c r="I134" s="734"/>
      <c r="J134" s="734"/>
      <c r="K134" s="734"/>
      <c r="L134" s="734"/>
      <c r="M134" s="734"/>
      <c r="N134" s="734"/>
      <c r="O134" s="734"/>
      <c r="P134" s="734"/>
    </row>
    <row r="135" spans="1:16" ht="25" customHeight="1">
      <c r="A135" s="813" t="s">
        <v>1357</v>
      </c>
      <c r="B135" s="764"/>
      <c r="C135" s="764"/>
      <c r="D135" s="764"/>
      <c r="E135" s="818"/>
      <c r="F135" s="796"/>
      <c r="G135" s="795"/>
      <c r="H135" s="734"/>
      <c r="I135" s="734"/>
      <c r="J135" s="734"/>
      <c r="K135" s="734"/>
      <c r="L135" s="734"/>
      <c r="M135" s="734"/>
      <c r="N135" s="734"/>
      <c r="O135" s="734"/>
      <c r="P135" s="760"/>
    </row>
    <row r="136" spans="1:16" ht="25" customHeight="1">
      <c r="A136" s="812" t="s">
        <v>1139</v>
      </c>
      <c r="B136" s="764">
        <v>14.726016814999999</v>
      </c>
      <c r="C136" s="764">
        <v>10.619665393</v>
      </c>
      <c r="D136" s="764">
        <v>11.432736056</v>
      </c>
      <c r="E136" s="811">
        <v>13.106148512499999</v>
      </c>
      <c r="F136" s="748">
        <v>2.6350180289999998</v>
      </c>
      <c r="G136" s="747">
        <v>2.7951523327499999</v>
      </c>
      <c r="H136" s="769" t="s">
        <v>1293</v>
      </c>
      <c r="I136" s="769" t="s">
        <v>1293</v>
      </c>
      <c r="J136" s="769" t="s">
        <v>1293</v>
      </c>
      <c r="K136" s="769" t="s">
        <v>1293</v>
      </c>
      <c r="L136" s="769" t="s">
        <v>1293</v>
      </c>
      <c r="M136" s="769" t="s">
        <v>1293</v>
      </c>
      <c r="N136" s="769" t="s">
        <v>1293</v>
      </c>
      <c r="O136" s="769" t="s">
        <v>1293</v>
      </c>
      <c r="P136" s="768" t="s">
        <v>1293</v>
      </c>
    </row>
    <row r="137" spans="1:16" s="810" customFormat="1" ht="25" customHeight="1">
      <c r="A137" s="812" t="s">
        <v>1140</v>
      </c>
      <c r="B137" s="764">
        <v>27.651023898999998</v>
      </c>
      <c r="C137" s="764">
        <v>18.957883741</v>
      </c>
      <c r="D137" s="764">
        <v>18.409149921000001</v>
      </c>
      <c r="E137" s="811">
        <v>19.149149641249998</v>
      </c>
      <c r="F137" s="748">
        <v>3.6424155424999998</v>
      </c>
      <c r="G137" s="747">
        <v>4.3025457683749995</v>
      </c>
      <c r="H137" s="769" t="s">
        <v>1293</v>
      </c>
      <c r="I137" s="769" t="s">
        <v>1293</v>
      </c>
      <c r="J137" s="769" t="s">
        <v>1293</v>
      </c>
      <c r="K137" s="769" t="s">
        <v>1293</v>
      </c>
      <c r="L137" s="769" t="s">
        <v>1293</v>
      </c>
      <c r="M137" s="769" t="s">
        <v>1293</v>
      </c>
      <c r="N137" s="769" t="s">
        <v>1293</v>
      </c>
      <c r="O137" s="769" t="s">
        <v>1293</v>
      </c>
      <c r="P137" s="768" t="s">
        <v>1293</v>
      </c>
    </row>
    <row r="138" spans="1:16" ht="25" customHeight="1">
      <c r="A138" s="793" t="s">
        <v>1141</v>
      </c>
      <c r="B138" s="809">
        <v>353.46086362400001</v>
      </c>
      <c r="C138" s="809">
        <v>215.01997854999999</v>
      </c>
      <c r="D138" s="809">
        <v>151.46352360500001</v>
      </c>
      <c r="E138" s="808">
        <v>194.74814125625002</v>
      </c>
      <c r="F138" s="807">
        <v>36.394667791499998</v>
      </c>
      <c r="G138" s="806">
        <v>35.718251443124998</v>
      </c>
      <c r="H138" s="776" t="s">
        <v>1293</v>
      </c>
      <c r="I138" s="776" t="s">
        <v>1293</v>
      </c>
      <c r="J138" s="776" t="s">
        <v>1293</v>
      </c>
      <c r="K138" s="776" t="s">
        <v>1293</v>
      </c>
      <c r="L138" s="776" t="s">
        <v>1293</v>
      </c>
      <c r="M138" s="776" t="s">
        <v>1293</v>
      </c>
      <c r="N138" s="776" t="s">
        <v>1293</v>
      </c>
      <c r="O138" s="776" t="s">
        <v>1293</v>
      </c>
      <c r="P138" s="792" t="s">
        <v>1293</v>
      </c>
    </row>
    <row r="139" spans="1:16" s="790" customFormat="1" ht="25" customHeight="1">
      <c r="A139" s="743" t="s">
        <v>1142</v>
      </c>
      <c r="B139" s="803">
        <v>395.83790433799999</v>
      </c>
      <c r="C139" s="803">
        <v>244.597527684</v>
      </c>
      <c r="D139" s="803">
        <v>181.30540958200001</v>
      </c>
      <c r="E139" s="817">
        <v>227.00343941000003</v>
      </c>
      <c r="F139" s="816">
        <v>42.672101362999996</v>
      </c>
      <c r="G139" s="815">
        <v>42.815949544249996</v>
      </c>
      <c r="H139" s="798">
        <v>262.5</v>
      </c>
      <c r="I139" s="798">
        <v>456</v>
      </c>
      <c r="J139" s="798">
        <v>483</v>
      </c>
      <c r="K139" s="798">
        <v>543</v>
      </c>
      <c r="L139" s="798">
        <v>702</v>
      </c>
      <c r="M139" s="798">
        <v>715</v>
      </c>
      <c r="N139" s="798">
        <v>642</v>
      </c>
      <c r="O139" s="798">
        <v>746.39599999999996</v>
      </c>
      <c r="P139" s="760">
        <v>5598.6402810139998</v>
      </c>
    </row>
    <row r="140" spans="1:16" s="791" customFormat="1" ht="25" customHeight="1">
      <c r="A140" s="793" t="s">
        <v>1135</v>
      </c>
      <c r="B140" s="809">
        <v>174.69209566199999</v>
      </c>
      <c r="C140" s="809">
        <v>131.34747231599999</v>
      </c>
      <c r="D140" s="809">
        <v>130.929590418</v>
      </c>
      <c r="E140" s="808">
        <v>88.891841566364548</v>
      </c>
      <c r="F140" s="807">
        <v>19.543728284816847</v>
      </c>
      <c r="G140" s="806">
        <v>19.180496577474916</v>
      </c>
      <c r="H140" s="805">
        <v>112.5</v>
      </c>
      <c r="I140" s="805">
        <v>304</v>
      </c>
      <c r="J140" s="805">
        <v>322</v>
      </c>
      <c r="K140" s="805">
        <v>362</v>
      </c>
      <c r="L140" s="805">
        <v>468</v>
      </c>
      <c r="M140" s="805">
        <v>715</v>
      </c>
      <c r="N140" s="805">
        <v>642</v>
      </c>
      <c r="O140" s="805">
        <v>746.39599999999996</v>
      </c>
      <c r="P140" s="804">
        <v>4197.7569999623647</v>
      </c>
    </row>
    <row r="141" spans="1:16" s="790" customFormat="1" ht="25" customHeight="1">
      <c r="A141" s="743" t="s">
        <v>1143</v>
      </c>
      <c r="B141" s="803">
        <v>570.53</v>
      </c>
      <c r="C141" s="803">
        <v>375.94499999999999</v>
      </c>
      <c r="D141" s="803">
        <v>312.23500000000001</v>
      </c>
      <c r="E141" s="817">
        <v>315.89528097636457</v>
      </c>
      <c r="F141" s="816">
        <v>62.215829647816847</v>
      </c>
      <c r="G141" s="815">
        <v>61.996446121724915</v>
      </c>
      <c r="H141" s="798">
        <v>375</v>
      </c>
      <c r="I141" s="798">
        <v>760</v>
      </c>
      <c r="J141" s="798">
        <v>805</v>
      </c>
      <c r="K141" s="798">
        <v>905</v>
      </c>
      <c r="L141" s="798">
        <v>1170</v>
      </c>
      <c r="M141" s="798">
        <v>1430</v>
      </c>
      <c r="N141" s="798">
        <v>1284</v>
      </c>
      <c r="O141" s="798">
        <v>1492.7919999999999</v>
      </c>
      <c r="P141" s="760">
        <v>9796.3972809763636</v>
      </c>
    </row>
    <row r="142" spans="1:16" ht="25" customHeight="1">
      <c r="A142" s="814"/>
      <c r="B142" s="764"/>
      <c r="C142" s="764"/>
      <c r="D142" s="764"/>
      <c r="E142" s="811"/>
      <c r="F142" s="748"/>
      <c r="G142" s="747"/>
      <c r="H142" s="798"/>
      <c r="I142" s="798"/>
      <c r="J142" s="798"/>
      <c r="K142" s="798"/>
      <c r="L142" s="798"/>
      <c r="M142" s="798"/>
      <c r="N142" s="798"/>
      <c r="O142" s="798"/>
      <c r="P142" s="734"/>
    </row>
    <row r="143" spans="1:16" ht="25" customHeight="1">
      <c r="A143" s="813" t="s">
        <v>1125</v>
      </c>
      <c r="B143" s="764"/>
      <c r="C143" s="764"/>
      <c r="D143" s="764"/>
      <c r="E143" s="811"/>
      <c r="F143" s="748"/>
      <c r="G143" s="747"/>
      <c r="H143" s="798"/>
      <c r="I143" s="798"/>
      <c r="J143" s="798"/>
      <c r="K143" s="798"/>
      <c r="L143" s="798"/>
      <c r="M143" s="798"/>
      <c r="N143" s="798"/>
      <c r="O143" s="798"/>
      <c r="P143" s="734"/>
    </row>
    <row r="144" spans="1:16" s="810" customFormat="1" ht="25" customHeight="1">
      <c r="A144" s="812" t="s">
        <v>1144</v>
      </c>
      <c r="B144" s="764">
        <v>1082</v>
      </c>
      <c r="C144" s="764">
        <v>1447</v>
      </c>
      <c r="D144" s="764">
        <v>1470.153</v>
      </c>
      <c r="E144" s="811">
        <v>1492.7055416666667</v>
      </c>
      <c r="F144" s="748">
        <v>368.84966666666668</v>
      </c>
      <c r="G144" s="747">
        <v>372.2311666666667</v>
      </c>
      <c r="H144" s="799">
        <v>1571.1154017000001</v>
      </c>
      <c r="I144" s="799">
        <v>1572.8814466000001</v>
      </c>
      <c r="J144" s="799">
        <v>1571.1154017000001</v>
      </c>
      <c r="K144" s="799">
        <v>1571.1154017000001</v>
      </c>
      <c r="L144" s="799">
        <v>1572.8814466000001</v>
      </c>
      <c r="M144" s="799">
        <v>1666.0449000000001</v>
      </c>
      <c r="N144" s="799">
        <v>1816.0449000000001</v>
      </c>
      <c r="O144" s="799">
        <v>1816.0449000000001</v>
      </c>
      <c r="P144" s="760">
        <v>18649.10233996667</v>
      </c>
    </row>
    <row r="145" spans="1:16" ht="25" customHeight="1">
      <c r="A145" s="793" t="s">
        <v>1153</v>
      </c>
      <c r="B145" s="809">
        <v>196</v>
      </c>
      <c r="C145" s="809">
        <v>80</v>
      </c>
      <c r="D145" s="809">
        <v>125.461</v>
      </c>
      <c r="E145" s="808">
        <v>121.042125</v>
      </c>
      <c r="F145" s="807">
        <v>29.260999999999999</v>
      </c>
      <c r="G145" s="806">
        <v>29.0535</v>
      </c>
      <c r="H145" s="805">
        <v>176.6788675</v>
      </c>
      <c r="I145" s="805">
        <v>177.01101500000001</v>
      </c>
      <c r="J145" s="805">
        <v>176.6788675</v>
      </c>
      <c r="K145" s="805">
        <v>176.6788675</v>
      </c>
      <c r="L145" s="805">
        <v>177.01101500000001</v>
      </c>
      <c r="M145" s="805">
        <v>282.14749999999998</v>
      </c>
      <c r="N145" s="805">
        <v>282.14749999999998</v>
      </c>
      <c r="O145" s="805">
        <v>432.14749999999998</v>
      </c>
      <c r="P145" s="804">
        <v>2403.0042575000002</v>
      </c>
    </row>
    <row r="146" spans="1:16" s="790" customFormat="1" ht="25" customHeight="1">
      <c r="A146" s="743" t="s">
        <v>1125</v>
      </c>
      <c r="B146" s="803">
        <v>1278</v>
      </c>
      <c r="C146" s="803">
        <v>1527</v>
      </c>
      <c r="D146" s="803">
        <v>1595.614</v>
      </c>
      <c r="E146" s="802">
        <v>1613.7476666666666</v>
      </c>
      <c r="F146" s="801">
        <v>398.1106666666667</v>
      </c>
      <c r="G146" s="800">
        <v>401.28466666666668</v>
      </c>
      <c r="H146" s="799">
        <v>1747.7942692000001</v>
      </c>
      <c r="I146" s="799">
        <v>1749.8924616000002</v>
      </c>
      <c r="J146" s="799">
        <v>1747.7942692000001</v>
      </c>
      <c r="K146" s="799">
        <v>1747.7942692000001</v>
      </c>
      <c r="L146" s="799">
        <v>1749.8924616000002</v>
      </c>
      <c r="M146" s="799">
        <v>1948.1924000000001</v>
      </c>
      <c r="N146" s="799">
        <v>2098.1923999999999</v>
      </c>
      <c r="O146" s="799">
        <v>2248.1923999999999</v>
      </c>
      <c r="P146" s="760">
        <v>21052.106597466667</v>
      </c>
    </row>
    <row r="147" spans="1:16" ht="25" customHeight="1">
      <c r="B147" s="734"/>
      <c r="C147" s="734"/>
      <c r="D147" s="734"/>
      <c r="E147" s="766"/>
      <c r="F147" s="766"/>
      <c r="G147" s="766"/>
      <c r="H147" s="798"/>
      <c r="I147" s="798"/>
      <c r="J147" s="798"/>
      <c r="K147" s="798"/>
      <c r="L147" s="798"/>
      <c r="M147" s="798"/>
      <c r="N147" s="798"/>
      <c r="O147" s="798"/>
      <c r="P147" s="734"/>
    </row>
    <row r="148" spans="1:16" s="774" customFormat="1" ht="25" customHeight="1">
      <c r="A148" s="765" t="s">
        <v>1356</v>
      </c>
      <c r="B148" s="764"/>
      <c r="C148" s="764"/>
      <c r="D148" s="764"/>
      <c r="E148" s="797"/>
      <c r="F148" s="796"/>
      <c r="G148" s="795"/>
      <c r="H148" s="769"/>
      <c r="I148" s="769"/>
      <c r="J148" s="769"/>
      <c r="K148" s="769"/>
      <c r="L148" s="769"/>
      <c r="M148" s="769"/>
      <c r="N148" s="769"/>
      <c r="O148" s="769"/>
      <c r="P148" s="768"/>
    </row>
    <row r="149" spans="1:16" s="774" customFormat="1" ht="25" customHeight="1">
      <c r="A149" s="788" t="s">
        <v>1139</v>
      </c>
      <c r="B149" s="764" t="s">
        <v>1293</v>
      </c>
      <c r="C149" s="764" t="s">
        <v>1293</v>
      </c>
      <c r="D149" s="764" t="s">
        <v>1293</v>
      </c>
      <c r="E149" s="786" t="s">
        <v>1293</v>
      </c>
      <c r="F149" s="785"/>
      <c r="G149" s="784"/>
      <c r="H149" s="769" t="s">
        <v>1293</v>
      </c>
      <c r="I149" s="769" t="s">
        <v>1293</v>
      </c>
      <c r="J149" s="769" t="s">
        <v>1293</v>
      </c>
      <c r="K149" s="769" t="s">
        <v>1293</v>
      </c>
      <c r="L149" s="769" t="s">
        <v>1293</v>
      </c>
      <c r="M149" s="769" t="s">
        <v>1293</v>
      </c>
      <c r="N149" s="769" t="s">
        <v>1293</v>
      </c>
      <c r="O149" s="769" t="s">
        <v>1293</v>
      </c>
      <c r="P149" s="768" t="s">
        <v>1293</v>
      </c>
    </row>
    <row r="150" spans="1:16" s="782" customFormat="1" ht="25" customHeight="1">
      <c r="A150" s="788" t="s">
        <v>1140</v>
      </c>
      <c r="B150" s="787" t="s">
        <v>1293</v>
      </c>
      <c r="C150" s="787" t="s">
        <v>1293</v>
      </c>
      <c r="D150" s="787" t="s">
        <v>1293</v>
      </c>
      <c r="E150" s="786" t="s">
        <v>1293</v>
      </c>
      <c r="F150" s="785"/>
      <c r="G150" s="784"/>
      <c r="H150" s="769" t="s">
        <v>1293</v>
      </c>
      <c r="I150" s="769" t="s">
        <v>1293</v>
      </c>
      <c r="J150" s="769" t="s">
        <v>1293</v>
      </c>
      <c r="K150" s="769" t="s">
        <v>1293</v>
      </c>
      <c r="L150" s="769" t="s">
        <v>1293</v>
      </c>
      <c r="M150" s="769" t="s">
        <v>1293</v>
      </c>
      <c r="N150" s="769" t="s">
        <v>1293</v>
      </c>
      <c r="O150" s="769" t="s">
        <v>1293</v>
      </c>
      <c r="P150" s="768" t="s">
        <v>1293</v>
      </c>
    </row>
    <row r="151" spans="1:16" s="774" customFormat="1" ht="25" customHeight="1">
      <c r="A151" s="781" t="s">
        <v>1141</v>
      </c>
      <c r="B151" s="780" t="s">
        <v>1293</v>
      </c>
      <c r="C151" s="780" t="s">
        <v>1293</v>
      </c>
      <c r="D151" s="780" t="s">
        <v>1293</v>
      </c>
      <c r="E151" s="779" t="s">
        <v>1293</v>
      </c>
      <c r="F151" s="778"/>
      <c r="G151" s="777"/>
      <c r="H151" s="776" t="s">
        <v>1293</v>
      </c>
      <c r="I151" s="776" t="s">
        <v>1293</v>
      </c>
      <c r="J151" s="776" t="s">
        <v>1293</v>
      </c>
      <c r="K151" s="776" t="s">
        <v>1293</v>
      </c>
      <c r="L151" s="776" t="s">
        <v>1293</v>
      </c>
      <c r="M151" s="776" t="s">
        <v>1293</v>
      </c>
      <c r="N151" s="776" t="s">
        <v>1293</v>
      </c>
      <c r="O151" s="776" t="s">
        <v>1293</v>
      </c>
      <c r="P151" s="792" t="s">
        <v>1293</v>
      </c>
    </row>
    <row r="152" spans="1:16" s="767" customFormat="1" ht="25" customHeight="1">
      <c r="A152" s="794" t="s">
        <v>1142</v>
      </c>
      <c r="B152" s="787">
        <v>0.45774239459510468</v>
      </c>
      <c r="C152" s="787">
        <v>0.31177145946322615</v>
      </c>
      <c r="D152" s="787">
        <v>0.14393901317043811</v>
      </c>
      <c r="E152" s="786">
        <v>0.16890227253382095</v>
      </c>
      <c r="F152" s="785"/>
      <c r="G152" s="784"/>
      <c r="H152" s="769">
        <v>1.1494563052041484</v>
      </c>
      <c r="I152" s="769">
        <v>2.4759273614890933</v>
      </c>
      <c r="J152" s="769">
        <v>1.4041898966322321</v>
      </c>
      <c r="K152" s="769">
        <v>2.0414065220770237</v>
      </c>
      <c r="L152" s="769">
        <v>3.2918356842593459</v>
      </c>
      <c r="M152" s="769">
        <v>0.62603689429992282</v>
      </c>
      <c r="N152" s="769">
        <v>0.43243620506446234</v>
      </c>
      <c r="O152" s="769">
        <v>0.8132490258282925</v>
      </c>
      <c r="P152" s="768">
        <v>0.92621198989021991</v>
      </c>
    </row>
    <row r="153" spans="1:16" s="791" customFormat="1" ht="25" customHeight="1">
      <c r="A153" s="793" t="s">
        <v>1135</v>
      </c>
      <c r="B153" s="780">
        <v>4.4264840679646493</v>
      </c>
      <c r="C153" s="780">
        <v>0.819191190875044</v>
      </c>
      <c r="D153" s="780">
        <v>1.604814884090191</v>
      </c>
      <c r="E153" s="779">
        <v>-0.17034663015632046</v>
      </c>
      <c r="F153" s="778"/>
      <c r="G153" s="777"/>
      <c r="H153" s="776">
        <v>0.37848804526004742</v>
      </c>
      <c r="I153" s="776">
        <v>0.53057282886125634</v>
      </c>
      <c r="J153" s="776">
        <v>0.18359843686890764</v>
      </c>
      <c r="K153" s="776">
        <v>1.2250750385449263</v>
      </c>
      <c r="L153" s="776" t="s">
        <v>1293</v>
      </c>
      <c r="M153" s="776">
        <v>6.1571156016830608</v>
      </c>
      <c r="N153" s="776">
        <v>7.4759836589539574</v>
      </c>
      <c r="O153" s="776">
        <v>3.8042826629257434</v>
      </c>
      <c r="P153" s="792">
        <v>2.8195061144224383</v>
      </c>
    </row>
    <row r="154" spans="1:16" s="790" customFormat="1" ht="25" customHeight="1">
      <c r="A154" s="743" t="s">
        <v>1143</v>
      </c>
      <c r="B154" s="787">
        <v>0.87838552545146009</v>
      </c>
      <c r="C154" s="787">
        <v>0.45340751177538618</v>
      </c>
      <c r="D154" s="787">
        <v>0.49568887985125243</v>
      </c>
      <c r="E154" s="786">
        <v>4.8282408832877044E-2</v>
      </c>
      <c r="F154" s="785"/>
      <c r="G154" s="784"/>
      <c r="H154" s="769">
        <v>0.84062576171229431</v>
      </c>
      <c r="I154" s="769">
        <v>1.3043817880341093</v>
      </c>
      <c r="J154" s="769">
        <v>0.70207907373068235</v>
      </c>
      <c r="K154" s="769">
        <v>1.6521937188081504</v>
      </c>
      <c r="L154" s="769" t="s">
        <v>1293</v>
      </c>
      <c r="M154" s="769">
        <v>1.6500129720914716</v>
      </c>
      <c r="N154" s="769">
        <v>1.4507047608490065</v>
      </c>
      <c r="O154" s="769">
        <v>1.6328127368571934</v>
      </c>
      <c r="P154" s="768">
        <v>1.445683959280216</v>
      </c>
    </row>
    <row r="155" spans="1:16" s="774" customFormat="1" ht="25" customHeight="1">
      <c r="A155" s="789"/>
      <c r="B155" s="787"/>
      <c r="C155" s="787"/>
      <c r="D155" s="787"/>
      <c r="E155" s="786"/>
      <c r="F155" s="785"/>
      <c r="G155" s="784"/>
      <c r="H155" s="769"/>
      <c r="I155" s="769"/>
      <c r="J155" s="769"/>
      <c r="K155" s="769"/>
      <c r="L155" s="769"/>
      <c r="M155" s="769"/>
      <c r="N155" s="769"/>
      <c r="O155" s="769"/>
      <c r="P155" s="768"/>
    </row>
    <row r="156" spans="1:16" s="774" customFormat="1" ht="25" customHeight="1">
      <c r="A156" s="765" t="s">
        <v>1355</v>
      </c>
      <c r="B156" s="787"/>
      <c r="C156" s="787"/>
      <c r="D156" s="787"/>
      <c r="E156" s="786"/>
      <c r="F156" s="785"/>
      <c r="G156" s="784"/>
      <c r="H156" s="769"/>
      <c r="I156" s="769"/>
      <c r="J156" s="769"/>
      <c r="K156" s="769"/>
      <c r="L156" s="769"/>
      <c r="M156" s="769"/>
      <c r="N156" s="769"/>
      <c r="O156" s="769"/>
      <c r="P156" s="783"/>
    </row>
    <row r="157" spans="1:16" s="782" customFormat="1" ht="25" customHeight="1">
      <c r="A157" s="788" t="s">
        <v>1144</v>
      </c>
      <c r="B157" s="787" t="s">
        <v>1293</v>
      </c>
      <c r="C157" s="787" t="s">
        <v>1293</v>
      </c>
      <c r="D157" s="787" t="s">
        <v>1293</v>
      </c>
      <c r="E157" s="786" t="s">
        <v>1293</v>
      </c>
      <c r="F157" s="785"/>
      <c r="G157" s="784"/>
      <c r="H157" s="769" t="s">
        <v>1293</v>
      </c>
      <c r="I157" s="769" t="s">
        <v>1293</v>
      </c>
      <c r="J157" s="769" t="s">
        <v>1293</v>
      </c>
      <c r="K157" s="769" t="s">
        <v>1293</v>
      </c>
      <c r="L157" s="769" t="s">
        <v>1293</v>
      </c>
      <c r="M157" s="769" t="s">
        <v>1293</v>
      </c>
      <c r="N157" s="769" t="s">
        <v>1293</v>
      </c>
      <c r="O157" s="769" t="s">
        <v>1293</v>
      </c>
      <c r="P157" s="783" t="s">
        <v>1293</v>
      </c>
    </row>
    <row r="158" spans="1:16" s="774" customFormat="1" ht="25" customHeight="1">
      <c r="A158" s="781" t="s">
        <v>1153</v>
      </c>
      <c r="B158" s="780" t="s">
        <v>1293</v>
      </c>
      <c r="C158" s="780" t="s">
        <v>1293</v>
      </c>
      <c r="D158" s="780" t="s">
        <v>1293</v>
      </c>
      <c r="E158" s="779" t="s">
        <v>1293</v>
      </c>
      <c r="F158" s="778"/>
      <c r="G158" s="777"/>
      <c r="H158" s="776" t="s">
        <v>1293</v>
      </c>
      <c r="I158" s="776" t="s">
        <v>1293</v>
      </c>
      <c r="J158" s="776" t="s">
        <v>1293</v>
      </c>
      <c r="K158" s="776" t="s">
        <v>1293</v>
      </c>
      <c r="L158" s="776" t="s">
        <v>1293</v>
      </c>
      <c r="M158" s="776" t="s">
        <v>1293</v>
      </c>
      <c r="N158" s="776" t="s">
        <v>1293</v>
      </c>
      <c r="O158" s="776" t="s">
        <v>1293</v>
      </c>
      <c r="P158" s="775" t="s">
        <v>1293</v>
      </c>
    </row>
    <row r="159" spans="1:16" s="767" customFormat="1" ht="25" customHeight="1">
      <c r="A159" s="743" t="s">
        <v>1125</v>
      </c>
      <c r="B159" s="773">
        <v>0.93559137939717685</v>
      </c>
      <c r="C159" s="773">
        <v>1.202664030551063</v>
      </c>
      <c r="D159" s="773">
        <v>1.0621585827809663</v>
      </c>
      <c r="E159" s="772">
        <v>0.72608764741509524</v>
      </c>
      <c r="F159" s="771"/>
      <c r="G159" s="770"/>
      <c r="H159" s="769">
        <v>0.73596778038002753</v>
      </c>
      <c r="I159" s="769">
        <v>0.76266590208601071</v>
      </c>
      <c r="J159" s="769">
        <v>0.95988960216734598</v>
      </c>
      <c r="K159" s="769">
        <v>0.97161762540338037</v>
      </c>
      <c r="L159" s="769">
        <v>0.47105637384008481</v>
      </c>
      <c r="M159" s="769">
        <v>0.41245622760629708</v>
      </c>
      <c r="N159" s="769">
        <v>0.35967335245106957</v>
      </c>
      <c r="O159" s="769">
        <v>4.9848793617764509E-2</v>
      </c>
      <c r="P159" s="768">
        <v>0.60783361530992819</v>
      </c>
    </row>
    <row r="160" spans="1:16" ht="25" customHeight="1">
      <c r="B160" s="734"/>
      <c r="C160" s="734"/>
      <c r="D160" s="734"/>
      <c r="E160" s="766"/>
      <c r="F160" s="766"/>
      <c r="G160" s="766"/>
      <c r="H160" s="734"/>
      <c r="I160" s="734"/>
      <c r="J160" s="734"/>
      <c r="K160" s="734"/>
      <c r="L160" s="734"/>
      <c r="M160" s="734"/>
      <c r="N160" s="734"/>
      <c r="O160" s="734"/>
      <c r="P160" s="760"/>
    </row>
    <row r="161" spans="1:16" ht="25" customHeight="1">
      <c r="A161" s="765" t="s">
        <v>1354</v>
      </c>
      <c r="B161" s="764"/>
      <c r="C161" s="764"/>
      <c r="D161" s="764"/>
      <c r="E161" s="763"/>
      <c r="F161" s="762"/>
      <c r="G161" s="761"/>
      <c r="H161" s="734"/>
      <c r="I161" s="734"/>
      <c r="J161" s="734"/>
      <c r="K161" s="734"/>
      <c r="L161" s="734"/>
      <c r="M161" s="734"/>
      <c r="N161" s="734"/>
      <c r="O161" s="734"/>
      <c r="P161" s="760"/>
    </row>
    <row r="162" spans="1:16" s="744" customFormat="1" ht="25" customHeight="1">
      <c r="A162" s="754" t="s">
        <v>1139</v>
      </c>
      <c r="B162" s="742">
        <v>5.80756171373441</v>
      </c>
      <c r="C162" s="742">
        <v>0</v>
      </c>
      <c r="D162" s="742">
        <v>3.2110632943736288</v>
      </c>
      <c r="E162" s="753">
        <v>-0.14901898454430018</v>
      </c>
      <c r="F162" s="748"/>
      <c r="G162" s="747"/>
      <c r="H162" s="738">
        <v>0</v>
      </c>
      <c r="I162" s="738">
        <v>0</v>
      </c>
      <c r="J162" s="738">
        <v>0</v>
      </c>
      <c r="K162" s="738">
        <v>0</v>
      </c>
      <c r="L162" s="738">
        <v>0</v>
      </c>
      <c r="M162" s="738">
        <v>0</v>
      </c>
      <c r="N162" s="738">
        <v>0</v>
      </c>
      <c r="O162" s="738">
        <v>0</v>
      </c>
      <c r="P162" s="737">
        <v>8.8696060235637386</v>
      </c>
    </row>
    <row r="163" spans="1:16" s="752" customFormat="1" ht="25" customHeight="1">
      <c r="A163" s="754" t="s">
        <v>1140</v>
      </c>
      <c r="B163" s="742">
        <v>5.6626136188378986</v>
      </c>
      <c r="C163" s="742">
        <v>0</v>
      </c>
      <c r="D163" s="742">
        <v>2.971324956008738</v>
      </c>
      <c r="E163" s="753">
        <v>-3.3112745081554991</v>
      </c>
      <c r="F163" s="748"/>
      <c r="G163" s="747"/>
      <c r="H163" s="738">
        <v>0</v>
      </c>
      <c r="I163" s="738">
        <v>0</v>
      </c>
      <c r="J163" s="738">
        <v>0</v>
      </c>
      <c r="K163" s="738">
        <v>0</v>
      </c>
      <c r="L163" s="738">
        <v>0</v>
      </c>
      <c r="M163" s="738">
        <v>0</v>
      </c>
      <c r="N163" s="738">
        <v>0</v>
      </c>
      <c r="O163" s="738">
        <v>0</v>
      </c>
      <c r="P163" s="737">
        <v>5.3226640666911376</v>
      </c>
    </row>
    <row r="164" spans="1:16" s="744" customFormat="1" ht="25" customHeight="1">
      <c r="A164" s="751" t="s">
        <v>1141</v>
      </c>
      <c r="B164" s="750">
        <v>-5.0552709945720267</v>
      </c>
      <c r="C164" s="750">
        <v>0</v>
      </c>
      <c r="D164" s="750">
        <v>-45.87697866838235</v>
      </c>
      <c r="E164" s="749">
        <v>-25.536267097299998</v>
      </c>
      <c r="F164" s="748"/>
      <c r="G164" s="747"/>
      <c r="H164" s="746">
        <v>0</v>
      </c>
      <c r="I164" s="746">
        <v>0</v>
      </c>
      <c r="J164" s="746">
        <v>0</v>
      </c>
      <c r="K164" s="746">
        <v>0</v>
      </c>
      <c r="L164" s="746">
        <v>0</v>
      </c>
      <c r="M164" s="746">
        <v>0</v>
      </c>
      <c r="N164" s="746">
        <v>0</v>
      </c>
      <c r="O164" s="746">
        <v>0</v>
      </c>
      <c r="P164" s="745">
        <v>-76.468516760254374</v>
      </c>
    </row>
    <row r="165" spans="1:16" s="736" customFormat="1" ht="25" customHeight="1">
      <c r="A165" s="758" t="s">
        <v>1142</v>
      </c>
      <c r="B165" s="742">
        <v>6.4149043380002819</v>
      </c>
      <c r="C165" s="742">
        <v>0</v>
      </c>
      <c r="D165" s="742">
        <v>-39.694590417999983</v>
      </c>
      <c r="E165" s="753">
        <v>-28.996560589999795</v>
      </c>
      <c r="F165" s="748"/>
      <c r="G165" s="747"/>
      <c r="H165" s="738">
        <v>0</v>
      </c>
      <c r="I165" s="738">
        <v>0</v>
      </c>
      <c r="J165" s="738">
        <v>0</v>
      </c>
      <c r="K165" s="738">
        <v>0</v>
      </c>
      <c r="L165" s="738">
        <v>0</v>
      </c>
      <c r="M165" s="738">
        <v>0</v>
      </c>
      <c r="N165" s="738">
        <v>0</v>
      </c>
      <c r="O165" s="738">
        <v>0</v>
      </c>
      <c r="P165" s="737">
        <v>-62.276246669999495</v>
      </c>
    </row>
    <row r="166" spans="1:16" s="759" customFormat="1" ht="25" customHeight="1">
      <c r="A166" s="751" t="s">
        <v>1135</v>
      </c>
      <c r="B166" s="750">
        <v>0</v>
      </c>
      <c r="C166" s="750">
        <v>0</v>
      </c>
      <c r="D166" s="750">
        <v>0</v>
      </c>
      <c r="E166" s="749">
        <v>0</v>
      </c>
      <c r="F166" s="748"/>
      <c r="G166" s="747"/>
      <c r="H166" s="746">
        <v>0</v>
      </c>
      <c r="I166" s="746">
        <v>0</v>
      </c>
      <c r="J166" s="746">
        <v>0</v>
      </c>
      <c r="K166" s="746">
        <v>0</v>
      </c>
      <c r="L166" s="746">
        <v>0</v>
      </c>
      <c r="M166" s="746">
        <v>0</v>
      </c>
      <c r="N166" s="746">
        <v>0</v>
      </c>
      <c r="O166" s="746">
        <v>0</v>
      </c>
      <c r="P166" s="745">
        <v>0</v>
      </c>
    </row>
    <row r="167" spans="1:16" s="736" customFormat="1" ht="25" customHeight="1">
      <c r="A167" s="758" t="s">
        <v>1143</v>
      </c>
      <c r="B167" s="742">
        <v>6.4149043380002819</v>
      </c>
      <c r="C167" s="742">
        <v>0</v>
      </c>
      <c r="D167" s="742">
        <v>-39.694590417999983</v>
      </c>
      <c r="E167" s="753">
        <v>-28.996560589999795</v>
      </c>
      <c r="F167" s="748"/>
      <c r="G167" s="747"/>
      <c r="H167" s="738">
        <v>0</v>
      </c>
      <c r="I167" s="738">
        <v>0</v>
      </c>
      <c r="J167" s="738">
        <v>0</v>
      </c>
      <c r="K167" s="738">
        <v>0</v>
      </c>
      <c r="L167" s="738">
        <v>0</v>
      </c>
      <c r="M167" s="738">
        <v>0</v>
      </c>
      <c r="N167" s="738">
        <v>0</v>
      </c>
      <c r="O167" s="738">
        <v>0</v>
      </c>
      <c r="P167" s="737">
        <v>-62.276246669999495</v>
      </c>
    </row>
    <row r="168" spans="1:16" s="744" customFormat="1" ht="25" customHeight="1">
      <c r="A168" s="757"/>
      <c r="B168" s="742"/>
      <c r="C168" s="742"/>
      <c r="D168" s="742"/>
      <c r="E168" s="753"/>
      <c r="F168" s="748"/>
      <c r="G168" s="747"/>
      <c r="H168" s="738"/>
      <c r="I168" s="738"/>
      <c r="J168" s="738"/>
      <c r="K168" s="738"/>
      <c r="L168" s="738"/>
      <c r="M168" s="738"/>
      <c r="N168" s="738"/>
      <c r="O168" s="738"/>
      <c r="P168" s="756"/>
    </row>
    <row r="169" spans="1:16" s="744" customFormat="1" ht="25" customHeight="1">
      <c r="A169" s="755" t="s">
        <v>1353</v>
      </c>
      <c r="B169" s="742"/>
      <c r="C169" s="742"/>
      <c r="D169" s="742"/>
      <c r="E169" s="753"/>
      <c r="F169" s="748"/>
      <c r="G169" s="747"/>
      <c r="H169" s="738"/>
      <c r="I169" s="738"/>
      <c r="J169" s="738"/>
      <c r="K169" s="738"/>
      <c r="L169" s="738"/>
      <c r="M169" s="738"/>
      <c r="N169" s="738"/>
      <c r="O169" s="738"/>
      <c r="P169" s="737"/>
    </row>
    <row r="170" spans="1:16" s="752" customFormat="1" ht="25" customHeight="1">
      <c r="A170" s="754" t="s">
        <v>1144</v>
      </c>
      <c r="B170" s="742">
        <v>-94.185903400000143</v>
      </c>
      <c r="C170" s="742">
        <v>269.04805170000009</v>
      </c>
      <c r="D170" s="742">
        <v>142.20105170000011</v>
      </c>
      <c r="E170" s="753">
        <v>-78.409860033333189</v>
      </c>
      <c r="F170" s="748"/>
      <c r="G170" s="747"/>
      <c r="H170" s="738">
        <v>0</v>
      </c>
      <c r="I170" s="738">
        <v>0</v>
      </c>
      <c r="J170" s="738">
        <v>0</v>
      </c>
      <c r="K170" s="738">
        <v>0</v>
      </c>
      <c r="L170" s="738">
        <v>0</v>
      </c>
      <c r="M170" s="738">
        <v>0</v>
      </c>
      <c r="N170" s="738">
        <v>0</v>
      </c>
      <c r="O170" s="738">
        <v>0</v>
      </c>
      <c r="P170" s="737">
        <v>238.65333996666701</v>
      </c>
    </row>
    <row r="171" spans="1:16" s="744" customFormat="1" ht="25" customHeight="1">
      <c r="A171" s="751" t="s">
        <v>1153</v>
      </c>
      <c r="B171" s="750">
        <v>24.789764999999989</v>
      </c>
      <c r="C171" s="750">
        <v>-91.542382499999974</v>
      </c>
      <c r="D171" s="750">
        <v>-46.081382499999975</v>
      </c>
      <c r="E171" s="749">
        <v>-55.636742499999997</v>
      </c>
      <c r="F171" s="748"/>
      <c r="G171" s="747"/>
      <c r="H171" s="746">
        <v>0</v>
      </c>
      <c r="I171" s="746">
        <v>0</v>
      </c>
      <c r="J171" s="746">
        <v>0</v>
      </c>
      <c r="K171" s="746">
        <v>0</v>
      </c>
      <c r="L171" s="746">
        <v>0</v>
      </c>
      <c r="M171" s="746">
        <v>0</v>
      </c>
      <c r="N171" s="746">
        <v>0</v>
      </c>
      <c r="O171" s="746">
        <v>0</v>
      </c>
      <c r="P171" s="745">
        <v>-168.4707425</v>
      </c>
    </row>
    <row r="172" spans="1:16" s="736" customFormat="1" ht="25" customHeight="1">
      <c r="A172" s="743" t="s">
        <v>1125</v>
      </c>
      <c r="B172" s="742">
        <v>-69.396138400000154</v>
      </c>
      <c r="C172" s="742">
        <v>177.50566920000011</v>
      </c>
      <c r="D172" s="742">
        <v>96.119669200000132</v>
      </c>
      <c r="E172" s="741">
        <v>-134.04660253333338</v>
      </c>
      <c r="F172" s="740"/>
      <c r="G172" s="739"/>
      <c r="H172" s="738">
        <v>0</v>
      </c>
      <c r="I172" s="738">
        <v>0</v>
      </c>
      <c r="J172" s="738">
        <v>0</v>
      </c>
      <c r="K172" s="738">
        <v>0</v>
      </c>
      <c r="L172" s="738">
        <v>0</v>
      </c>
      <c r="M172" s="738">
        <v>0</v>
      </c>
      <c r="N172" s="738">
        <v>0</v>
      </c>
      <c r="O172" s="738">
        <v>0</v>
      </c>
      <c r="P172" s="737">
        <v>70.182597466666721</v>
      </c>
    </row>
    <row r="173" spans="1:16" ht="25" customHeight="1">
      <c r="B173" s="734"/>
      <c r="C173" s="734"/>
      <c r="D173" s="734"/>
      <c r="E173" s="734"/>
      <c r="F173" s="734"/>
      <c r="G173" s="734"/>
      <c r="H173" s="734"/>
      <c r="I173" s="734"/>
      <c r="J173" s="734"/>
      <c r="K173" s="734"/>
      <c r="L173" s="734"/>
      <c r="M173" s="734"/>
      <c r="N173" s="734"/>
      <c r="O173" s="734"/>
      <c r="P173" s="734"/>
    </row>
    <row r="174" spans="1:16" ht="25" customHeight="1">
      <c r="A174" s="735"/>
      <c r="B174" s="734"/>
      <c r="C174" s="734"/>
      <c r="D174" s="734"/>
      <c r="E174" s="734"/>
      <c r="F174" s="734"/>
      <c r="G174" s="734"/>
      <c r="H174" s="734"/>
      <c r="I174" s="734"/>
      <c r="J174" s="734"/>
      <c r="K174" s="734"/>
      <c r="L174" s="734"/>
      <c r="M174" s="734"/>
      <c r="N174" s="734"/>
      <c r="O174" s="734"/>
      <c r="P174" s="734"/>
    </row>
    <row r="175" spans="1:16" ht="25" customHeight="1">
      <c r="A175" s="735"/>
      <c r="B175" s="734"/>
      <c r="C175" s="734"/>
      <c r="D175" s="734"/>
      <c r="E175" s="734"/>
      <c r="F175" s="734"/>
      <c r="G175" s="734"/>
      <c r="H175" s="734"/>
      <c r="I175" s="734"/>
      <c r="J175" s="734"/>
      <c r="K175" s="734"/>
      <c r="L175" s="734"/>
      <c r="M175" s="734"/>
      <c r="N175" s="734"/>
      <c r="O175" s="734"/>
      <c r="P175" s="734"/>
    </row>
    <row r="176" spans="1:16" ht="25" customHeight="1">
      <c r="B176" s="734"/>
      <c r="C176" s="734"/>
      <c r="D176" s="734"/>
      <c r="E176" s="734"/>
      <c r="F176" s="734"/>
      <c r="G176" s="734"/>
      <c r="H176" s="734"/>
      <c r="I176" s="734"/>
      <c r="J176" s="734"/>
      <c r="K176" s="734"/>
      <c r="L176" s="734"/>
      <c r="M176" s="734"/>
      <c r="N176" s="734"/>
      <c r="O176" s="734"/>
      <c r="P176" s="734"/>
    </row>
    <row r="177" spans="2:16" ht="25" customHeight="1">
      <c r="B177" s="734"/>
      <c r="C177" s="734"/>
      <c r="D177" s="734"/>
      <c r="E177" s="734"/>
      <c r="F177" s="734"/>
      <c r="G177" s="734"/>
      <c r="H177" s="734"/>
      <c r="I177" s="734"/>
      <c r="J177" s="734"/>
      <c r="K177" s="734"/>
      <c r="L177" s="734"/>
      <c r="M177" s="734"/>
      <c r="N177" s="734"/>
      <c r="O177" s="734"/>
      <c r="P177" s="734"/>
    </row>
    <row r="178" spans="2:16" ht="25" customHeight="1">
      <c r="B178" s="734"/>
      <c r="C178" s="734"/>
      <c r="D178" s="734"/>
      <c r="E178" s="734"/>
      <c r="F178" s="734"/>
      <c r="G178" s="734"/>
      <c r="H178" s="734"/>
      <c r="I178" s="734"/>
      <c r="J178" s="734"/>
      <c r="K178" s="734"/>
      <c r="L178" s="734"/>
      <c r="M178" s="734"/>
      <c r="N178" s="734"/>
      <c r="O178" s="734"/>
      <c r="P178" s="734"/>
    </row>
    <row r="179" spans="2:16" ht="25" customHeight="1">
      <c r="B179" s="734"/>
      <c r="C179" s="734"/>
      <c r="D179" s="734"/>
      <c r="E179" s="734"/>
      <c r="F179" s="734"/>
      <c r="G179" s="734"/>
      <c r="H179" s="734"/>
      <c r="I179" s="734"/>
      <c r="J179" s="734"/>
      <c r="K179" s="734"/>
      <c r="L179" s="734"/>
      <c r="M179" s="734"/>
      <c r="N179" s="734"/>
      <c r="O179" s="734"/>
      <c r="P179" s="734"/>
    </row>
    <row r="180" spans="2:16" ht="25" customHeight="1">
      <c r="B180" s="734"/>
      <c r="C180" s="734"/>
      <c r="D180" s="734"/>
      <c r="E180" s="734"/>
      <c r="F180" s="734"/>
      <c r="G180" s="734"/>
      <c r="H180" s="734"/>
      <c r="I180" s="734"/>
      <c r="J180" s="734"/>
      <c r="K180" s="734"/>
      <c r="L180" s="734"/>
      <c r="M180" s="734"/>
      <c r="N180" s="734"/>
      <c r="O180" s="734"/>
      <c r="P180" s="734"/>
    </row>
    <row r="181" spans="2:16" ht="25" customHeight="1">
      <c r="B181" s="734"/>
      <c r="C181" s="734"/>
      <c r="D181" s="734"/>
      <c r="E181" s="734"/>
      <c r="F181" s="734"/>
      <c r="G181" s="734"/>
      <c r="H181" s="734"/>
      <c r="I181" s="734"/>
      <c r="J181" s="734"/>
      <c r="K181" s="734"/>
      <c r="L181" s="734"/>
      <c r="M181" s="734"/>
      <c r="N181" s="734"/>
      <c r="O181" s="734"/>
      <c r="P181" s="734"/>
    </row>
    <row r="182" spans="2:16" ht="25" customHeight="1">
      <c r="B182" s="734"/>
      <c r="C182" s="734"/>
      <c r="D182" s="734"/>
      <c r="E182" s="734"/>
      <c r="F182" s="734"/>
      <c r="G182" s="734"/>
      <c r="H182" s="734"/>
      <c r="I182" s="734"/>
      <c r="J182" s="734"/>
      <c r="K182" s="734"/>
      <c r="L182" s="734"/>
      <c r="M182" s="734"/>
      <c r="N182" s="734"/>
      <c r="O182" s="734"/>
      <c r="P182" s="734"/>
    </row>
    <row r="183" spans="2:16" ht="25" customHeight="1">
      <c r="B183" s="734"/>
      <c r="C183" s="734"/>
      <c r="D183" s="734"/>
      <c r="E183" s="734"/>
      <c r="F183" s="734"/>
      <c r="G183" s="734"/>
      <c r="H183" s="734"/>
      <c r="I183" s="734"/>
      <c r="J183" s="734"/>
      <c r="K183" s="734"/>
      <c r="L183" s="734"/>
      <c r="M183" s="734"/>
      <c r="N183" s="734"/>
      <c r="O183" s="734"/>
      <c r="P183" s="734"/>
    </row>
    <row r="184" spans="2:16" ht="25" customHeight="1">
      <c r="B184" s="734"/>
      <c r="C184" s="734"/>
      <c r="D184" s="734"/>
      <c r="E184" s="734"/>
      <c r="F184" s="734"/>
      <c r="G184" s="734"/>
      <c r="H184" s="734"/>
      <c r="I184" s="734"/>
      <c r="J184" s="734"/>
      <c r="K184" s="734"/>
      <c r="L184" s="734"/>
      <c r="M184" s="734"/>
      <c r="N184" s="734"/>
      <c r="O184" s="734"/>
      <c r="P184" s="734"/>
    </row>
    <row r="185" spans="2:16" ht="25" customHeight="1">
      <c r="B185" s="734"/>
      <c r="C185" s="734"/>
      <c r="D185" s="734"/>
      <c r="E185" s="734"/>
      <c r="F185" s="734"/>
      <c r="G185" s="734"/>
      <c r="H185" s="734"/>
      <c r="I185" s="734"/>
      <c r="J185" s="734"/>
      <c r="K185" s="734"/>
      <c r="L185" s="734"/>
      <c r="M185" s="734"/>
      <c r="N185" s="734"/>
      <c r="O185" s="734"/>
      <c r="P185" s="734"/>
    </row>
    <row r="186" spans="2:16" ht="25" customHeight="1">
      <c r="B186" s="734"/>
      <c r="C186" s="734"/>
      <c r="D186" s="734"/>
      <c r="E186" s="734"/>
      <c r="F186" s="734"/>
      <c r="G186" s="734"/>
      <c r="H186" s="734"/>
      <c r="I186" s="734"/>
      <c r="J186" s="734"/>
      <c r="K186" s="734"/>
      <c r="L186" s="734"/>
      <c r="M186" s="734"/>
      <c r="N186" s="734"/>
      <c r="O186" s="734"/>
      <c r="P186" s="734"/>
    </row>
    <row r="187" spans="2:16" ht="25" customHeight="1">
      <c r="B187" s="734"/>
      <c r="C187" s="734"/>
      <c r="D187" s="734"/>
      <c r="E187" s="734"/>
      <c r="F187" s="734"/>
      <c r="G187" s="734"/>
      <c r="H187" s="734"/>
      <c r="I187" s="734"/>
      <c r="J187" s="734"/>
      <c r="K187" s="734"/>
      <c r="L187" s="734"/>
      <c r="M187" s="734"/>
      <c r="N187" s="734"/>
      <c r="O187" s="734"/>
      <c r="P187" s="734"/>
    </row>
    <row r="188" spans="2:16" ht="25" customHeight="1">
      <c r="B188" s="734"/>
      <c r="C188" s="734"/>
      <c r="D188" s="734"/>
      <c r="E188" s="734"/>
      <c r="F188" s="734"/>
      <c r="G188" s="734"/>
      <c r="H188" s="734"/>
      <c r="I188" s="734"/>
      <c r="J188" s="734"/>
      <c r="K188" s="734"/>
      <c r="L188" s="734"/>
      <c r="M188" s="734"/>
      <c r="N188" s="734"/>
      <c r="O188" s="734"/>
      <c r="P188" s="734"/>
    </row>
    <row r="189" spans="2:16" ht="25" customHeight="1">
      <c r="B189" s="734"/>
      <c r="C189" s="734"/>
      <c r="D189" s="734"/>
      <c r="E189" s="734"/>
      <c r="F189" s="734"/>
      <c r="G189" s="734"/>
      <c r="H189" s="734"/>
      <c r="I189" s="734"/>
      <c r="J189" s="734"/>
      <c r="K189" s="734"/>
      <c r="L189" s="734"/>
      <c r="M189" s="734"/>
      <c r="N189" s="734"/>
      <c r="O189" s="734"/>
      <c r="P189" s="734"/>
    </row>
    <row r="190" spans="2:16" ht="25" customHeight="1">
      <c r="B190" s="734"/>
      <c r="C190" s="734"/>
      <c r="D190" s="734"/>
      <c r="E190" s="734"/>
      <c r="F190" s="734"/>
      <c r="G190" s="734"/>
      <c r="H190" s="734"/>
      <c r="I190" s="734"/>
      <c r="J190" s="734"/>
      <c r="K190" s="734"/>
      <c r="L190" s="734"/>
      <c r="M190" s="734"/>
      <c r="N190" s="734"/>
      <c r="O190" s="734"/>
      <c r="P190" s="734"/>
    </row>
    <row r="191" spans="2:16" ht="25" customHeight="1">
      <c r="B191" s="734"/>
      <c r="C191" s="734"/>
      <c r="D191" s="734"/>
      <c r="E191" s="734"/>
      <c r="F191" s="734"/>
      <c r="G191" s="734"/>
      <c r="H191" s="734"/>
      <c r="I191" s="734"/>
      <c r="J191" s="734"/>
      <c r="K191" s="734"/>
      <c r="L191" s="734"/>
      <c r="M191" s="734"/>
      <c r="N191" s="734"/>
      <c r="O191" s="734"/>
      <c r="P191" s="734"/>
    </row>
    <row r="192" spans="2:16" ht="25" customHeight="1">
      <c r="B192" s="734"/>
      <c r="C192" s="734"/>
      <c r="D192" s="734"/>
      <c r="E192" s="734"/>
      <c r="F192" s="734"/>
      <c r="G192" s="734"/>
      <c r="H192" s="734"/>
      <c r="I192" s="734"/>
      <c r="J192" s="734"/>
      <c r="K192" s="734"/>
      <c r="L192" s="734"/>
      <c r="M192" s="734"/>
      <c r="N192" s="734"/>
      <c r="O192" s="734"/>
      <c r="P192" s="734"/>
    </row>
    <row r="193" spans="2:16" ht="25" customHeight="1">
      <c r="B193" s="734"/>
      <c r="C193" s="734"/>
      <c r="D193" s="734"/>
      <c r="E193" s="734"/>
      <c r="F193" s="734"/>
      <c r="G193" s="734"/>
      <c r="H193" s="734"/>
      <c r="I193" s="734"/>
      <c r="J193" s="734"/>
      <c r="K193" s="734"/>
      <c r="L193" s="734"/>
      <c r="M193" s="734"/>
      <c r="N193" s="734"/>
      <c r="O193" s="734"/>
      <c r="P193" s="734"/>
    </row>
    <row r="194" spans="2:16" ht="25" customHeight="1">
      <c r="B194" s="734"/>
      <c r="C194" s="734"/>
      <c r="D194" s="734"/>
      <c r="E194" s="734"/>
      <c r="F194" s="734"/>
      <c r="G194" s="734"/>
      <c r="H194" s="734"/>
      <c r="I194" s="734"/>
      <c r="J194" s="734"/>
      <c r="K194" s="734"/>
      <c r="L194" s="734"/>
      <c r="M194" s="734"/>
      <c r="N194" s="734"/>
      <c r="O194" s="734"/>
      <c r="P194" s="734"/>
    </row>
    <row r="195" spans="2:16" ht="25" customHeight="1">
      <c r="B195" s="734"/>
      <c r="C195" s="734"/>
      <c r="D195" s="734"/>
      <c r="E195" s="734"/>
      <c r="F195" s="734"/>
      <c r="G195" s="734"/>
      <c r="H195" s="734"/>
      <c r="I195" s="734"/>
      <c r="J195" s="734"/>
      <c r="K195" s="734"/>
      <c r="L195" s="734"/>
      <c r="M195" s="734"/>
      <c r="N195" s="734"/>
      <c r="O195" s="734"/>
      <c r="P195" s="734"/>
    </row>
    <row r="196" spans="2:16" ht="25" customHeight="1">
      <c r="B196" s="734"/>
      <c r="C196" s="734"/>
      <c r="D196" s="734"/>
      <c r="E196" s="734"/>
      <c r="F196" s="734"/>
      <c r="G196" s="734"/>
      <c r="H196" s="734"/>
      <c r="I196" s="734"/>
      <c r="J196" s="734"/>
      <c r="K196" s="734"/>
      <c r="L196" s="734"/>
      <c r="M196" s="734"/>
      <c r="N196" s="734"/>
      <c r="O196" s="734"/>
      <c r="P196" s="734"/>
    </row>
    <row r="197" spans="2:16" ht="25" customHeight="1">
      <c r="B197" s="734"/>
      <c r="C197" s="734"/>
      <c r="D197" s="734"/>
      <c r="E197" s="734"/>
      <c r="F197" s="734"/>
      <c r="G197" s="734"/>
      <c r="H197" s="734"/>
      <c r="I197" s="734"/>
      <c r="J197" s="734"/>
      <c r="K197" s="734"/>
      <c r="L197" s="734"/>
      <c r="M197" s="734"/>
      <c r="N197" s="734"/>
      <c r="O197" s="734"/>
      <c r="P197" s="734"/>
    </row>
    <row r="198" spans="2:16" ht="25" customHeight="1">
      <c r="B198" s="734"/>
      <c r="C198" s="734"/>
      <c r="D198" s="734"/>
      <c r="E198" s="734"/>
      <c r="F198" s="734"/>
      <c r="G198" s="734"/>
      <c r="H198" s="734"/>
      <c r="I198" s="734"/>
      <c r="J198" s="734"/>
      <c r="K198" s="734"/>
      <c r="L198" s="734"/>
      <c r="M198" s="734"/>
      <c r="N198" s="734"/>
      <c r="O198" s="734"/>
      <c r="P198" s="734"/>
    </row>
    <row r="199" spans="2:16" ht="25" customHeight="1">
      <c r="B199" s="734"/>
      <c r="C199" s="734"/>
      <c r="D199" s="734"/>
      <c r="E199" s="734"/>
      <c r="F199" s="734"/>
      <c r="G199" s="734"/>
      <c r="H199" s="734"/>
      <c r="I199" s="734"/>
      <c r="J199" s="734"/>
      <c r="K199" s="734"/>
      <c r="L199" s="734"/>
      <c r="M199" s="734"/>
      <c r="N199" s="734"/>
      <c r="O199" s="734"/>
      <c r="P199" s="734"/>
    </row>
    <row r="200" spans="2:16" ht="25" customHeight="1">
      <c r="B200" s="734"/>
      <c r="C200" s="734"/>
      <c r="D200" s="734"/>
      <c r="E200" s="734"/>
      <c r="F200" s="734"/>
      <c r="G200" s="734"/>
      <c r="H200" s="734"/>
      <c r="I200" s="734"/>
      <c r="J200" s="734"/>
      <c r="K200" s="734"/>
      <c r="L200" s="734"/>
      <c r="M200" s="734"/>
      <c r="N200" s="734"/>
      <c r="O200" s="734"/>
      <c r="P200" s="734"/>
    </row>
    <row r="201" spans="2:16" ht="25" customHeight="1">
      <c r="B201" s="734"/>
      <c r="C201" s="734"/>
      <c r="D201" s="734"/>
      <c r="E201" s="734"/>
      <c r="F201" s="734"/>
      <c r="G201" s="734"/>
      <c r="H201" s="734"/>
      <c r="I201" s="734"/>
      <c r="J201" s="734"/>
      <c r="K201" s="734"/>
      <c r="L201" s="734"/>
      <c r="M201" s="734"/>
      <c r="N201" s="734"/>
      <c r="O201" s="734"/>
      <c r="P201" s="734"/>
    </row>
    <row r="202" spans="2:16" ht="25" customHeight="1">
      <c r="B202" s="734"/>
      <c r="C202" s="734"/>
      <c r="D202" s="734"/>
      <c r="E202" s="734"/>
      <c r="F202" s="734"/>
      <c r="G202" s="734"/>
      <c r="H202" s="734"/>
      <c r="I202" s="734"/>
      <c r="J202" s="734"/>
      <c r="K202" s="734"/>
      <c r="L202" s="734"/>
      <c r="M202" s="734"/>
      <c r="N202" s="734"/>
      <c r="O202" s="734"/>
      <c r="P202" s="734"/>
    </row>
    <row r="203" spans="2:16" ht="25" customHeight="1">
      <c r="B203" s="734"/>
      <c r="C203" s="734"/>
      <c r="D203" s="734"/>
      <c r="E203" s="734"/>
      <c r="F203" s="734"/>
      <c r="G203" s="734"/>
      <c r="H203" s="734"/>
      <c r="I203" s="734"/>
      <c r="J203" s="734"/>
      <c r="K203" s="734"/>
      <c r="L203" s="734"/>
      <c r="M203" s="734"/>
      <c r="N203" s="734"/>
      <c r="O203" s="734"/>
      <c r="P203" s="734"/>
    </row>
    <row r="204" spans="2:16" ht="25" customHeight="1">
      <c r="B204" s="734"/>
      <c r="C204" s="734"/>
      <c r="D204" s="734"/>
      <c r="E204" s="734"/>
      <c r="F204" s="734"/>
      <c r="G204" s="734"/>
      <c r="H204" s="734"/>
      <c r="I204" s="734"/>
      <c r="J204" s="734"/>
      <c r="K204" s="734"/>
      <c r="L204" s="734"/>
      <c r="M204" s="734"/>
      <c r="N204" s="734"/>
      <c r="O204" s="734"/>
      <c r="P204" s="734"/>
    </row>
    <row r="205" spans="2:16" ht="25" customHeight="1">
      <c r="B205" s="734"/>
      <c r="C205" s="734"/>
      <c r="D205" s="734"/>
      <c r="E205" s="734"/>
      <c r="F205" s="734"/>
      <c r="G205" s="734"/>
      <c r="H205" s="734"/>
      <c r="I205" s="734"/>
      <c r="J205" s="734"/>
      <c r="K205" s="734"/>
      <c r="L205" s="734"/>
      <c r="M205" s="734"/>
      <c r="N205" s="734"/>
      <c r="O205" s="734"/>
      <c r="P205" s="734"/>
    </row>
    <row r="206" spans="2:16" ht="25" customHeight="1">
      <c r="B206" s="734"/>
      <c r="C206" s="734"/>
      <c r="D206" s="734"/>
      <c r="E206" s="734"/>
      <c r="F206" s="734"/>
      <c r="G206" s="734"/>
      <c r="H206" s="734"/>
      <c r="I206" s="734"/>
      <c r="J206" s="734"/>
      <c r="K206" s="734"/>
      <c r="L206" s="734"/>
      <c r="M206" s="734"/>
      <c r="N206" s="734"/>
      <c r="O206" s="734"/>
      <c r="P206" s="734"/>
    </row>
    <row r="207" spans="2:16" ht="25" customHeight="1">
      <c r="B207" s="734"/>
      <c r="C207" s="734"/>
      <c r="D207" s="734"/>
      <c r="E207" s="734"/>
      <c r="F207" s="734"/>
      <c r="G207" s="734"/>
      <c r="H207" s="734"/>
      <c r="I207" s="734"/>
      <c r="J207" s="734"/>
      <c r="K207" s="734"/>
      <c r="L207" s="734"/>
      <c r="M207" s="734"/>
      <c r="N207" s="734"/>
      <c r="O207" s="734"/>
      <c r="P207" s="734"/>
    </row>
    <row r="208" spans="2:16" ht="25" customHeight="1">
      <c r="B208" s="734"/>
      <c r="C208" s="734"/>
      <c r="D208" s="734"/>
      <c r="E208" s="734"/>
      <c r="F208" s="734"/>
      <c r="G208" s="734"/>
      <c r="H208" s="734"/>
      <c r="I208" s="734"/>
      <c r="J208" s="734"/>
      <c r="K208" s="734"/>
      <c r="L208" s="734"/>
      <c r="M208" s="734"/>
      <c r="N208" s="734"/>
      <c r="O208" s="734"/>
      <c r="P208" s="734"/>
    </row>
    <row r="209" spans="2:16" ht="25" customHeight="1">
      <c r="B209" s="734"/>
      <c r="C209" s="734"/>
      <c r="D209" s="734"/>
      <c r="E209" s="734"/>
      <c r="F209" s="734"/>
      <c r="G209" s="734"/>
      <c r="H209" s="734"/>
      <c r="I209" s="734"/>
      <c r="J209" s="734"/>
      <c r="K209" s="734"/>
      <c r="L209" s="734"/>
      <c r="M209" s="734"/>
      <c r="N209" s="734"/>
      <c r="O209" s="734"/>
      <c r="P209" s="734"/>
    </row>
    <row r="210" spans="2:16" ht="25" customHeight="1">
      <c r="B210" s="734"/>
      <c r="C210" s="734"/>
      <c r="D210" s="734"/>
      <c r="E210" s="734"/>
      <c r="F210" s="734"/>
      <c r="G210" s="734"/>
      <c r="H210" s="734"/>
      <c r="I210" s="734"/>
      <c r="J210" s="734"/>
      <c r="K210" s="734"/>
      <c r="L210" s="734"/>
      <c r="M210" s="734"/>
      <c r="N210" s="734"/>
      <c r="O210" s="734"/>
      <c r="P210" s="734"/>
    </row>
    <row r="211" spans="2:16" ht="25" customHeight="1">
      <c r="B211" s="734"/>
      <c r="C211" s="734"/>
      <c r="D211" s="734"/>
      <c r="E211" s="734"/>
      <c r="F211" s="734"/>
      <c r="G211" s="734"/>
      <c r="H211" s="734"/>
      <c r="I211" s="734"/>
      <c r="J211" s="734"/>
      <c r="K211" s="734"/>
      <c r="L211" s="734"/>
      <c r="M211" s="734"/>
      <c r="N211" s="734"/>
      <c r="O211" s="734"/>
      <c r="P211" s="734"/>
    </row>
    <row r="212" spans="2:16" ht="25" customHeight="1">
      <c r="B212" s="734"/>
      <c r="C212" s="734"/>
      <c r="D212" s="734"/>
      <c r="E212" s="734"/>
      <c r="F212" s="734"/>
      <c r="G212" s="734"/>
      <c r="H212" s="734"/>
      <c r="I212" s="734"/>
      <c r="J212" s="734"/>
      <c r="K212" s="734"/>
      <c r="L212" s="734"/>
      <c r="M212" s="734"/>
      <c r="N212" s="734"/>
      <c r="O212" s="734"/>
      <c r="P212" s="734"/>
    </row>
    <row r="213" spans="2:16" ht="25" customHeight="1">
      <c r="B213" s="734"/>
      <c r="C213" s="734"/>
      <c r="D213" s="734"/>
      <c r="E213" s="734"/>
      <c r="F213" s="734"/>
      <c r="G213" s="734"/>
      <c r="H213" s="734"/>
      <c r="I213" s="734"/>
      <c r="J213" s="734"/>
      <c r="K213" s="734"/>
      <c r="L213" s="734"/>
      <c r="M213" s="734"/>
      <c r="N213" s="734"/>
      <c r="O213" s="734"/>
      <c r="P213" s="734"/>
    </row>
    <row r="214" spans="2:16" ht="25" customHeight="1">
      <c r="B214" s="734"/>
      <c r="C214" s="734"/>
      <c r="D214" s="734"/>
      <c r="E214" s="734"/>
      <c r="F214" s="734"/>
      <c r="G214" s="734"/>
      <c r="H214" s="734"/>
      <c r="I214" s="734"/>
      <c r="J214" s="734"/>
      <c r="K214" s="734"/>
      <c r="L214" s="734"/>
      <c r="M214" s="734"/>
      <c r="N214" s="734"/>
      <c r="O214" s="734"/>
      <c r="P214" s="734"/>
    </row>
    <row r="215" spans="2:16" ht="25" customHeight="1">
      <c r="B215" s="734"/>
      <c r="C215" s="734"/>
      <c r="D215" s="734"/>
      <c r="E215" s="734"/>
      <c r="F215" s="734"/>
      <c r="G215" s="734"/>
      <c r="H215" s="734"/>
      <c r="I215" s="734"/>
      <c r="J215" s="734"/>
      <c r="K215" s="734"/>
      <c r="L215" s="734"/>
      <c r="M215" s="734"/>
      <c r="N215" s="734"/>
      <c r="O215" s="734"/>
      <c r="P215" s="734"/>
    </row>
    <row r="216" spans="2:16" ht="25" customHeight="1">
      <c r="B216" s="734"/>
      <c r="C216" s="734"/>
      <c r="D216" s="734"/>
      <c r="E216" s="734"/>
      <c r="F216" s="734"/>
      <c r="G216" s="734"/>
      <c r="H216" s="734"/>
      <c r="I216" s="734"/>
      <c r="J216" s="734"/>
      <c r="K216" s="734"/>
      <c r="L216" s="734"/>
      <c r="M216" s="734"/>
      <c r="N216" s="734"/>
      <c r="O216" s="734"/>
      <c r="P216" s="734"/>
    </row>
    <row r="217" spans="2:16" ht="25" customHeight="1">
      <c r="B217" s="734"/>
      <c r="C217" s="734"/>
      <c r="D217" s="734"/>
      <c r="E217" s="734"/>
      <c r="F217" s="734"/>
      <c r="G217" s="734"/>
      <c r="H217" s="734"/>
      <c r="I217" s="734"/>
      <c r="J217" s="734"/>
      <c r="K217" s="734"/>
      <c r="L217" s="734"/>
      <c r="M217" s="734"/>
      <c r="N217" s="734"/>
      <c r="O217" s="734"/>
      <c r="P217" s="734"/>
    </row>
    <row r="218" spans="2:16" ht="25" customHeight="1">
      <c r="B218" s="734"/>
      <c r="C218" s="734"/>
      <c r="D218" s="734"/>
      <c r="E218" s="734"/>
      <c r="F218" s="734"/>
      <c r="G218" s="734"/>
      <c r="H218" s="734"/>
      <c r="I218" s="734"/>
      <c r="J218" s="734"/>
      <c r="K218" s="734"/>
      <c r="L218" s="734"/>
      <c r="M218" s="734"/>
      <c r="N218" s="734"/>
      <c r="O218" s="734"/>
      <c r="P218" s="734"/>
    </row>
    <row r="219" spans="2:16" ht="25" customHeight="1">
      <c r="B219" s="734"/>
      <c r="C219" s="734"/>
      <c r="D219" s="734"/>
      <c r="E219" s="734"/>
      <c r="F219" s="734"/>
      <c r="G219" s="734"/>
      <c r="H219" s="734"/>
      <c r="I219" s="734"/>
      <c r="J219" s="734"/>
      <c r="K219" s="734"/>
      <c r="L219" s="734"/>
      <c r="M219" s="734"/>
      <c r="N219" s="734"/>
      <c r="O219" s="734"/>
      <c r="P219" s="734"/>
    </row>
    <row r="220" spans="2:16" ht="25" customHeight="1">
      <c r="B220" s="734"/>
      <c r="C220" s="734"/>
      <c r="D220" s="734"/>
      <c r="E220" s="734"/>
      <c r="F220" s="734"/>
      <c r="G220" s="734"/>
      <c r="H220" s="734"/>
      <c r="I220" s="734"/>
      <c r="J220" s="734"/>
      <c r="K220" s="734"/>
      <c r="L220" s="734"/>
      <c r="M220" s="734"/>
      <c r="N220" s="734"/>
      <c r="O220" s="734"/>
      <c r="P220" s="734"/>
    </row>
    <row r="221" spans="2:16" ht="25" customHeight="1">
      <c r="B221" s="734"/>
      <c r="C221" s="734"/>
      <c r="D221" s="734"/>
      <c r="E221" s="734"/>
      <c r="F221" s="734"/>
      <c r="G221" s="734"/>
      <c r="H221" s="734"/>
      <c r="I221" s="734"/>
      <c r="J221" s="734"/>
      <c r="K221" s="734"/>
      <c r="L221" s="734"/>
      <c r="M221" s="734"/>
      <c r="N221" s="734"/>
      <c r="O221" s="734"/>
      <c r="P221" s="734"/>
    </row>
    <row r="222" spans="2:16" ht="25" customHeight="1">
      <c r="B222" s="734"/>
      <c r="C222" s="734"/>
      <c r="D222" s="734"/>
      <c r="E222" s="734"/>
      <c r="F222" s="734"/>
      <c r="G222" s="734"/>
      <c r="H222" s="734"/>
      <c r="I222" s="734"/>
      <c r="J222" s="734"/>
      <c r="K222" s="734"/>
      <c r="L222" s="734"/>
      <c r="M222" s="734"/>
      <c r="N222" s="734"/>
      <c r="O222" s="734"/>
      <c r="P222" s="734"/>
    </row>
    <row r="223" spans="2:16" ht="25" customHeight="1">
      <c r="B223" s="734"/>
      <c r="C223" s="734"/>
      <c r="D223" s="734"/>
      <c r="E223" s="734"/>
      <c r="F223" s="734"/>
      <c r="G223" s="734"/>
      <c r="H223" s="734"/>
      <c r="I223" s="734"/>
      <c r="J223" s="734"/>
      <c r="K223" s="734"/>
      <c r="L223" s="734"/>
      <c r="M223" s="734"/>
      <c r="N223" s="734"/>
      <c r="O223" s="734"/>
      <c r="P223" s="734"/>
    </row>
    <row r="224" spans="2:16" ht="25" customHeight="1">
      <c r="B224" s="734"/>
      <c r="C224" s="734"/>
      <c r="D224" s="734"/>
      <c r="E224" s="734"/>
      <c r="F224" s="734"/>
      <c r="G224" s="734"/>
      <c r="H224" s="734"/>
      <c r="I224" s="734"/>
      <c r="J224" s="734"/>
      <c r="K224" s="734"/>
      <c r="L224" s="734"/>
      <c r="M224" s="734"/>
      <c r="N224" s="734"/>
      <c r="O224" s="734"/>
      <c r="P224" s="734"/>
    </row>
    <row r="225" spans="2:16" ht="25" customHeight="1">
      <c r="B225" s="734"/>
      <c r="C225" s="734"/>
      <c r="D225" s="734"/>
      <c r="E225" s="734"/>
      <c r="F225" s="734"/>
      <c r="G225" s="734"/>
      <c r="H225" s="734"/>
      <c r="I225" s="734"/>
      <c r="J225" s="734"/>
      <c r="K225" s="734"/>
      <c r="L225" s="734"/>
      <c r="M225" s="734"/>
      <c r="N225" s="734"/>
      <c r="O225" s="734"/>
      <c r="P225" s="734"/>
    </row>
    <row r="226" spans="2:16" ht="25" customHeight="1">
      <c r="B226" s="734"/>
      <c r="C226" s="734"/>
      <c r="D226" s="734"/>
      <c r="E226" s="734"/>
      <c r="F226" s="734"/>
      <c r="G226" s="734"/>
      <c r="H226" s="734"/>
      <c r="I226" s="734"/>
      <c r="J226" s="734"/>
      <c r="K226" s="734"/>
      <c r="L226" s="734"/>
      <c r="M226" s="734"/>
      <c r="N226" s="734"/>
      <c r="O226" s="734"/>
      <c r="P226" s="734"/>
    </row>
    <row r="227" spans="2:16" ht="25" customHeight="1">
      <c r="B227" s="734"/>
      <c r="C227" s="734"/>
      <c r="D227" s="734"/>
      <c r="E227" s="734"/>
      <c r="F227" s="734"/>
      <c r="G227" s="734"/>
      <c r="H227" s="734"/>
      <c r="I227" s="734"/>
      <c r="J227" s="734"/>
      <c r="K227" s="734"/>
      <c r="L227" s="734"/>
      <c r="M227" s="734"/>
      <c r="N227" s="734"/>
      <c r="O227" s="734"/>
      <c r="P227" s="734"/>
    </row>
    <row r="228" spans="2:16" ht="25" customHeight="1">
      <c r="B228" s="734"/>
      <c r="C228" s="734"/>
      <c r="D228" s="734"/>
      <c r="E228" s="734"/>
      <c r="F228" s="734"/>
      <c r="G228" s="734"/>
      <c r="H228" s="734"/>
      <c r="I228" s="734"/>
      <c r="J228" s="734"/>
      <c r="K228" s="734"/>
      <c r="L228" s="734"/>
      <c r="M228" s="734"/>
      <c r="N228" s="734"/>
      <c r="O228" s="734"/>
      <c r="P228" s="734"/>
    </row>
    <row r="229" spans="2:16" ht="25" customHeight="1">
      <c r="B229" s="734"/>
      <c r="C229" s="734"/>
      <c r="D229" s="734"/>
      <c r="E229" s="734"/>
      <c r="F229" s="734"/>
      <c r="G229" s="734"/>
      <c r="H229" s="734"/>
      <c r="I229" s="734"/>
      <c r="J229" s="734"/>
      <c r="K229" s="734"/>
      <c r="L229" s="734"/>
      <c r="M229" s="734"/>
      <c r="N229" s="734"/>
      <c r="O229" s="734"/>
      <c r="P229" s="734"/>
    </row>
    <row r="230" spans="2:16" ht="25" customHeight="1">
      <c r="B230" s="734"/>
      <c r="C230" s="734"/>
      <c r="D230" s="734"/>
      <c r="E230" s="734"/>
      <c r="F230" s="734"/>
      <c r="G230" s="734"/>
      <c r="H230" s="734"/>
      <c r="I230" s="734"/>
      <c r="J230" s="734"/>
      <c r="K230" s="734"/>
      <c r="L230" s="734"/>
      <c r="M230" s="734"/>
      <c r="N230" s="734"/>
      <c r="O230" s="734"/>
      <c r="P230" s="734"/>
    </row>
    <row r="231" spans="2:16" ht="25" customHeight="1">
      <c r="B231" s="734"/>
      <c r="C231" s="734"/>
      <c r="D231" s="734"/>
      <c r="E231" s="734"/>
      <c r="F231" s="734"/>
      <c r="G231" s="734"/>
      <c r="H231" s="734"/>
      <c r="I231" s="734"/>
      <c r="J231" s="734"/>
      <c r="K231" s="734"/>
      <c r="L231" s="734"/>
      <c r="M231" s="734"/>
      <c r="N231" s="734"/>
      <c r="O231" s="734"/>
      <c r="P231" s="734"/>
    </row>
    <row r="232" spans="2:16" ht="25" customHeight="1">
      <c r="B232" s="734"/>
      <c r="C232" s="734"/>
      <c r="D232" s="734"/>
      <c r="E232" s="734"/>
      <c r="F232" s="734"/>
      <c r="G232" s="734"/>
      <c r="H232" s="734"/>
      <c r="I232" s="734"/>
      <c r="J232" s="734"/>
      <c r="K232" s="734"/>
      <c r="L232" s="734"/>
      <c r="M232" s="734"/>
      <c r="N232" s="734"/>
      <c r="O232" s="734"/>
      <c r="P232" s="734"/>
    </row>
    <row r="233" spans="2:16" ht="25" customHeight="1">
      <c r="B233" s="734"/>
      <c r="C233" s="734"/>
      <c r="D233" s="734"/>
      <c r="E233" s="734"/>
      <c r="F233" s="734"/>
      <c r="G233" s="734"/>
      <c r="H233" s="734"/>
      <c r="I233" s="734"/>
      <c r="J233" s="734"/>
      <c r="K233" s="734"/>
      <c r="L233" s="734"/>
      <c r="M233" s="734"/>
      <c r="N233" s="734"/>
      <c r="O233" s="734"/>
      <c r="P233" s="734"/>
    </row>
    <row r="234" spans="2:16" ht="25" customHeight="1">
      <c r="B234" s="734"/>
      <c r="C234" s="734"/>
      <c r="D234" s="734"/>
      <c r="E234" s="734"/>
      <c r="F234" s="734"/>
      <c r="G234" s="734"/>
      <c r="H234" s="734"/>
      <c r="I234" s="734"/>
      <c r="J234" s="734"/>
      <c r="K234" s="734"/>
      <c r="L234" s="734"/>
      <c r="M234" s="734"/>
      <c r="N234" s="734"/>
      <c r="O234" s="734"/>
      <c r="P234" s="734"/>
    </row>
    <row r="235" spans="2:16" ht="25" customHeight="1">
      <c r="B235" s="734"/>
      <c r="C235" s="734"/>
      <c r="D235" s="734"/>
      <c r="E235" s="734"/>
      <c r="F235" s="734"/>
      <c r="G235" s="734"/>
      <c r="H235" s="734"/>
      <c r="I235" s="734"/>
      <c r="J235" s="734"/>
      <c r="K235" s="734"/>
      <c r="L235" s="734"/>
      <c r="M235" s="734"/>
      <c r="N235" s="734"/>
      <c r="O235" s="734"/>
      <c r="P235" s="734"/>
    </row>
    <row r="236" spans="2:16" ht="25" customHeight="1">
      <c r="B236" s="734"/>
      <c r="C236" s="734"/>
      <c r="D236" s="734"/>
      <c r="E236" s="734"/>
      <c r="F236" s="734"/>
      <c r="G236" s="734"/>
      <c r="H236" s="734"/>
      <c r="I236" s="734"/>
      <c r="J236" s="734"/>
      <c r="K236" s="734"/>
      <c r="L236" s="734"/>
      <c r="M236" s="734"/>
      <c r="N236" s="734"/>
      <c r="O236" s="734"/>
      <c r="P236" s="734"/>
    </row>
    <row r="237" spans="2:16" ht="25" customHeight="1">
      <c r="B237" s="734"/>
      <c r="C237" s="734"/>
      <c r="D237" s="734"/>
      <c r="E237" s="734"/>
      <c r="F237" s="734"/>
      <c r="G237" s="734"/>
      <c r="H237" s="734"/>
      <c r="I237" s="734"/>
      <c r="J237" s="734"/>
      <c r="K237" s="734"/>
      <c r="L237" s="734"/>
      <c r="M237" s="734"/>
      <c r="N237" s="734"/>
      <c r="O237" s="734"/>
      <c r="P237" s="734"/>
    </row>
    <row r="238" spans="2:16" ht="25" customHeight="1">
      <c r="B238" s="734"/>
      <c r="C238" s="734"/>
      <c r="D238" s="734"/>
      <c r="E238" s="734"/>
      <c r="F238" s="734"/>
      <c r="G238" s="734"/>
      <c r="H238" s="734"/>
      <c r="I238" s="734"/>
      <c r="J238" s="734"/>
      <c r="K238" s="734"/>
      <c r="L238" s="734"/>
      <c r="M238" s="734"/>
      <c r="N238" s="734"/>
      <c r="O238" s="734"/>
      <c r="P238" s="734"/>
    </row>
    <row r="239" spans="2:16" ht="25" customHeight="1">
      <c r="B239" s="734"/>
      <c r="C239" s="734"/>
      <c r="D239" s="734"/>
      <c r="E239" s="734"/>
      <c r="F239" s="734"/>
      <c r="G239" s="734"/>
      <c r="H239" s="734"/>
      <c r="I239" s="734"/>
      <c r="J239" s="734"/>
      <c r="K239" s="734"/>
      <c r="L239" s="734"/>
      <c r="M239" s="734"/>
      <c r="N239" s="734"/>
      <c r="O239" s="734"/>
      <c r="P239" s="734"/>
    </row>
    <row r="240" spans="2:16" ht="25" customHeight="1">
      <c r="B240" s="734"/>
      <c r="C240" s="734"/>
      <c r="D240" s="734"/>
      <c r="E240" s="734"/>
      <c r="F240" s="734"/>
      <c r="G240" s="734"/>
      <c r="H240" s="734"/>
      <c r="I240" s="734"/>
      <c r="J240" s="734"/>
      <c r="K240" s="734"/>
      <c r="L240" s="734"/>
      <c r="M240" s="734"/>
      <c r="N240" s="734"/>
      <c r="O240" s="734"/>
      <c r="P240" s="734"/>
    </row>
    <row r="241" spans="2:16" ht="25" customHeight="1">
      <c r="B241" s="734"/>
      <c r="C241" s="734"/>
      <c r="D241" s="734"/>
      <c r="E241" s="734"/>
      <c r="F241" s="734"/>
      <c r="G241" s="734"/>
      <c r="H241" s="734"/>
      <c r="I241" s="734"/>
      <c r="J241" s="734"/>
      <c r="K241" s="734"/>
      <c r="L241" s="734"/>
      <c r="M241" s="734"/>
      <c r="N241" s="734"/>
      <c r="O241" s="734"/>
      <c r="P241" s="734"/>
    </row>
    <row r="242" spans="2:16" ht="25" customHeight="1">
      <c r="B242" s="734"/>
      <c r="C242" s="734"/>
      <c r="D242" s="734"/>
      <c r="E242" s="734"/>
      <c r="F242" s="734"/>
      <c r="G242" s="734"/>
      <c r="H242" s="734"/>
      <c r="I242" s="734"/>
      <c r="J242" s="734"/>
      <c r="K242" s="734"/>
      <c r="L242" s="734"/>
      <c r="M242" s="734"/>
      <c r="N242" s="734"/>
      <c r="O242" s="734"/>
      <c r="P242" s="734"/>
    </row>
    <row r="243" spans="2:16" ht="25" customHeight="1">
      <c r="B243" s="734"/>
      <c r="C243" s="734"/>
      <c r="D243" s="734"/>
      <c r="E243" s="734"/>
      <c r="F243" s="734"/>
      <c r="G243" s="734"/>
      <c r="H243" s="734"/>
      <c r="I243" s="734"/>
      <c r="J243" s="734"/>
      <c r="K243" s="734"/>
      <c r="L243" s="734"/>
      <c r="M243" s="734"/>
      <c r="N243" s="734"/>
      <c r="O243" s="734"/>
      <c r="P243" s="734"/>
    </row>
    <row r="244" spans="2:16" ht="25" customHeight="1">
      <c r="B244" s="734"/>
      <c r="C244" s="734"/>
      <c r="D244" s="734"/>
      <c r="E244" s="734"/>
      <c r="F244" s="734"/>
      <c r="G244" s="734"/>
      <c r="H244" s="734"/>
      <c r="I244" s="734"/>
      <c r="J244" s="734"/>
      <c r="K244" s="734"/>
      <c r="L244" s="734"/>
      <c r="M244" s="734"/>
      <c r="N244" s="734"/>
      <c r="O244" s="734"/>
      <c r="P244" s="734"/>
    </row>
    <row r="245" spans="2:16" ht="25" customHeight="1">
      <c r="B245" s="734"/>
      <c r="C245" s="734"/>
      <c r="D245" s="734"/>
      <c r="E245" s="734"/>
      <c r="F245" s="734"/>
      <c r="G245" s="734"/>
      <c r="H245" s="734"/>
      <c r="I245" s="734"/>
      <c r="J245" s="734"/>
      <c r="K245" s="734"/>
      <c r="L245" s="734"/>
      <c r="M245" s="734"/>
      <c r="N245" s="734"/>
      <c r="O245" s="734"/>
      <c r="P245" s="734"/>
    </row>
    <row r="246" spans="2:16" ht="25" customHeight="1">
      <c r="B246" s="734"/>
      <c r="C246" s="734"/>
      <c r="D246" s="734"/>
      <c r="E246" s="734"/>
      <c r="F246" s="734"/>
      <c r="G246" s="734"/>
      <c r="H246" s="734"/>
      <c r="I246" s="734"/>
      <c r="J246" s="734"/>
      <c r="K246" s="734"/>
      <c r="L246" s="734"/>
      <c r="M246" s="734"/>
      <c r="N246" s="734"/>
      <c r="O246" s="734"/>
      <c r="P246" s="734"/>
    </row>
    <row r="247" spans="2:16" ht="25" customHeight="1">
      <c r="B247" s="734"/>
      <c r="C247" s="734"/>
      <c r="D247" s="734"/>
      <c r="E247" s="734"/>
      <c r="F247" s="734"/>
      <c r="G247" s="734"/>
      <c r="H247" s="734"/>
      <c r="I247" s="734"/>
      <c r="J247" s="734"/>
      <c r="K247" s="734"/>
      <c r="L247" s="734"/>
      <c r="M247" s="734"/>
      <c r="N247" s="734"/>
      <c r="O247" s="734"/>
      <c r="P247" s="734"/>
    </row>
    <row r="248" spans="2:16" ht="25" customHeight="1">
      <c r="B248" s="734"/>
      <c r="C248" s="734"/>
      <c r="D248" s="734"/>
      <c r="E248" s="734"/>
      <c r="F248" s="734"/>
      <c r="G248" s="734"/>
      <c r="H248" s="734"/>
      <c r="I248" s="734"/>
      <c r="J248" s="734"/>
      <c r="K248" s="734"/>
      <c r="L248" s="734"/>
      <c r="M248" s="734"/>
      <c r="N248" s="734"/>
      <c r="O248" s="734"/>
      <c r="P248" s="734"/>
    </row>
    <row r="249" spans="2:16" ht="25" customHeight="1">
      <c r="B249" s="734"/>
      <c r="C249" s="734"/>
      <c r="D249" s="734"/>
      <c r="E249" s="734"/>
      <c r="F249" s="734"/>
      <c r="G249" s="734"/>
      <c r="H249" s="734"/>
      <c r="I249" s="734"/>
      <c r="J249" s="734"/>
      <c r="K249" s="734"/>
      <c r="L249" s="734"/>
      <c r="M249" s="734"/>
      <c r="N249" s="734"/>
      <c r="O249" s="734"/>
      <c r="P249" s="734"/>
    </row>
    <row r="250" spans="2:16" ht="25" customHeight="1">
      <c r="B250" s="734"/>
      <c r="C250" s="734"/>
      <c r="D250" s="734"/>
      <c r="E250" s="734"/>
      <c r="F250" s="734"/>
      <c r="G250" s="734"/>
      <c r="H250" s="734"/>
      <c r="I250" s="734"/>
      <c r="J250" s="734"/>
      <c r="K250" s="734"/>
      <c r="L250" s="734"/>
      <c r="M250" s="734"/>
      <c r="N250" s="734"/>
      <c r="O250" s="734"/>
      <c r="P250" s="734"/>
    </row>
    <row r="251" spans="2:16" ht="25" customHeight="1">
      <c r="B251" s="734"/>
      <c r="C251" s="734"/>
      <c r="D251" s="734"/>
      <c r="E251" s="734"/>
      <c r="F251" s="734"/>
      <c r="G251" s="734"/>
      <c r="H251" s="734"/>
      <c r="I251" s="734"/>
      <c r="J251" s="734"/>
      <c r="K251" s="734"/>
      <c r="L251" s="734"/>
      <c r="M251" s="734"/>
      <c r="N251" s="734"/>
      <c r="O251" s="734"/>
      <c r="P251" s="734"/>
    </row>
    <row r="252" spans="2:16" ht="25" customHeight="1">
      <c r="B252" s="734"/>
      <c r="C252" s="734"/>
      <c r="D252" s="734"/>
      <c r="E252" s="734"/>
      <c r="F252" s="734"/>
      <c r="G252" s="734"/>
      <c r="H252" s="734"/>
      <c r="I252" s="734"/>
      <c r="J252" s="734"/>
      <c r="K252" s="734"/>
      <c r="L252" s="734"/>
      <c r="M252" s="734"/>
      <c r="N252" s="734"/>
      <c r="O252" s="734"/>
      <c r="P252" s="734"/>
    </row>
    <row r="253" spans="2:16" ht="25" customHeight="1">
      <c r="B253" s="734"/>
      <c r="C253" s="734"/>
      <c r="D253" s="734"/>
      <c r="E253" s="734"/>
      <c r="F253" s="734"/>
      <c r="G253" s="734"/>
      <c r="H253" s="734"/>
      <c r="I253" s="734"/>
      <c r="J253" s="734"/>
      <c r="K253" s="734"/>
      <c r="L253" s="734"/>
      <c r="M253" s="734"/>
      <c r="N253" s="734"/>
      <c r="O253" s="734"/>
      <c r="P253" s="734"/>
    </row>
    <row r="254" spans="2:16" ht="25" customHeight="1">
      <c r="B254" s="734"/>
      <c r="C254" s="734"/>
      <c r="D254" s="734"/>
      <c r="E254" s="734"/>
      <c r="F254" s="734"/>
      <c r="G254" s="734"/>
      <c r="H254" s="734"/>
      <c r="I254" s="734"/>
      <c r="J254" s="734"/>
      <c r="K254" s="734"/>
      <c r="L254" s="734"/>
      <c r="M254" s="734"/>
      <c r="N254" s="734"/>
      <c r="O254" s="734"/>
      <c r="P254" s="734"/>
    </row>
    <row r="255" spans="2:16" ht="25" customHeight="1">
      <c r="B255" s="734"/>
      <c r="C255" s="734"/>
      <c r="D255" s="734"/>
      <c r="E255" s="734"/>
      <c r="F255" s="734"/>
      <c r="G255" s="734"/>
      <c r="H255" s="734"/>
      <c r="I255" s="734"/>
      <c r="J255" s="734"/>
      <c r="K255" s="734"/>
      <c r="L255" s="734"/>
      <c r="M255" s="734"/>
      <c r="N255" s="734"/>
      <c r="O255" s="734"/>
      <c r="P255" s="734"/>
    </row>
    <row r="256" spans="2:16" ht="25" customHeight="1">
      <c r="B256" s="734"/>
      <c r="C256" s="734"/>
      <c r="D256" s="734"/>
      <c r="E256" s="734"/>
      <c r="F256" s="734"/>
      <c r="G256" s="734"/>
      <c r="H256" s="734"/>
      <c r="I256" s="734"/>
      <c r="J256" s="734"/>
      <c r="K256" s="734"/>
      <c r="L256" s="734"/>
      <c r="M256" s="734"/>
      <c r="N256" s="734"/>
      <c r="O256" s="734"/>
      <c r="P256" s="734"/>
    </row>
    <row r="257" spans="2:16" ht="25" customHeight="1">
      <c r="B257" s="734"/>
      <c r="C257" s="734"/>
      <c r="D257" s="734"/>
      <c r="E257" s="734"/>
      <c r="F257" s="734"/>
      <c r="G257" s="734"/>
      <c r="H257" s="734"/>
      <c r="I257" s="734"/>
      <c r="J257" s="734"/>
      <c r="K257" s="734"/>
      <c r="L257" s="734"/>
      <c r="M257" s="734"/>
      <c r="N257" s="734"/>
      <c r="O257" s="734"/>
      <c r="P257" s="734"/>
    </row>
    <row r="258" spans="2:16" ht="25" customHeight="1">
      <c r="B258" s="734"/>
      <c r="C258" s="734"/>
      <c r="D258" s="734"/>
      <c r="E258" s="734"/>
      <c r="F258" s="734"/>
      <c r="G258" s="734"/>
      <c r="H258" s="734"/>
      <c r="I258" s="734"/>
      <c r="J258" s="734"/>
      <c r="K258" s="734"/>
      <c r="L258" s="734"/>
      <c r="M258" s="734"/>
      <c r="N258" s="734"/>
      <c r="O258" s="734"/>
      <c r="P258" s="734"/>
    </row>
    <row r="259" spans="2:16" ht="25" customHeight="1">
      <c r="B259" s="734"/>
      <c r="C259" s="734"/>
      <c r="D259" s="734"/>
      <c r="E259" s="734"/>
      <c r="F259" s="734"/>
      <c r="G259" s="734"/>
      <c r="H259" s="734"/>
      <c r="I259" s="734"/>
      <c r="J259" s="734"/>
      <c r="K259" s="734"/>
      <c r="L259" s="734"/>
      <c r="M259" s="734"/>
      <c r="N259" s="734"/>
      <c r="O259" s="734"/>
      <c r="P259" s="734"/>
    </row>
    <row r="260" spans="2:16" ht="25" customHeight="1">
      <c r="B260" s="734"/>
      <c r="C260" s="734"/>
      <c r="D260" s="734"/>
      <c r="E260" s="734"/>
      <c r="F260" s="734"/>
      <c r="G260" s="734"/>
      <c r="H260" s="734"/>
      <c r="I260" s="734"/>
      <c r="J260" s="734"/>
      <c r="K260" s="734"/>
      <c r="L260" s="734"/>
      <c r="M260" s="734"/>
      <c r="N260" s="734"/>
      <c r="O260" s="734"/>
      <c r="P260" s="734"/>
    </row>
    <row r="261" spans="2:16" ht="25" customHeight="1">
      <c r="B261" s="734"/>
      <c r="C261" s="734"/>
      <c r="D261" s="734"/>
      <c r="E261" s="734"/>
      <c r="F261" s="734"/>
      <c r="G261" s="734"/>
      <c r="H261" s="734"/>
      <c r="I261" s="734"/>
      <c r="J261" s="734"/>
      <c r="K261" s="734"/>
      <c r="L261" s="734"/>
      <c r="M261" s="734"/>
      <c r="N261" s="734"/>
      <c r="O261" s="734"/>
      <c r="P261" s="734"/>
    </row>
    <row r="262" spans="2:16" ht="25" customHeight="1">
      <c r="B262" s="734"/>
      <c r="C262" s="734"/>
      <c r="D262" s="734"/>
      <c r="E262" s="734"/>
      <c r="F262" s="734"/>
      <c r="G262" s="734"/>
      <c r="H262" s="734"/>
      <c r="I262" s="734"/>
      <c r="J262" s="734"/>
      <c r="K262" s="734"/>
      <c r="L262" s="734"/>
      <c r="M262" s="734"/>
      <c r="N262" s="734"/>
      <c r="O262" s="734"/>
      <c r="P262" s="734"/>
    </row>
    <row r="263" spans="2:16" ht="25" customHeight="1">
      <c r="B263" s="734"/>
      <c r="C263" s="734"/>
      <c r="D263" s="734"/>
      <c r="E263" s="734"/>
      <c r="F263" s="734"/>
      <c r="G263" s="734"/>
      <c r="H263" s="734"/>
      <c r="I263" s="734"/>
      <c r="J263" s="734"/>
      <c r="K263" s="734"/>
      <c r="L263" s="734"/>
      <c r="M263" s="734"/>
      <c r="N263" s="734"/>
      <c r="O263" s="734"/>
      <c r="P263" s="734"/>
    </row>
    <row r="264" spans="2:16" ht="25" customHeight="1">
      <c r="B264" s="734"/>
      <c r="C264" s="734"/>
      <c r="D264" s="734"/>
      <c r="E264" s="734"/>
      <c r="F264" s="734"/>
      <c r="G264" s="734"/>
      <c r="H264" s="734"/>
      <c r="I264" s="734"/>
      <c r="J264" s="734"/>
      <c r="K264" s="734"/>
      <c r="L264" s="734"/>
      <c r="M264" s="734"/>
      <c r="N264" s="734"/>
      <c r="O264" s="734"/>
      <c r="P264" s="734"/>
    </row>
    <row r="265" spans="2:16" ht="25" customHeight="1">
      <c r="B265" s="734"/>
      <c r="C265" s="734"/>
      <c r="D265" s="734"/>
      <c r="E265" s="734"/>
      <c r="F265" s="734"/>
      <c r="G265" s="734"/>
      <c r="H265" s="734"/>
      <c r="I265" s="734"/>
      <c r="J265" s="734"/>
      <c r="K265" s="734"/>
      <c r="L265" s="734"/>
      <c r="M265" s="734"/>
      <c r="N265" s="734"/>
      <c r="O265" s="734"/>
      <c r="P265" s="734"/>
    </row>
    <row r="266" spans="2:16" ht="25" customHeight="1">
      <c r="B266" s="734"/>
      <c r="C266" s="734"/>
      <c r="D266" s="734"/>
      <c r="E266" s="734"/>
      <c r="F266" s="734"/>
      <c r="G266" s="734"/>
      <c r="H266" s="734"/>
      <c r="I266" s="734"/>
      <c r="J266" s="734"/>
      <c r="K266" s="734"/>
      <c r="L266" s="734"/>
      <c r="M266" s="734"/>
      <c r="N266" s="734"/>
      <c r="O266" s="734"/>
      <c r="P266" s="734"/>
    </row>
    <row r="267" spans="2:16" ht="25" customHeight="1">
      <c r="B267" s="734"/>
      <c r="C267" s="734"/>
      <c r="D267" s="734"/>
      <c r="E267" s="734"/>
      <c r="F267" s="734"/>
      <c r="G267" s="734"/>
      <c r="H267" s="734"/>
      <c r="I267" s="734"/>
      <c r="J267" s="734"/>
      <c r="K267" s="734"/>
      <c r="L267" s="734"/>
      <c r="M267" s="734"/>
      <c r="N267" s="734"/>
      <c r="O267" s="734"/>
      <c r="P267" s="734"/>
    </row>
    <row r="268" spans="2:16" ht="25" customHeight="1">
      <c r="B268" s="734"/>
      <c r="C268" s="734"/>
      <c r="D268" s="734"/>
      <c r="E268" s="734"/>
      <c r="F268" s="734"/>
      <c r="G268" s="734"/>
      <c r="H268" s="734"/>
      <c r="I268" s="734"/>
      <c r="J268" s="734"/>
      <c r="K268" s="734"/>
      <c r="L268" s="734"/>
      <c r="M268" s="734"/>
      <c r="N268" s="734"/>
      <c r="O268" s="734"/>
      <c r="P268" s="734"/>
    </row>
    <row r="269" spans="2:16" ht="25" customHeight="1">
      <c r="B269" s="734"/>
      <c r="C269" s="734"/>
      <c r="D269" s="734"/>
      <c r="E269" s="734"/>
      <c r="F269" s="734"/>
      <c r="G269" s="734"/>
      <c r="H269" s="734"/>
      <c r="I269" s="734"/>
      <c r="J269" s="734"/>
      <c r="K269" s="734"/>
      <c r="L269" s="734"/>
      <c r="M269" s="734"/>
      <c r="N269" s="734"/>
      <c r="O269" s="734"/>
      <c r="P269" s="734"/>
    </row>
    <row r="270" spans="2:16" ht="25" customHeight="1">
      <c r="B270" s="734"/>
      <c r="C270" s="734"/>
      <c r="D270" s="734"/>
      <c r="E270" s="734"/>
      <c r="F270" s="734"/>
      <c r="G270" s="734"/>
      <c r="H270" s="734"/>
      <c r="I270" s="734"/>
      <c r="J270" s="734"/>
      <c r="K270" s="734"/>
      <c r="L270" s="734"/>
      <c r="M270" s="734"/>
      <c r="N270" s="734"/>
      <c r="O270" s="734"/>
      <c r="P270" s="734"/>
    </row>
    <row r="271" spans="2:16" ht="25" customHeight="1">
      <c r="B271" s="734"/>
      <c r="C271" s="734"/>
      <c r="D271" s="734"/>
      <c r="E271" s="734"/>
      <c r="F271" s="734"/>
      <c r="G271" s="734"/>
      <c r="H271" s="734"/>
      <c r="I271" s="734"/>
      <c r="J271" s="734"/>
      <c r="K271" s="734"/>
      <c r="L271" s="734"/>
      <c r="M271" s="734"/>
      <c r="N271" s="734"/>
      <c r="O271" s="734"/>
      <c r="P271" s="734"/>
    </row>
    <row r="272" spans="2:16" ht="25" customHeight="1">
      <c r="B272" s="734"/>
      <c r="C272" s="734"/>
      <c r="D272" s="734"/>
      <c r="E272" s="734"/>
      <c r="F272" s="734"/>
      <c r="G272" s="734"/>
      <c r="H272" s="734"/>
      <c r="I272" s="734"/>
      <c r="J272" s="734"/>
      <c r="K272" s="734"/>
      <c r="L272" s="734"/>
      <c r="M272" s="734"/>
      <c r="N272" s="734"/>
      <c r="O272" s="734"/>
      <c r="P272" s="734"/>
    </row>
    <row r="273" spans="2:16" ht="25" customHeight="1">
      <c r="B273" s="734"/>
      <c r="C273" s="734"/>
      <c r="D273" s="734"/>
      <c r="E273" s="734"/>
      <c r="F273" s="734"/>
      <c r="G273" s="734"/>
      <c r="H273" s="734"/>
      <c r="I273" s="734"/>
      <c r="J273" s="734"/>
      <c r="K273" s="734"/>
      <c r="L273" s="734"/>
      <c r="M273" s="734"/>
      <c r="N273" s="734"/>
      <c r="O273" s="734"/>
      <c r="P273" s="734"/>
    </row>
    <row r="274" spans="2:16" ht="25" customHeight="1">
      <c r="B274" s="734"/>
      <c r="C274" s="734"/>
      <c r="D274" s="734"/>
      <c r="E274" s="734"/>
      <c r="F274" s="734"/>
      <c r="G274" s="734"/>
      <c r="H274" s="734"/>
      <c r="I274" s="734"/>
      <c r="J274" s="734"/>
      <c r="K274" s="734"/>
      <c r="L274" s="734"/>
      <c r="M274" s="734"/>
      <c r="N274" s="734"/>
      <c r="O274" s="734"/>
      <c r="P274" s="734"/>
    </row>
    <row r="275" spans="2:16" ht="25" customHeight="1">
      <c r="B275" s="734"/>
      <c r="C275" s="734"/>
      <c r="D275" s="734"/>
      <c r="E275" s="734"/>
      <c r="F275" s="734"/>
      <c r="G275" s="734"/>
      <c r="H275" s="734"/>
      <c r="I275" s="734"/>
      <c r="J275" s="734"/>
      <c r="K275" s="734"/>
      <c r="L275" s="734"/>
      <c r="M275" s="734"/>
      <c r="N275" s="734"/>
      <c r="O275" s="734"/>
      <c r="P275" s="734"/>
    </row>
    <row r="276" spans="2:16" ht="25" customHeight="1">
      <c r="B276" s="734"/>
      <c r="C276" s="734"/>
      <c r="D276" s="734"/>
      <c r="E276" s="734"/>
      <c r="F276" s="734"/>
      <c r="G276" s="734"/>
      <c r="H276" s="734"/>
      <c r="I276" s="734"/>
      <c r="J276" s="734"/>
      <c r="K276" s="734"/>
      <c r="L276" s="734"/>
      <c r="M276" s="734"/>
      <c r="N276" s="734"/>
      <c r="O276" s="734"/>
      <c r="P276" s="734"/>
    </row>
    <row r="277" spans="2:16" ht="25" customHeight="1">
      <c r="B277" s="734"/>
      <c r="C277" s="734"/>
      <c r="D277" s="734"/>
      <c r="E277" s="734"/>
      <c r="F277" s="734"/>
      <c r="G277" s="734"/>
      <c r="H277" s="734"/>
      <c r="I277" s="734"/>
      <c r="J277" s="734"/>
      <c r="K277" s="734"/>
      <c r="L277" s="734"/>
      <c r="M277" s="734"/>
      <c r="N277" s="734"/>
      <c r="O277" s="734"/>
      <c r="P277" s="734"/>
    </row>
    <row r="278" spans="2:16" ht="25" customHeight="1">
      <c r="B278" s="734"/>
      <c r="C278" s="734"/>
      <c r="D278" s="734"/>
      <c r="E278" s="734"/>
      <c r="F278" s="734"/>
      <c r="G278" s="734"/>
      <c r="H278" s="734"/>
      <c r="I278" s="734"/>
      <c r="J278" s="734"/>
      <c r="K278" s="734"/>
      <c r="L278" s="734"/>
      <c r="M278" s="734"/>
      <c r="N278" s="734"/>
      <c r="O278" s="734"/>
      <c r="P278" s="734"/>
    </row>
    <row r="279" spans="2:16" ht="25" customHeight="1">
      <c r="B279" s="734"/>
      <c r="C279" s="734"/>
      <c r="D279" s="734"/>
      <c r="E279" s="734"/>
      <c r="F279" s="734"/>
      <c r="G279" s="734"/>
      <c r="H279" s="734"/>
      <c r="I279" s="734"/>
      <c r="J279" s="734"/>
      <c r="K279" s="734"/>
      <c r="L279" s="734"/>
      <c r="M279" s="734"/>
      <c r="N279" s="734"/>
      <c r="O279" s="734"/>
      <c r="P279" s="734"/>
    </row>
    <row r="280" spans="2:16" ht="25" customHeight="1">
      <c r="B280" s="734"/>
      <c r="C280" s="734"/>
      <c r="D280" s="734"/>
      <c r="E280" s="734"/>
      <c r="F280" s="734"/>
      <c r="G280" s="734"/>
      <c r="H280" s="734"/>
      <c r="I280" s="734"/>
      <c r="J280" s="734"/>
      <c r="K280" s="734"/>
      <c r="L280" s="734"/>
      <c r="M280" s="734"/>
      <c r="N280" s="734"/>
      <c r="O280" s="734"/>
      <c r="P280" s="734"/>
    </row>
    <row r="281" spans="2:16" ht="25" customHeight="1">
      <c r="B281" s="734"/>
      <c r="C281" s="734"/>
      <c r="D281" s="734"/>
      <c r="E281" s="734"/>
      <c r="F281" s="734"/>
      <c r="G281" s="734"/>
      <c r="H281" s="734"/>
      <c r="I281" s="734"/>
      <c r="J281" s="734"/>
      <c r="K281" s="734"/>
      <c r="L281" s="734"/>
      <c r="M281" s="734"/>
      <c r="N281" s="734"/>
      <c r="O281" s="734"/>
      <c r="P281" s="734"/>
    </row>
    <row r="282" spans="2:16" ht="25" customHeight="1">
      <c r="B282" s="734"/>
      <c r="C282" s="734"/>
      <c r="D282" s="734"/>
      <c r="E282" s="734"/>
      <c r="F282" s="734"/>
      <c r="G282" s="734"/>
      <c r="H282" s="734"/>
      <c r="I282" s="734"/>
      <c r="J282" s="734"/>
      <c r="K282" s="734"/>
      <c r="L282" s="734"/>
      <c r="M282" s="734"/>
      <c r="N282" s="734"/>
      <c r="O282" s="734"/>
      <c r="P282" s="734"/>
    </row>
    <row r="283" spans="2:16" ht="25" customHeight="1">
      <c r="B283" s="734"/>
      <c r="C283" s="734"/>
      <c r="D283" s="734"/>
      <c r="E283" s="734"/>
      <c r="F283" s="734"/>
      <c r="G283" s="734"/>
      <c r="H283" s="734"/>
      <c r="I283" s="734"/>
      <c r="J283" s="734"/>
      <c r="K283" s="734"/>
      <c r="L283" s="734"/>
      <c r="M283" s="734"/>
      <c r="N283" s="734"/>
      <c r="O283" s="734"/>
      <c r="P283" s="734"/>
    </row>
    <row r="284" spans="2:16" ht="25" customHeight="1">
      <c r="B284" s="734"/>
      <c r="C284" s="734"/>
      <c r="D284" s="734"/>
      <c r="E284" s="734"/>
      <c r="F284" s="734"/>
      <c r="G284" s="734"/>
      <c r="H284" s="734"/>
      <c r="I284" s="734"/>
      <c r="J284" s="734"/>
      <c r="K284" s="734"/>
      <c r="L284" s="734"/>
      <c r="M284" s="734"/>
      <c r="N284" s="734"/>
      <c r="O284" s="734"/>
      <c r="P284" s="734"/>
    </row>
    <row r="285" spans="2:16" ht="25" customHeight="1">
      <c r="B285" s="734"/>
      <c r="C285" s="734"/>
      <c r="D285" s="734"/>
      <c r="E285" s="734"/>
      <c r="F285" s="734"/>
      <c r="G285" s="734"/>
      <c r="H285" s="734"/>
      <c r="I285" s="734"/>
      <c r="J285" s="734"/>
      <c r="K285" s="734"/>
      <c r="L285" s="734"/>
      <c r="M285" s="734"/>
      <c r="N285" s="734"/>
      <c r="O285" s="734"/>
      <c r="P285" s="734"/>
    </row>
    <row r="286" spans="2:16" ht="25" customHeight="1">
      <c r="B286" s="734"/>
      <c r="C286" s="734"/>
      <c r="D286" s="734"/>
      <c r="E286" s="734"/>
      <c r="F286" s="734"/>
      <c r="G286" s="734"/>
      <c r="H286" s="734"/>
      <c r="I286" s="734"/>
      <c r="J286" s="734"/>
      <c r="K286" s="734"/>
      <c r="L286" s="734"/>
      <c r="M286" s="734"/>
      <c r="N286" s="734"/>
      <c r="O286" s="734"/>
      <c r="P286" s="734"/>
    </row>
    <row r="287" spans="2:16" ht="25" customHeight="1">
      <c r="B287" s="734"/>
      <c r="C287" s="734"/>
      <c r="D287" s="734"/>
      <c r="E287" s="734"/>
      <c r="F287" s="734"/>
      <c r="G287" s="734"/>
      <c r="H287" s="734"/>
      <c r="I287" s="734"/>
      <c r="J287" s="734"/>
      <c r="K287" s="734"/>
      <c r="L287" s="734"/>
      <c r="M287" s="734"/>
      <c r="N287" s="734"/>
      <c r="O287" s="734"/>
      <c r="P287" s="734"/>
    </row>
    <row r="288" spans="2:16" ht="25" customHeight="1">
      <c r="B288" s="734"/>
      <c r="C288" s="734"/>
      <c r="D288" s="734"/>
      <c r="E288" s="734"/>
      <c r="F288" s="734"/>
      <c r="G288" s="734"/>
      <c r="H288" s="734"/>
      <c r="I288" s="734"/>
      <c r="J288" s="734"/>
      <c r="K288" s="734"/>
      <c r="L288" s="734"/>
      <c r="M288" s="734"/>
      <c r="N288" s="734"/>
      <c r="O288" s="734"/>
      <c r="P288" s="734"/>
    </row>
    <row r="289" spans="2:16" ht="25" customHeight="1">
      <c r="B289" s="734"/>
      <c r="C289" s="734"/>
      <c r="D289" s="734"/>
      <c r="E289" s="734"/>
      <c r="F289" s="734"/>
      <c r="G289" s="734"/>
      <c r="H289" s="734"/>
      <c r="I289" s="734"/>
      <c r="J289" s="734"/>
      <c r="K289" s="734"/>
      <c r="L289" s="734"/>
      <c r="M289" s="734"/>
      <c r="N289" s="734"/>
      <c r="O289" s="734"/>
      <c r="P289" s="734"/>
    </row>
    <row r="290" spans="2:16" ht="25" customHeight="1">
      <c r="B290" s="734"/>
      <c r="C290" s="734"/>
      <c r="D290" s="734"/>
      <c r="E290" s="734"/>
      <c r="F290" s="734"/>
      <c r="G290" s="734"/>
      <c r="H290" s="734"/>
      <c r="I290" s="734"/>
      <c r="J290" s="734"/>
      <c r="K290" s="734"/>
      <c r="L290" s="734"/>
      <c r="M290" s="734"/>
      <c r="N290" s="734"/>
      <c r="O290" s="734"/>
      <c r="P290" s="734"/>
    </row>
  </sheetData>
  <phoneticPr fontId="19" type="noConversion"/>
  <pageMargins left="0.25" right="0.25" top="0.25" bottom="0.25" header="0.25" footer="0.25"/>
  <pageSetup scale="69" orientation="portrait" horizontalDpi="4294967292" verticalDpi="4294967292"/>
  <rowBreaks count="3" manualBreakCount="3">
    <brk id="40" max="16383" man="1"/>
    <brk id="75" max="16383" man="1"/>
    <brk id="130" max="16383" man="1"/>
  </rowBreaks>
  <extLst>
    <ext xmlns:mx="http://schemas.microsoft.com/office/mac/excel/2008/main" uri="{64002731-A6B0-56B0-2670-7721B7C09600}">
      <mx:PLV Mode="0" OnePage="0" WScale="8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0000"/>
  </sheetPr>
  <dimension ref="A1:B9"/>
  <sheetViews>
    <sheetView workbookViewId="0">
      <selection activeCell="B7" sqref="B4:B7"/>
    </sheetView>
  </sheetViews>
  <sheetFormatPr baseColWidth="10" defaultColWidth="8.83203125" defaultRowHeight="12" x14ac:dyDescent="0"/>
  <sheetData>
    <row r="1" spans="1:2" s="263" customFormat="1">
      <c r="A1" s="263" t="s">
        <v>794</v>
      </c>
    </row>
    <row r="2" spans="1:2" ht="30" customHeight="1">
      <c r="A2" t="s">
        <v>793</v>
      </c>
    </row>
    <row r="4" spans="1:2">
      <c r="A4" t="s">
        <v>795</v>
      </c>
      <c r="B4" s="345">
        <v>0.22</v>
      </c>
    </row>
    <row r="5" spans="1:2">
      <c r="A5" t="s">
        <v>796</v>
      </c>
      <c r="B5" s="345">
        <v>0.22</v>
      </c>
    </row>
    <row r="6" spans="1:2">
      <c r="A6" t="s">
        <v>797</v>
      </c>
      <c r="B6" s="345">
        <v>0.23</v>
      </c>
    </row>
    <row r="7" spans="1:2">
      <c r="A7" t="s">
        <v>798</v>
      </c>
      <c r="B7" s="345">
        <v>0.33</v>
      </c>
    </row>
    <row r="9" spans="1:2">
      <c r="A9" t="s">
        <v>799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topLeftCell="I1" workbookViewId="0">
      <selection activeCell="J31" sqref="J31"/>
    </sheetView>
  </sheetViews>
  <sheetFormatPr baseColWidth="10" defaultColWidth="8.83203125" defaultRowHeight="12" x14ac:dyDescent="0"/>
  <cols>
    <col min="1" max="1" width="18.6640625" bestFit="1" customWidth="1"/>
    <col min="2" max="6" width="14" bestFit="1" customWidth="1"/>
    <col min="11" max="11" width="14" bestFit="1" customWidth="1"/>
  </cols>
  <sheetData>
    <row r="1" spans="1:23" ht="14">
      <c r="A1" s="543" t="s">
        <v>321</v>
      </c>
      <c r="B1" s="543" t="s">
        <v>1062</v>
      </c>
      <c r="C1" s="543" t="s">
        <v>1063</v>
      </c>
      <c r="D1" s="543" t="s">
        <v>1064</v>
      </c>
      <c r="E1" s="543" t="s">
        <v>1065</v>
      </c>
      <c r="F1" s="543" t="s">
        <v>1066</v>
      </c>
      <c r="J1" t="s">
        <v>845</v>
      </c>
      <c r="K1" s="545">
        <v>41122</v>
      </c>
      <c r="L1" s="545">
        <v>41153</v>
      </c>
      <c r="M1" s="545">
        <v>41183</v>
      </c>
      <c r="N1" s="545">
        <v>41214</v>
      </c>
      <c r="O1" s="545">
        <v>41244</v>
      </c>
      <c r="P1" s="545"/>
      <c r="Q1" s="545"/>
      <c r="R1" s="545"/>
      <c r="S1" s="545"/>
      <c r="T1" s="545"/>
      <c r="U1" s="545"/>
      <c r="V1" s="545"/>
      <c r="W1" s="545"/>
    </row>
    <row r="2" spans="1:23">
      <c r="A2" s="157" t="s">
        <v>1068</v>
      </c>
      <c r="B2" s="148">
        <v>3316455.8528812048</v>
      </c>
      <c r="C2" s="148">
        <v>3361709.2408351912</v>
      </c>
      <c r="D2" s="148">
        <v>4449177.0849403003</v>
      </c>
      <c r="E2" s="148">
        <v>3370269.1177340373</v>
      </c>
      <c r="F2" s="148">
        <v>4240564.8061257061</v>
      </c>
      <c r="J2" s="157" t="s">
        <v>8</v>
      </c>
      <c r="K2" s="148">
        <f>B2+B19</f>
        <v>7275892.8265312053</v>
      </c>
      <c r="L2" s="148">
        <f t="shared" ref="L2:O2" si="0">C2+C19</f>
        <v>7475402.2487751916</v>
      </c>
      <c r="M2" s="148">
        <f t="shared" si="0"/>
        <v>9811267.213820301</v>
      </c>
      <c r="N2" s="148">
        <f t="shared" si="0"/>
        <v>7670547.1074670376</v>
      </c>
      <c r="O2" s="148">
        <f t="shared" si="0"/>
        <v>9890367.614717707</v>
      </c>
    </row>
    <row r="3" spans="1:23">
      <c r="A3" s="157" t="s">
        <v>1034</v>
      </c>
      <c r="B3" s="148">
        <v>982854.95511401992</v>
      </c>
      <c r="C3" s="148">
        <v>1047915.742889395</v>
      </c>
      <c r="D3" s="148">
        <v>1117097.3463301549</v>
      </c>
      <c r="E3" s="148">
        <v>1148285.1196639</v>
      </c>
      <c r="F3" s="148">
        <v>1373632.47406738</v>
      </c>
      <c r="J3" s="157" t="s">
        <v>1034</v>
      </c>
      <c r="K3" s="148">
        <f>B3+B20</f>
        <v>1869127.6121840198</v>
      </c>
      <c r="L3" s="148">
        <f t="shared" ref="L3:O3" si="1">C3+C20</f>
        <v>1981625.4905913949</v>
      </c>
      <c r="M3" s="148">
        <f t="shared" si="1"/>
        <v>2095235.228644155</v>
      </c>
      <c r="N3" s="148">
        <f t="shared" si="1"/>
        <v>2144609.2794329002</v>
      </c>
      <c r="O3" s="148">
        <f t="shared" si="1"/>
        <v>2511730.05727538</v>
      </c>
    </row>
    <row r="4" spans="1:23">
      <c r="A4" s="157" t="s">
        <v>1069</v>
      </c>
      <c r="B4" s="148">
        <v>578263.29144300008</v>
      </c>
      <c r="C4" s="148">
        <v>567529.67485399998</v>
      </c>
      <c r="D4" s="148">
        <v>574837.96074200002</v>
      </c>
      <c r="E4" s="148">
        <v>617387.70924700005</v>
      </c>
      <c r="F4" s="148">
        <v>767810.378058</v>
      </c>
      <c r="J4" s="157" t="s">
        <v>1055</v>
      </c>
      <c r="K4" s="148">
        <f>B4+B21</f>
        <v>1079414.0859330001</v>
      </c>
      <c r="L4" s="148">
        <f t="shared" ref="L4:O4" si="2">C4+C21</f>
        <v>1040915.282595</v>
      </c>
      <c r="M4" s="148">
        <f t="shared" si="2"/>
        <v>1100028.5210230001</v>
      </c>
      <c r="N4" s="148">
        <f t="shared" si="2"/>
        <v>1122574.085737</v>
      </c>
      <c r="O4" s="148">
        <f t="shared" si="2"/>
        <v>1411771.02733</v>
      </c>
    </row>
    <row r="5" spans="1:23">
      <c r="A5" s="157" t="s">
        <v>1056</v>
      </c>
      <c r="B5" s="148">
        <v>386416.39270999987</v>
      </c>
      <c r="C5" s="148">
        <v>446167.03451000003</v>
      </c>
      <c r="D5" s="148">
        <v>535251.55782999983</v>
      </c>
      <c r="E5" s="148">
        <v>471176.42300000018</v>
      </c>
      <c r="F5" s="148">
        <v>547671.42536000011</v>
      </c>
      <c r="J5" s="157" t="s">
        <v>1056</v>
      </c>
      <c r="K5" s="148">
        <f>B5+B22</f>
        <v>735478.54520599986</v>
      </c>
      <c r="L5" s="148">
        <f t="shared" ref="L5:O5" si="3">C5+C22</f>
        <v>833524.22373700002</v>
      </c>
      <c r="M5" s="148">
        <f t="shared" si="3"/>
        <v>970171.01541199978</v>
      </c>
      <c r="N5" s="148">
        <f t="shared" si="3"/>
        <v>893783.83157700021</v>
      </c>
      <c r="O5" s="148">
        <f t="shared" si="3"/>
        <v>995855.63833900006</v>
      </c>
    </row>
    <row r="6" spans="1:23">
      <c r="A6" s="157" t="s">
        <v>1036</v>
      </c>
      <c r="B6" s="148">
        <v>191296.76478249399</v>
      </c>
      <c r="C6" s="148">
        <v>187127.75197359902</v>
      </c>
      <c r="D6" s="148">
        <v>170617.88110999999</v>
      </c>
      <c r="E6" s="148">
        <v>170292.5845</v>
      </c>
      <c r="F6" s="148">
        <v>173485.43719999999</v>
      </c>
      <c r="J6" s="157" t="s">
        <v>1057</v>
      </c>
      <c r="K6" s="148">
        <f>B7+B33</f>
        <v>158460.07672400001</v>
      </c>
      <c r="L6" s="148">
        <f t="shared" ref="L6:O6" si="4">C7+C33</f>
        <v>199623.10089</v>
      </c>
      <c r="M6" s="148">
        <f t="shared" si="4"/>
        <v>216245.39797399999</v>
      </c>
      <c r="N6" s="148">
        <f t="shared" si="4"/>
        <v>212264.47356299998</v>
      </c>
      <c r="O6" s="148">
        <f t="shared" si="4"/>
        <v>268290.79989799997</v>
      </c>
    </row>
    <row r="7" spans="1:23">
      <c r="A7" s="157" t="s">
        <v>1070</v>
      </c>
      <c r="B7" s="148">
        <v>137882.82982000001</v>
      </c>
      <c r="C7" s="148">
        <v>163191.11064999999</v>
      </c>
      <c r="D7" s="148">
        <v>156335.22985999999</v>
      </c>
      <c r="E7" s="148">
        <v>138807.41355999999</v>
      </c>
      <c r="F7" s="148">
        <v>160248.86040999999</v>
      </c>
      <c r="J7" s="157" t="s">
        <v>1038</v>
      </c>
      <c r="K7" s="148">
        <f>B9+B27</f>
        <v>159536.91</v>
      </c>
      <c r="L7" s="148">
        <f t="shared" ref="L7:O7" si="5">C9+C27</f>
        <v>151059.89000000001</v>
      </c>
      <c r="M7" s="148">
        <f t="shared" si="5"/>
        <v>162643.64000000001</v>
      </c>
      <c r="N7" s="148">
        <f t="shared" si="5"/>
        <v>202671.29311</v>
      </c>
      <c r="O7" s="148">
        <f t="shared" si="5"/>
        <v>266181.331167</v>
      </c>
    </row>
    <row r="8" spans="1:23">
      <c r="A8" s="157" t="s">
        <v>1060</v>
      </c>
      <c r="B8" s="148"/>
      <c r="C8" s="148">
        <v>358267.25653000001</v>
      </c>
      <c r="D8" s="148"/>
      <c r="E8" s="148"/>
      <c r="F8" s="148">
        <v>344786.36776000005</v>
      </c>
      <c r="J8" s="157" t="s">
        <v>1058</v>
      </c>
      <c r="K8" s="148">
        <f>B10+B23</f>
        <v>181808.71584095</v>
      </c>
      <c r="L8" s="148">
        <f t="shared" ref="L8:O8" si="6">C10+C23</f>
        <v>196464.94199565001</v>
      </c>
      <c r="M8" s="148">
        <f t="shared" si="6"/>
        <v>203672.77637510002</v>
      </c>
      <c r="N8" s="148">
        <f t="shared" si="6"/>
        <v>201339.98128599999</v>
      </c>
      <c r="O8" s="148">
        <f t="shared" si="6"/>
        <v>262432.68446700001</v>
      </c>
    </row>
    <row r="9" spans="1:23">
      <c r="A9" s="157" t="s">
        <v>1038</v>
      </c>
      <c r="B9" s="148">
        <v>81104.44</v>
      </c>
      <c r="C9" s="148">
        <v>72399.710000000006</v>
      </c>
      <c r="D9" s="148">
        <v>75547.100000000006</v>
      </c>
      <c r="E9" s="148">
        <v>102536.554343</v>
      </c>
      <c r="F9" s="148">
        <v>128801.76740399998</v>
      </c>
      <c r="J9" s="157" t="s">
        <v>1036</v>
      </c>
      <c r="K9" s="148">
        <f>B6+B24</f>
        <v>302603.95281249401</v>
      </c>
      <c r="L9" s="148">
        <f t="shared" ref="L9:O9" si="7">C6+C24</f>
        <v>293897.48925659899</v>
      </c>
      <c r="M9" s="148">
        <f t="shared" si="7"/>
        <v>282919.112693</v>
      </c>
      <c r="N9" s="148">
        <f t="shared" si="7"/>
        <v>278467.07698299998</v>
      </c>
      <c r="O9" s="148">
        <f t="shared" si="7"/>
        <v>301493.26179199998</v>
      </c>
    </row>
    <row r="10" spans="1:23">
      <c r="A10" s="157" t="s">
        <v>1035</v>
      </c>
      <c r="B10" s="148">
        <v>68044.729165950004</v>
      </c>
      <c r="C10" s="148">
        <v>73458.896796650006</v>
      </c>
      <c r="D10" s="148">
        <v>77377.260402100001</v>
      </c>
      <c r="E10" s="148"/>
      <c r="F10" s="148"/>
      <c r="J10" s="157" t="s">
        <v>1059</v>
      </c>
      <c r="K10" s="148">
        <f>B11+B26</f>
        <v>139207.102255203</v>
      </c>
      <c r="L10" s="148">
        <f t="shared" ref="L10:O10" si="8">C11+C26</f>
        <v>142590.32777471899</v>
      </c>
      <c r="M10" s="148">
        <f t="shared" si="8"/>
        <v>135156.06885899999</v>
      </c>
      <c r="N10" s="148">
        <f t="shared" si="8"/>
        <v>156704.34242500001</v>
      </c>
      <c r="O10" s="148">
        <f t="shared" si="8"/>
        <v>201373.83379100001</v>
      </c>
    </row>
    <row r="11" spans="1:23">
      <c r="A11" s="157" t="s">
        <v>1071</v>
      </c>
      <c r="B11" s="148">
        <v>48020.468506202997</v>
      </c>
      <c r="C11" s="148">
        <v>56161.970636718994</v>
      </c>
      <c r="D11" s="148">
        <v>47327.62487</v>
      </c>
      <c r="E11" s="148"/>
      <c r="F11" s="148"/>
      <c r="J11" s="157" t="s">
        <v>1060</v>
      </c>
      <c r="K11" s="148">
        <f>B8+B25</f>
        <v>0</v>
      </c>
      <c r="L11" s="148">
        <f t="shared" ref="L11:O11" si="9">C8+C25</f>
        <v>654197.07050699997</v>
      </c>
      <c r="M11" s="148">
        <f t="shared" si="9"/>
        <v>0</v>
      </c>
      <c r="N11" s="148">
        <f t="shared" si="9"/>
        <v>0</v>
      </c>
      <c r="O11" s="148">
        <f t="shared" si="9"/>
        <v>640771.27628800005</v>
      </c>
    </row>
    <row r="12" spans="1:23">
      <c r="A12" s="157" t="s">
        <v>1041</v>
      </c>
      <c r="B12" s="148">
        <v>48539.328583660004</v>
      </c>
      <c r="C12" s="148">
        <v>48672.580851011</v>
      </c>
      <c r="D12" s="148">
        <v>47954.501345338998</v>
      </c>
      <c r="E12" s="148">
        <v>37013.177810355999</v>
      </c>
      <c r="F12" s="148">
        <v>21008.55908748</v>
      </c>
    </row>
    <row r="13" spans="1:23">
      <c r="A13" s="157" t="s">
        <v>1072</v>
      </c>
      <c r="B13" s="148">
        <v>35689.8931612456</v>
      </c>
      <c r="C13" s="148">
        <v>35296.236114430103</v>
      </c>
      <c r="D13" s="148">
        <v>36301.960067450702</v>
      </c>
      <c r="E13" s="148">
        <v>40150.906265519101</v>
      </c>
      <c r="F13" s="148"/>
    </row>
    <row r="14" spans="1:23">
      <c r="A14" s="157" t="s">
        <v>1037</v>
      </c>
      <c r="B14" s="148">
        <v>30257.889036460456</v>
      </c>
      <c r="C14" s="148">
        <v>28566.000806829699</v>
      </c>
      <c r="D14" s="148">
        <v>32255.863926570542</v>
      </c>
      <c r="E14" s="148">
        <v>35646.364688150199</v>
      </c>
      <c r="F14" s="148">
        <v>36926.393274269896</v>
      </c>
    </row>
    <row r="15" spans="1:23">
      <c r="A15" s="157" t="s">
        <v>1073</v>
      </c>
      <c r="B15" s="148">
        <v>20142.083882999999</v>
      </c>
      <c r="C15" s="148">
        <v>21532.388730000002</v>
      </c>
      <c r="D15" s="148">
        <v>22795.605345</v>
      </c>
      <c r="E15" s="148">
        <v>22438.451755999999</v>
      </c>
      <c r="F15" s="148">
        <v>25523.935902999998</v>
      </c>
    </row>
    <row r="18" spans="1:6" ht="14">
      <c r="A18" s="543" t="s">
        <v>320</v>
      </c>
      <c r="B18" s="543" t="s">
        <v>1062</v>
      </c>
      <c r="C18" s="543" t="s">
        <v>1063</v>
      </c>
      <c r="D18" s="543" t="s">
        <v>1064</v>
      </c>
      <c r="E18" s="543" t="s">
        <v>1065</v>
      </c>
      <c r="F18" s="543" t="s">
        <v>1066</v>
      </c>
    </row>
    <row r="19" spans="1:6">
      <c r="A19" s="157" t="s">
        <v>8</v>
      </c>
      <c r="B19" s="173">
        <v>3959436.9736500001</v>
      </c>
      <c r="C19" s="173">
        <v>4113693.0079399999</v>
      </c>
      <c r="D19" s="173">
        <v>5362090.1288799997</v>
      </c>
      <c r="E19" s="173">
        <v>4300277.9897330003</v>
      </c>
      <c r="F19" s="173">
        <v>5649802.808592</v>
      </c>
    </row>
    <row r="20" spans="1:6">
      <c r="A20" s="157" t="s">
        <v>1034</v>
      </c>
      <c r="B20" s="173">
        <v>886272.65706999996</v>
      </c>
      <c r="C20" s="173">
        <v>933709.74770199996</v>
      </c>
      <c r="D20" s="173">
        <v>978137.88231400005</v>
      </c>
      <c r="E20" s="173">
        <v>996324.15976900002</v>
      </c>
      <c r="F20" s="173">
        <v>1138097.5832080001</v>
      </c>
    </row>
    <row r="21" spans="1:6">
      <c r="A21" s="157" t="s">
        <v>1055</v>
      </c>
      <c r="B21" s="173">
        <v>501150.79449</v>
      </c>
      <c r="C21" s="173">
        <v>473385.60774100001</v>
      </c>
      <c r="D21" s="173">
        <v>525190.56028099998</v>
      </c>
      <c r="E21" s="173">
        <v>505186.37649</v>
      </c>
      <c r="F21" s="173">
        <v>643960.64927199995</v>
      </c>
    </row>
    <row r="22" spans="1:6">
      <c r="A22" s="157" t="s">
        <v>1056</v>
      </c>
      <c r="B22" s="173">
        <v>349062.152496</v>
      </c>
      <c r="C22" s="173">
        <v>387357.189227</v>
      </c>
      <c r="D22" s="173">
        <v>434919.457582</v>
      </c>
      <c r="E22" s="173">
        <v>422607.40857700002</v>
      </c>
      <c r="F22" s="173">
        <v>448184.212979</v>
      </c>
    </row>
    <row r="23" spans="1:6">
      <c r="A23" s="157" t="s">
        <v>1058</v>
      </c>
      <c r="B23" s="173">
        <v>113763.98667499999</v>
      </c>
      <c r="C23" s="173">
        <v>123006.045199</v>
      </c>
      <c r="D23" s="173">
        <v>126295.515973</v>
      </c>
      <c r="E23" s="173">
        <v>201339.98128599999</v>
      </c>
      <c r="F23" s="173">
        <v>262432.68446700001</v>
      </c>
    </row>
    <row r="24" spans="1:6">
      <c r="A24" s="157" t="s">
        <v>1036</v>
      </c>
      <c r="B24" s="173">
        <v>111307.18803</v>
      </c>
      <c r="C24" s="173">
        <v>106769.73728299999</v>
      </c>
      <c r="D24" s="173">
        <v>112301.231583</v>
      </c>
      <c r="E24" s="173">
        <v>108174.49248299999</v>
      </c>
      <c r="F24" s="173">
        <v>128007.824592</v>
      </c>
    </row>
    <row r="25" spans="1:6">
      <c r="A25" s="157" t="s">
        <v>1060</v>
      </c>
      <c r="B25" s="173"/>
      <c r="C25" s="173">
        <v>295929.81397700001</v>
      </c>
      <c r="D25" s="173"/>
      <c r="E25" s="173"/>
      <c r="F25" s="173">
        <v>295984.908528</v>
      </c>
    </row>
    <row r="26" spans="1:6">
      <c r="A26" s="157" t="s">
        <v>1059</v>
      </c>
      <c r="B26" s="173">
        <v>91186.633749000001</v>
      </c>
      <c r="C26" s="173">
        <v>86428.357138000007</v>
      </c>
      <c r="D26" s="173">
        <v>87828.443989000007</v>
      </c>
      <c r="E26" s="173">
        <v>156704.34242500001</v>
      </c>
      <c r="F26" s="173">
        <v>201373.83379100001</v>
      </c>
    </row>
    <row r="27" spans="1:6">
      <c r="A27" s="157" t="s">
        <v>1038</v>
      </c>
      <c r="B27" s="173">
        <v>78432.47</v>
      </c>
      <c r="C27" s="173">
        <v>78660.179999999993</v>
      </c>
      <c r="D27" s="173">
        <v>87096.54</v>
      </c>
      <c r="E27" s="173">
        <v>100134.738767</v>
      </c>
      <c r="F27" s="173">
        <v>137379.56376300001</v>
      </c>
    </row>
    <row r="28" spans="1:6">
      <c r="A28" s="157" t="s">
        <v>1074</v>
      </c>
      <c r="B28" s="173">
        <v>109383.98976700001</v>
      </c>
      <c r="C28" s="173">
        <v>79366.533666999996</v>
      </c>
      <c r="D28" s="173">
        <v>120628.78799300001</v>
      </c>
      <c r="E28" s="173">
        <v>82923.787933</v>
      </c>
      <c r="F28" s="173">
        <v>63708.704251000003</v>
      </c>
    </row>
    <row r="29" spans="1:6">
      <c r="A29" s="157" t="s">
        <v>1075</v>
      </c>
      <c r="B29" s="173">
        <v>71532.995385000002</v>
      </c>
      <c r="C29" s="173">
        <v>77757.970658000006</v>
      </c>
      <c r="D29" s="173">
        <v>79003.693843999994</v>
      </c>
      <c r="E29" s="173">
        <v>66321.326916000005</v>
      </c>
      <c r="F29" s="173">
        <v>65204.246881999999</v>
      </c>
    </row>
    <row r="30" spans="1:6">
      <c r="A30" s="157" t="s">
        <v>1076</v>
      </c>
      <c r="B30" s="173">
        <v>53819.460439000002</v>
      </c>
      <c r="C30" s="173">
        <v>50857.083219</v>
      </c>
      <c r="D30" s="173">
        <v>57552.266490000002</v>
      </c>
      <c r="E30" s="173">
        <v>58887.666804</v>
      </c>
      <c r="F30" s="173">
        <v>64619.555201000003</v>
      </c>
    </row>
    <row r="31" spans="1:6">
      <c r="A31" s="157" t="s">
        <v>1077</v>
      </c>
      <c r="B31" s="173">
        <v>47170.027679999999</v>
      </c>
      <c r="C31" s="173">
        <v>45883.670899999997</v>
      </c>
      <c r="D31" s="173">
        <v>43173.605660000001</v>
      </c>
      <c r="E31" s="173">
        <v>56826.056479999999</v>
      </c>
      <c r="F31" s="173">
        <v>87824.135399999999</v>
      </c>
    </row>
    <row r="32" spans="1:6">
      <c r="A32" s="157" t="s">
        <v>1078</v>
      </c>
      <c r="B32" s="173">
        <v>41352.094490000003</v>
      </c>
      <c r="C32" s="173">
        <v>38141.873604</v>
      </c>
      <c r="D32" s="173">
        <v>37679.446717999999</v>
      </c>
      <c r="E32" s="173">
        <v>43616.538219000002</v>
      </c>
      <c r="F32" s="173">
        <v>50371.864383</v>
      </c>
    </row>
    <row r="33" spans="1:6">
      <c r="A33" s="157" t="s">
        <v>1057</v>
      </c>
      <c r="B33" s="173">
        <v>20577.246904</v>
      </c>
      <c r="C33" s="173">
        <v>36431.990239999999</v>
      </c>
      <c r="D33" s="173">
        <v>59910.168114</v>
      </c>
      <c r="E33" s="173">
        <v>73457.060003000006</v>
      </c>
      <c r="F33" s="173">
        <v>108041.939488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AL143"/>
  <sheetViews>
    <sheetView workbookViewId="0">
      <selection sqref="A1:M1"/>
    </sheetView>
  </sheetViews>
  <sheetFormatPr baseColWidth="10" defaultColWidth="8.83203125" defaultRowHeight="12" x14ac:dyDescent="0"/>
  <cols>
    <col min="1" max="1" width="17.33203125" customWidth="1"/>
    <col min="2" max="3" width="14.1640625" bestFit="1" customWidth="1"/>
    <col min="4" max="4" width="14" bestFit="1" customWidth="1"/>
    <col min="5" max="5" width="12.33203125" customWidth="1"/>
    <col min="6" max="6" width="12.1640625" customWidth="1"/>
    <col min="7" max="7" width="11.83203125" customWidth="1"/>
    <col min="8" max="8" width="14.1640625" bestFit="1" customWidth="1"/>
    <col min="9" max="10" width="14.5" bestFit="1" customWidth="1"/>
    <col min="11" max="11" width="14.1640625" customWidth="1"/>
    <col min="12" max="12" width="12.83203125" customWidth="1"/>
    <col min="13" max="13" width="14.33203125" customWidth="1"/>
    <col min="14" max="14" width="14.1640625" style="263" customWidth="1"/>
    <col min="15" max="15" width="12.83203125" style="263" customWidth="1"/>
    <col min="16" max="16" width="14.33203125" style="263" customWidth="1"/>
    <col min="17" max="17" width="11.5" customWidth="1"/>
    <col min="18" max="18" width="14.33203125" bestFit="1" customWidth="1"/>
    <col min="19" max="20" width="11.1640625" customWidth="1"/>
    <col min="21" max="21" width="11" customWidth="1"/>
    <col min="22" max="22" width="11.33203125" bestFit="1" customWidth="1"/>
    <col min="23" max="23" width="11.33203125" style="263" bestFit="1" customWidth="1"/>
    <col min="24" max="24" width="12.5" bestFit="1" customWidth="1"/>
    <col min="25" max="25" width="11.33203125" bestFit="1" customWidth="1"/>
    <col min="26" max="26" width="10.33203125" bestFit="1" customWidth="1"/>
    <col min="27" max="27" width="7.5" customWidth="1"/>
  </cols>
  <sheetData>
    <row r="1" spans="1:26" ht="14" thickBot="1">
      <c r="A1" s="962" t="s">
        <v>1154</v>
      </c>
      <c r="B1" s="963"/>
      <c r="C1" s="963"/>
      <c r="D1" s="963"/>
      <c r="E1" s="963"/>
      <c r="F1" s="963"/>
      <c r="G1" s="963"/>
      <c r="H1" s="963"/>
      <c r="I1" s="963"/>
      <c r="J1" s="963"/>
      <c r="K1" s="963"/>
      <c r="L1" s="963"/>
      <c r="M1" s="963"/>
      <c r="N1" s="964"/>
      <c r="O1" s="965"/>
      <c r="P1" s="966"/>
      <c r="R1" s="967" t="s">
        <v>1156</v>
      </c>
      <c r="S1" s="968"/>
      <c r="T1" s="968"/>
      <c r="U1" s="968"/>
      <c r="V1" s="968"/>
      <c r="W1" s="968"/>
      <c r="X1" s="969"/>
    </row>
    <row r="2" spans="1:26" ht="23" thickBot="1">
      <c r="A2" s="276" t="s">
        <v>8</v>
      </c>
      <c r="B2" s="429" t="s">
        <v>964</v>
      </c>
      <c r="C2" s="429" t="s">
        <v>1054</v>
      </c>
      <c r="D2" s="283" t="s">
        <v>1</v>
      </c>
      <c r="E2" s="139" t="s">
        <v>2</v>
      </c>
      <c r="F2" s="139" t="s">
        <v>3</v>
      </c>
      <c r="G2" s="139" t="s">
        <v>4</v>
      </c>
      <c r="H2" s="139" t="s">
        <v>5</v>
      </c>
      <c r="I2" s="95" t="s">
        <v>6</v>
      </c>
      <c r="J2" s="421" t="s">
        <v>7</v>
      </c>
      <c r="K2" s="105" t="s">
        <v>1005</v>
      </c>
      <c r="L2" s="139" t="s">
        <v>1006</v>
      </c>
      <c r="M2" s="140" t="s">
        <v>1007</v>
      </c>
      <c r="N2" s="471" t="s">
        <v>1008</v>
      </c>
      <c r="O2" s="472" t="s">
        <v>1009</v>
      </c>
      <c r="P2" s="473" t="s">
        <v>1010</v>
      </c>
      <c r="R2" s="285" t="s">
        <v>8</v>
      </c>
      <c r="S2" s="352" t="s">
        <v>1</v>
      </c>
      <c r="T2" s="353" t="s">
        <v>2</v>
      </c>
      <c r="U2" s="353" t="s">
        <v>3</v>
      </c>
      <c r="V2" s="353" t="s">
        <v>4</v>
      </c>
      <c r="W2" s="381" t="s">
        <v>5</v>
      </c>
      <c r="X2" s="354" t="s">
        <v>21</v>
      </c>
    </row>
    <row r="3" spans="1:26">
      <c r="A3" s="291" t="s">
        <v>9</v>
      </c>
      <c r="B3" s="396">
        <v>4019887.8959472119</v>
      </c>
      <c r="C3" s="396">
        <v>3789750.9168745112</v>
      </c>
      <c r="D3" s="292">
        <f>'IODA Weekly iTunes'!B4+'Orch Weekly Mgmt'!B4+'IRIS iTunes'!B4</f>
        <v>880650.41839050245</v>
      </c>
      <c r="E3" s="292">
        <f>'IODA Weekly iTunes'!C4+'Orch Weekly Mgmt'!C4+'IRIS iTunes'!C4</f>
        <v>957438.42615490244</v>
      </c>
      <c r="F3" s="292">
        <f>'IODA Weekly iTunes'!D4+'Orch Weekly Mgmt'!D4+'IRIS iTunes'!D4</f>
        <v>0</v>
      </c>
      <c r="G3" s="292">
        <f>'IODA Weekly iTunes'!E4+'Orch Weekly Mgmt'!E4+'IRIS iTunes'!E4</f>
        <v>0</v>
      </c>
      <c r="H3" s="484">
        <f>'IODA Weekly iTunes'!F4+'Orch Weekly Mgmt'!F4+'IRIS iTunes'!F4</f>
        <v>0</v>
      </c>
      <c r="I3" s="491">
        <f>SUM($D3:$H3)</f>
        <v>1838088.8445454049</v>
      </c>
      <c r="J3" s="479">
        <f>IFERROR((((D3+E3+F3+G3+H3))/COUNTIF(D3:E3:F3:G3:H3, "&gt;0")*5),0)</f>
        <v>4595222.1113635125</v>
      </c>
      <c r="K3" s="492">
        <f>('[4]Orch Weekly Mgmt'!I131+'[4]IODA Weekly iTunes'!I129+'[4]IRIS iTunes'!I129)</f>
        <v>5309956.3562321831</v>
      </c>
      <c r="L3" s="135">
        <f>$J3-$K3</f>
        <v>-714734.24486867059</v>
      </c>
      <c r="M3" s="136">
        <f>L3/K3</f>
        <v>-0.13460265902747057</v>
      </c>
      <c r="N3" s="574">
        <v>4674142.0473011062</v>
      </c>
      <c r="O3" s="467">
        <f>$J3-$N3</f>
        <v>-78919.935937593691</v>
      </c>
      <c r="P3" s="136">
        <f>O3/N3</f>
        <v>-1.6884368326624308E-2</v>
      </c>
      <c r="R3" s="349" t="s">
        <v>9</v>
      </c>
      <c r="S3" s="357">
        <v>1162537.2923769208</v>
      </c>
      <c r="T3" s="358">
        <v>1016857.1513945193</v>
      </c>
      <c r="U3" s="358">
        <v>952999.2499149862</v>
      </c>
      <c r="V3" s="358">
        <v>1005074.5810711465</v>
      </c>
      <c r="W3" s="382">
        <v>1010634.3025328049</v>
      </c>
      <c r="X3" s="359">
        <f>SUM(S3:W3)</f>
        <v>5148102.5772903776</v>
      </c>
      <c r="Z3" s="394"/>
    </row>
    <row r="4" spans="1:26">
      <c r="A4" s="282" t="s">
        <v>24</v>
      </c>
      <c r="B4" s="431">
        <v>1670593.1073492002</v>
      </c>
      <c r="C4" s="431">
        <v>1534345.7072972003</v>
      </c>
      <c r="D4" s="380">
        <f>SUM('Orch + IODA iTunes Details'!B8:B9,'Orch + IODA iTunes Details'!B14,'Orch + IODA iTunes Details'!B18,'Orch + IODA iTunes Details'!B22,'Orch + IODA iTunes Details'!B27,'IRIS iTunes'!B8:B9,'IRIS iTunes'!B14,'IRIS iTunes'!B18,'IRIS iTunes'!B22,'IRIS iTunes'!B27,'Orch + IODA iTunes Details'!B36,'IRIS iTunes'!B36)</f>
        <v>378070.13428400003</v>
      </c>
      <c r="E4" s="144">
        <f>SUM('Orch + IODA iTunes Details'!C8:C9,'Orch + IODA iTunes Details'!C14,'Orch + IODA iTunes Details'!C18,'Orch + IODA iTunes Details'!C22,'Orch + IODA iTunes Details'!C27,'IRIS iTunes'!C8:C9,'IRIS iTunes'!C14,'IRIS iTunes'!C18,'IRIS iTunes'!C22,'IRIS iTunes'!C27,'Orch + IODA iTunes Details'!C36,'IRIS iTunes'!C36)</f>
        <v>431945.10976500018</v>
      </c>
      <c r="F4" s="144">
        <f>SUM('Orch + IODA iTunes Details'!D8:D9,'Orch + IODA iTunes Details'!D14,'Orch + IODA iTunes Details'!D18,'Orch + IODA iTunes Details'!D22,'Orch + IODA iTunes Details'!D27,'IRIS iTunes'!D8:D9,'IRIS iTunes'!D14,'IRIS iTunes'!D18,'IRIS iTunes'!D22,'IRIS iTunes'!D27,'Orch + IODA iTunes Details'!D36,'IRIS iTunes'!D36)</f>
        <v>0</v>
      </c>
      <c r="G4" s="144">
        <f>SUM('Orch + IODA iTunes Details'!E8:E9,'Orch + IODA iTunes Details'!E14,'Orch + IODA iTunes Details'!E18,'Orch + IODA iTunes Details'!E22,'Orch + IODA iTunes Details'!E27,'IRIS iTunes'!E8:E9,'IRIS iTunes'!E14,'IRIS iTunes'!E18,'IRIS iTunes'!E22,'IRIS iTunes'!E27,'Orch + IODA iTunes Details'!E36,'IRIS iTunes'!E36)</f>
        <v>0</v>
      </c>
      <c r="H4" s="485">
        <f>SUM('Orch + IODA iTunes Details'!F8:F9,'Orch + IODA iTunes Details'!F14,'Orch + IODA iTunes Details'!F18,'Orch + IODA iTunes Details'!F22,'Orch + IODA iTunes Details'!F27,'IRIS iTunes'!F8:F9,'IRIS iTunes'!F14,'IRIS iTunes'!F18,'IRIS iTunes'!F22,'IRIS iTunes'!F27,'Orch + IODA iTunes Details'!F36,'IRIS iTunes'!F36)</f>
        <v>0</v>
      </c>
      <c r="I4" s="493">
        <f>SUM($D4:$H4)</f>
        <v>810015.2440490002</v>
      </c>
      <c r="J4" s="481">
        <f>IFERROR((((D4+E4+F4+G4+H4))/COUNTIF(D4:E4:F4:G4:H4, "&gt;0")*5),0)</f>
        <v>2025038.1101225005</v>
      </c>
      <c r="K4" s="494">
        <f>('[4]Orch Weekly Mgmt'!I132+'[4]IODA Weekly iTunes'!I130+'[4]IRIS iTunes'!I130)</f>
        <v>2270698.6873698523</v>
      </c>
      <c r="L4" s="468">
        <f t="shared" ref="L4:L9" si="0">$J4-$K4</f>
        <v>-245660.57724735187</v>
      </c>
      <c r="M4" s="483">
        <f>L4/K4</f>
        <v>-0.10818721947291925</v>
      </c>
      <c r="N4" s="575">
        <v>1998805.1688842857</v>
      </c>
      <c r="O4" s="468">
        <f t="shared" ref="O4:O5" si="1">$J4-$N4</f>
        <v>26232.941238214727</v>
      </c>
      <c r="P4" s="109">
        <f>O4/N4</f>
        <v>1.3124311286856292E-2</v>
      </c>
      <c r="R4" s="348" t="s">
        <v>24</v>
      </c>
      <c r="S4" s="360">
        <v>474182.26010585768</v>
      </c>
      <c r="T4" s="356">
        <v>449116.71687345789</v>
      </c>
      <c r="U4" s="356">
        <v>415178.98967142386</v>
      </c>
      <c r="V4" s="356">
        <v>431025.10870896879</v>
      </c>
      <c r="W4" s="383">
        <v>457277.8098229774</v>
      </c>
      <c r="X4" s="361">
        <f t="shared" ref="X4:X5" si="2">SUM(S4:W4)</f>
        <v>2226780.8851826857</v>
      </c>
      <c r="Z4" s="394"/>
    </row>
    <row r="5" spans="1:26" ht="13" thickBot="1">
      <c r="A5" s="274" t="s">
        <v>26</v>
      </c>
      <c r="B5" s="432">
        <v>1186272.5692745997</v>
      </c>
      <c r="C5" s="432">
        <v>1193424.5231985999</v>
      </c>
      <c r="D5" s="386">
        <f>SUM('Orch + IODA iTunes Details'!B30:B31,'Orch + IODA iTunes Details'!B34:B35,'Orch + IODA iTunes Details'!B49,'Orch + IODA iTunes Details'!B67,'Orch + IODA iTunes Details'!B81,'IRIS iTunes'!B30:B31,'IRIS iTunes'!B34:B35,'IRIS iTunes'!B49,'IRIS iTunes'!B67,'IRIS iTunes'!B81)</f>
        <v>272394.18243260001</v>
      </c>
      <c r="E5" s="386">
        <f>SUM('Orch + IODA iTunes Details'!C30:C31,'Orch + IODA iTunes Details'!C34:C35,'Orch + IODA iTunes Details'!C49,'Orch + IODA iTunes Details'!C67,'Orch + IODA iTunes Details'!C81,'IRIS iTunes'!C30:C31,'IRIS iTunes'!C34:C35,'IRIS iTunes'!C49,'IRIS iTunes'!C67,'IRIS iTunes'!C81)</f>
        <v>276443.48633579991</v>
      </c>
      <c r="F5" s="386">
        <f>SUM('Orch + IODA iTunes Details'!D30:D31,'Orch + IODA iTunes Details'!D34:D35,'Orch + IODA iTunes Details'!D49,'Orch + IODA iTunes Details'!D67,'Orch + IODA iTunes Details'!D81,'IRIS iTunes'!D30:D31,'IRIS iTunes'!D34:D35,'IRIS iTunes'!D49,'IRIS iTunes'!D67,'IRIS iTunes'!D81)</f>
        <v>0</v>
      </c>
      <c r="G5" s="386">
        <f>SUM('Orch + IODA iTunes Details'!E30:E31,'Orch + IODA iTunes Details'!E34:E35,'Orch + IODA iTunes Details'!E49,'Orch + IODA iTunes Details'!E67,'Orch + IODA iTunes Details'!E81,'IRIS iTunes'!E30:E31,'IRIS iTunes'!E34:E35,'IRIS iTunes'!E49,'IRIS iTunes'!E67,'IRIS iTunes'!E81)</f>
        <v>0</v>
      </c>
      <c r="H5" s="486">
        <f>SUM('Orch + IODA iTunes Details'!F30:F31,'Orch + IODA iTunes Details'!F34:F35,'Orch + IODA iTunes Details'!F49,'Orch + IODA iTunes Details'!F67,'Orch + IODA iTunes Details'!F81,'IRIS iTunes'!F30:F31,'IRIS iTunes'!F34:F35,'IRIS iTunes'!F49,'IRIS iTunes'!F67,'IRIS iTunes'!F81)</f>
        <v>0</v>
      </c>
      <c r="I5" s="495">
        <f>SUM($D5:$H5)</f>
        <v>548837.66876839986</v>
      </c>
      <c r="J5" s="481">
        <f>IFERROR((((D5+E5+F5+G5+H5))/COUNTIF(D5:E5:F5:G5:H5, "&gt;0")*5),0)</f>
        <v>1372094.1719209997</v>
      </c>
      <c r="K5" s="387">
        <f>('[4]Orch Weekly Mgmt'!I133+'[4]IODA Weekly iTunes'!I131+'[4]IRIS iTunes'!I131)</f>
        <v>1625942.1981093008</v>
      </c>
      <c r="L5" s="388">
        <f t="shared" si="0"/>
        <v>-253848.02618830116</v>
      </c>
      <c r="M5" s="110">
        <f>L5/K5</f>
        <v>-0.156123647251104</v>
      </c>
      <c r="N5" s="576">
        <v>1431251.8380201082</v>
      </c>
      <c r="O5" s="346">
        <f t="shared" si="1"/>
        <v>-59157.666099108523</v>
      </c>
      <c r="P5" s="110">
        <f>O5/N5</f>
        <v>-4.1332814063626301E-2</v>
      </c>
      <c r="R5" s="348" t="s">
        <v>26</v>
      </c>
      <c r="S5" s="360">
        <v>321954.5319187186</v>
      </c>
      <c r="T5" s="356">
        <v>327388.10537349345</v>
      </c>
      <c r="U5" s="356">
        <v>314774.62714333984</v>
      </c>
      <c r="V5" s="356">
        <v>330973.23643042747</v>
      </c>
      <c r="W5" s="383">
        <v>327488.90549189184</v>
      </c>
      <c r="X5" s="361">
        <f t="shared" si="2"/>
        <v>1622579.4063578711</v>
      </c>
      <c r="Z5" s="394"/>
    </row>
    <row r="6" spans="1:26" ht="12.75" customHeight="1" thickBot="1">
      <c r="A6" s="389" t="s">
        <v>800</v>
      </c>
      <c r="B6" s="430">
        <f>SUM(B3:B5)</f>
        <v>6876753.5725710122</v>
      </c>
      <c r="C6" s="430">
        <f>SUM(C3:C5)</f>
        <v>6517521.1473703114</v>
      </c>
      <c r="D6" s="390">
        <f>SUM(D$3:D$5)</f>
        <v>1531114.7351071027</v>
      </c>
      <c r="E6" s="391">
        <f>SUM(E$3:E$5)</f>
        <v>1665827.0222557024</v>
      </c>
      <c r="F6" s="391">
        <f>SUM(F$3:F$5)</f>
        <v>0</v>
      </c>
      <c r="G6" s="391">
        <f t="shared" ref="G6" si="3">SUM(G$3:G$5)</f>
        <v>0</v>
      </c>
      <c r="H6" s="487">
        <f>SUM(H$3:H$5)</f>
        <v>0</v>
      </c>
      <c r="I6" s="391">
        <f>SUM(I$3:I$5)</f>
        <v>3196941.7573628048</v>
      </c>
      <c r="J6" s="391">
        <f t="shared" ref="J6:O6" si="4">SUM(J$3:J$5)</f>
        <v>7992354.3934070133</v>
      </c>
      <c r="K6" s="391">
        <f t="shared" si="4"/>
        <v>9206597.2417113371</v>
      </c>
      <c r="L6" s="391">
        <f t="shared" si="4"/>
        <v>-1214242.8483043236</v>
      </c>
      <c r="M6" s="392">
        <f>L6/K6</f>
        <v>-0.13188834228601687</v>
      </c>
      <c r="N6" s="391">
        <f>SUM(N3:N5)</f>
        <v>8104199.0542054996</v>
      </c>
      <c r="O6" s="391">
        <f t="shared" si="4"/>
        <v>-111844.66079848749</v>
      </c>
      <c r="P6" s="392">
        <f>O6/N6</f>
        <v>-1.3800828440960875E-2</v>
      </c>
      <c r="Q6" s="54"/>
      <c r="R6" s="369" t="s">
        <v>800</v>
      </c>
      <c r="S6" s="373">
        <f>SUM(S$3:S$5)</f>
        <v>1958674.0844014972</v>
      </c>
      <c r="T6" s="374">
        <f t="shared" ref="T6:W6" si="5">SUM(T$3:T$5)</f>
        <v>1793361.9736414705</v>
      </c>
      <c r="U6" s="374">
        <f t="shared" si="5"/>
        <v>1682952.8667297498</v>
      </c>
      <c r="V6" s="374">
        <f t="shared" si="5"/>
        <v>1767072.9262105429</v>
      </c>
      <c r="W6" s="374">
        <f t="shared" si="5"/>
        <v>1795401.017847674</v>
      </c>
      <c r="X6" s="375">
        <f>SUM(X$3:X$5)</f>
        <v>8997462.8688309342</v>
      </c>
      <c r="Z6" s="394"/>
    </row>
    <row r="7" spans="1:26" s="263" customFormat="1" ht="13" thickBot="1">
      <c r="A7" s="293" t="s">
        <v>747</v>
      </c>
      <c r="B7" s="397">
        <v>10619.665392999999</v>
      </c>
      <c r="C7" s="397">
        <v>11432.736056</v>
      </c>
      <c r="D7" s="292">
        <v>2607.4413760000002</v>
      </c>
      <c r="E7" s="406">
        <v>2635.0180289999998</v>
      </c>
      <c r="F7" s="406">
        <v>0</v>
      </c>
      <c r="G7" s="406">
        <v>0</v>
      </c>
      <c r="H7" s="406">
        <v>0</v>
      </c>
      <c r="I7" s="478">
        <f>SUM($D7:$H7)</f>
        <v>5242.4594049999996</v>
      </c>
      <c r="J7" s="481">
        <f>IFERROR((((D7+E7+F7+G7+H7))/COUNTIF(D7:E7:F7:G7:H7, "&gt;0")*5),0)</f>
        <v>13106.1485125</v>
      </c>
      <c r="K7" s="335">
        <f>'Orch Weekly Mgmt'!Y6</f>
        <v>13255.167497044346</v>
      </c>
      <c r="L7" s="346">
        <f t="shared" si="0"/>
        <v>-149.01898454434559</v>
      </c>
      <c r="M7" s="347">
        <f>L7/K7</f>
        <v>-1.1242331307965292E-2</v>
      </c>
      <c r="N7" s="335">
        <v>13255.167497044346</v>
      </c>
      <c r="O7" s="346">
        <f>$J7-$N7</f>
        <v>-149.01898454434559</v>
      </c>
      <c r="P7" s="347">
        <f>O7/N7</f>
        <v>-1.1242331307965292E-2</v>
      </c>
      <c r="R7" s="350" t="s">
        <v>98</v>
      </c>
      <c r="S7" s="362">
        <v>43100.695146605321</v>
      </c>
      <c r="T7" s="363">
        <v>35632.837662368984</v>
      </c>
      <c r="U7" s="363">
        <v>36465.749833717986</v>
      </c>
      <c r="V7" s="363">
        <v>49245.92026941479</v>
      </c>
      <c r="W7" s="384">
        <v>40597.072870135293</v>
      </c>
      <c r="X7" s="334">
        <f>SUM(S7:W7)</f>
        <v>205042.27578224236</v>
      </c>
      <c r="Y7" s="351"/>
      <c r="Z7" s="394"/>
    </row>
    <row r="8" spans="1:26" s="263" customFormat="1" ht="13" thickBot="1">
      <c r="A8" s="274" t="s">
        <v>745</v>
      </c>
      <c r="B8" s="398">
        <v>18957.883741000001</v>
      </c>
      <c r="C8" s="398">
        <v>18409.149921</v>
      </c>
      <c r="D8" s="144">
        <v>4017.244314</v>
      </c>
      <c r="E8" s="488">
        <v>3642.4155424999999</v>
      </c>
      <c r="F8" s="488">
        <v>0</v>
      </c>
      <c r="G8" s="488">
        <v>0</v>
      </c>
      <c r="H8" s="488">
        <v>0</v>
      </c>
      <c r="I8" s="496">
        <f>SUM($D8:$H8)</f>
        <v>7659.6598565000004</v>
      </c>
      <c r="J8" s="481">
        <f>IFERROR((((D8+E8+F8+G8+H8))/COUNTIF(D8:E8:F8:G8:H8, "&gt;0")*5),0)</f>
        <v>19149.149641250002</v>
      </c>
      <c r="K8" s="335">
        <f>'Orch Weekly Mgmt'!Y7</f>
        <v>22460.424149405499</v>
      </c>
      <c r="L8" s="468">
        <f t="shared" si="0"/>
        <v>-3311.2745081554967</v>
      </c>
      <c r="M8" s="483">
        <f t="shared" ref="M8:M9" si="6">L8/K8</f>
        <v>-0.14742706932554264</v>
      </c>
      <c r="N8" s="335">
        <v>22460.424149405499</v>
      </c>
      <c r="O8" s="346">
        <f t="shared" ref="O8:O10" si="7">$J8-$N8</f>
        <v>-3311.2745081554967</v>
      </c>
      <c r="P8" s="109">
        <f t="shared" ref="P8:P9" si="8">O8/N8</f>
        <v>-0.14742706932554264</v>
      </c>
      <c r="X8" s="355"/>
    </row>
    <row r="9" spans="1:26" s="263" customFormat="1" ht="13" thickBot="1">
      <c r="A9" s="299" t="s">
        <v>746</v>
      </c>
      <c r="B9" s="399">
        <v>215019.97855</v>
      </c>
      <c r="C9" s="399">
        <v>151463.52360499999</v>
      </c>
      <c r="D9" s="144">
        <v>41504.588711000004</v>
      </c>
      <c r="E9" s="489">
        <v>36394.667791499996</v>
      </c>
      <c r="F9" s="489">
        <v>0</v>
      </c>
      <c r="G9" s="489">
        <v>0</v>
      </c>
      <c r="H9" s="489">
        <v>0</v>
      </c>
      <c r="I9" s="480">
        <f>SUM($D9:$H9)</f>
        <v>77899.256502500008</v>
      </c>
      <c r="J9" s="481">
        <f>IFERROR((((D9+E9+F9+G9+H9))/COUNTIF(D9:E9:F9:G9:H9, "&gt;0")*5),0)</f>
        <v>194748.14125625003</v>
      </c>
      <c r="K9" s="335">
        <f>'Orch Weekly Mgmt'!Y8</f>
        <v>220284.40835355016</v>
      </c>
      <c r="L9" s="468">
        <f t="shared" si="0"/>
        <v>-25536.267097300122</v>
      </c>
      <c r="M9" s="483">
        <f t="shared" si="6"/>
        <v>-0.1159240787315058</v>
      </c>
      <c r="N9" s="604">
        <v>220284.40835355016</v>
      </c>
      <c r="O9" s="605">
        <f t="shared" si="7"/>
        <v>-25536.267097300122</v>
      </c>
      <c r="P9" s="109">
        <f t="shared" si="8"/>
        <v>-0.1159240787315058</v>
      </c>
      <c r="R9" s="372" t="s">
        <v>15</v>
      </c>
      <c r="S9" s="145">
        <f>SUM(S6:S7)</f>
        <v>2001774.7795481025</v>
      </c>
      <c r="T9" s="145">
        <f t="shared" ref="T9:W9" si="9">SUM(T6:T7)</f>
        <v>1828994.8113038396</v>
      </c>
      <c r="U9" s="145">
        <f t="shared" si="9"/>
        <v>1719418.6165634678</v>
      </c>
      <c r="V9" s="145">
        <f t="shared" si="9"/>
        <v>1816318.8464799577</v>
      </c>
      <c r="W9" s="145">
        <f t="shared" si="9"/>
        <v>1835998.0907178093</v>
      </c>
      <c r="X9" s="364">
        <f>SUM(X6:X7)</f>
        <v>9202505.1446131766</v>
      </c>
    </row>
    <row r="10" spans="1:26" ht="13" thickBot="1">
      <c r="A10" s="370" t="s">
        <v>755</v>
      </c>
      <c r="B10" s="379">
        <f>SUM(B7:B9)</f>
        <v>244597.527684</v>
      </c>
      <c r="C10" s="379">
        <f>SUM(C7:C9)</f>
        <v>181305.40958199999</v>
      </c>
      <c r="D10" s="365">
        <f>SUM(D7:D9)</f>
        <v>48129.274401000002</v>
      </c>
      <c r="E10" s="366">
        <f>SUM(E7:E9)</f>
        <v>42672.101362999994</v>
      </c>
      <c r="F10" s="366">
        <f t="shared" ref="F10:H10" si="10">SUM(F7:F9)</f>
        <v>0</v>
      </c>
      <c r="G10" s="366">
        <f t="shared" si="10"/>
        <v>0</v>
      </c>
      <c r="H10" s="376">
        <f t="shared" si="10"/>
        <v>0</v>
      </c>
      <c r="I10" s="497">
        <f>SUM($I7:$I9)</f>
        <v>90801.375764000011</v>
      </c>
      <c r="J10" s="377">
        <f>SUM(J7:J9)</f>
        <v>227003.43941000005</v>
      </c>
      <c r="K10" s="365">
        <f>SUM(K7:K9)</f>
        <v>256000</v>
      </c>
      <c r="L10" s="367">
        <f>$J10-$K10</f>
        <v>-28996.56058999995</v>
      </c>
      <c r="M10" s="368">
        <f>L10/K10</f>
        <v>-0.11326781480468731</v>
      </c>
      <c r="N10" s="603">
        <f>SUM(N7:N9)</f>
        <v>256000</v>
      </c>
      <c r="O10" s="606">
        <f t="shared" si="7"/>
        <v>-28996.56058999995</v>
      </c>
      <c r="P10" s="368">
        <f>O10/N10</f>
        <v>-0.11326781480468731</v>
      </c>
      <c r="Q10" s="104"/>
      <c r="T10" s="263"/>
      <c r="U10" s="263"/>
      <c r="V10" s="263"/>
    </row>
    <row r="11" spans="1:26" s="263" customFormat="1" ht="13" thickBot="1">
      <c r="A11" s="371" t="s">
        <v>15</v>
      </c>
      <c r="B11" s="289">
        <f>SUM(B6,B10)</f>
        <v>7121351.1002550125</v>
      </c>
      <c r="C11" s="289">
        <f>SUM(C6,C10)</f>
        <v>6698826.5569523117</v>
      </c>
      <c r="D11" s="289">
        <f t="shared" ref="D11:L11" si="11">SUM(D6,D10)</f>
        <v>1579244.0095081027</v>
      </c>
      <c r="E11" s="289">
        <f>SUM(E6,E10)</f>
        <v>1708499.1236187024</v>
      </c>
      <c r="F11" s="289">
        <f t="shared" si="11"/>
        <v>0</v>
      </c>
      <c r="G11" s="289">
        <f t="shared" si="11"/>
        <v>0</v>
      </c>
      <c r="H11" s="490">
        <f t="shared" si="11"/>
        <v>0</v>
      </c>
      <c r="I11" s="289">
        <f t="shared" si="11"/>
        <v>3287743.1331268051</v>
      </c>
      <c r="J11" s="289">
        <f>SUM(J6,J10)</f>
        <v>8219357.8328170134</v>
      </c>
      <c r="K11" s="289">
        <f>SUM(K6,K10)</f>
        <v>9462597.2417113371</v>
      </c>
      <c r="L11" s="289">
        <f t="shared" si="11"/>
        <v>-1243239.4088943235</v>
      </c>
      <c r="M11" s="290">
        <f>L11/K11</f>
        <v>-0.13138458471148881</v>
      </c>
      <c r="N11" s="289">
        <f>N6+N10</f>
        <v>8360199.0542054996</v>
      </c>
      <c r="O11" s="607">
        <f>SUM(O6,O10)</f>
        <v>-140841.22138848744</v>
      </c>
      <c r="P11" s="290">
        <f>O11/N11</f>
        <v>-1.6846634927626385E-2</v>
      </c>
      <c r="S11" s="416"/>
      <c r="T11" s="201"/>
      <c r="U11" s="201"/>
      <c r="V11" s="201"/>
      <c r="W11" s="201"/>
    </row>
    <row r="12" spans="1:26" s="263" customFormat="1" ht="13" thickBot="1">
      <c r="A12" s="585"/>
      <c r="B12" s="298"/>
      <c r="C12" s="298"/>
      <c r="D12" s="298"/>
      <c r="E12" s="298"/>
      <c r="F12" s="298"/>
      <c r="G12" s="298"/>
      <c r="H12" s="298"/>
      <c r="I12" s="298"/>
      <c r="J12" s="298"/>
      <c r="K12" s="298"/>
      <c r="L12" s="298"/>
      <c r="M12" s="297"/>
      <c r="N12" s="298"/>
      <c r="O12" s="298"/>
      <c r="P12" s="297"/>
      <c r="S12" s="416"/>
      <c r="T12" s="201"/>
      <c r="U12" s="201"/>
      <c r="V12" s="201"/>
      <c r="W12" s="201"/>
    </row>
    <row r="13" spans="1:26" s="263" customFormat="1" ht="33.75" customHeight="1" thickBot="1">
      <c r="A13" s="970" t="s">
        <v>1112</v>
      </c>
      <c r="B13" s="971"/>
      <c r="C13" s="972"/>
      <c r="D13" s="577">
        <v>9.1636899999999993E-2</v>
      </c>
      <c r="E13" s="578">
        <v>8.0487900718812344E-2</v>
      </c>
      <c r="F13" s="578"/>
      <c r="G13" s="579"/>
      <c r="H13" s="586"/>
      <c r="I13" s="298"/>
      <c r="J13" s="608"/>
      <c r="K13" s="298"/>
      <c r="L13" s="298"/>
      <c r="M13" s="297"/>
      <c r="N13" s="298"/>
      <c r="O13" s="298"/>
      <c r="P13" s="297"/>
      <c r="S13" s="201"/>
    </row>
    <row r="14" spans="1:26" s="263" customFormat="1" ht="13" thickBot="1">
      <c r="A14" s="316"/>
      <c r="B14" s="298"/>
      <c r="C14" s="298"/>
      <c r="D14" s="298"/>
      <c r="F14" s="298"/>
      <c r="G14" s="298"/>
      <c r="H14" s="343"/>
      <c r="I14" s="343"/>
      <c r="J14" s="344"/>
      <c r="K14" s="298"/>
      <c r="L14" s="298"/>
      <c r="M14" s="297"/>
      <c r="N14" s="298"/>
      <c r="O14" s="298"/>
      <c r="P14" s="297"/>
      <c r="S14" s="104"/>
      <c r="T14" s="408"/>
    </row>
    <row r="15" spans="1:26" s="263" customFormat="1" ht="39" customHeight="1" thickBot="1">
      <c r="A15" s="600" t="s">
        <v>781</v>
      </c>
      <c r="B15" s="308" t="s">
        <v>116</v>
      </c>
      <c r="C15" s="308" t="s">
        <v>117</v>
      </c>
      <c r="D15" s="308" t="s">
        <v>123</v>
      </c>
      <c r="E15" s="403" t="s">
        <v>807</v>
      </c>
      <c r="F15" s="403" t="s">
        <v>919</v>
      </c>
      <c r="G15" s="403" t="s">
        <v>964</v>
      </c>
      <c r="H15" s="403" t="s">
        <v>1054</v>
      </c>
      <c r="I15" s="298"/>
      <c r="J15" s="298"/>
      <c r="K15" s="298"/>
      <c r="L15" s="297"/>
      <c r="N15" s="298"/>
      <c r="O15" s="297"/>
    </row>
    <row r="16" spans="1:26" s="263" customFormat="1">
      <c r="A16" s="293" t="s">
        <v>747</v>
      </c>
      <c r="B16" s="314">
        <v>48.853702639043298</v>
      </c>
      <c r="C16" s="315">
        <v>53.535803479254199</v>
      </c>
      <c r="D16" s="400">
        <v>54.947275667190503</v>
      </c>
      <c r="E16" s="422">
        <v>70.244760999999997</v>
      </c>
      <c r="F16" s="407">
        <v>69.279242999999994</v>
      </c>
      <c r="G16" s="407">
        <v>53.987648999999998</v>
      </c>
      <c r="H16" s="407">
        <v>51.24</v>
      </c>
      <c r="I16" s="298"/>
      <c r="J16" s="298"/>
      <c r="K16" s="298"/>
      <c r="L16" s="297"/>
      <c r="N16" s="298"/>
      <c r="O16" s="297"/>
      <c r="R16" s="104"/>
    </row>
    <row r="17" spans="1:18" s="263" customFormat="1">
      <c r="A17" s="274" t="s">
        <v>745</v>
      </c>
      <c r="B17" s="310">
        <v>41.676274600028997</v>
      </c>
      <c r="C17" s="311">
        <v>46.667350143194199</v>
      </c>
      <c r="D17" s="401">
        <v>40.288757706880602</v>
      </c>
      <c r="E17" s="423">
        <v>44.002946000000001</v>
      </c>
      <c r="F17" s="405">
        <v>37.58775</v>
      </c>
      <c r="G17" s="405">
        <v>32.655971000000001</v>
      </c>
      <c r="H17" s="405">
        <v>30.26</v>
      </c>
      <c r="I17" s="298"/>
      <c r="J17" s="298"/>
      <c r="K17" s="298"/>
      <c r="L17" s="297"/>
      <c r="N17" s="298"/>
      <c r="O17" s="297"/>
      <c r="R17" s="148"/>
    </row>
    <row r="18" spans="1:18" s="263" customFormat="1" ht="13" thickBot="1">
      <c r="A18" s="309" t="s">
        <v>746</v>
      </c>
      <c r="B18" s="312">
        <v>1226.5829122054599</v>
      </c>
      <c r="C18" s="313">
        <v>2515.8592210495499</v>
      </c>
      <c r="D18" s="402">
        <v>3201.85513329267</v>
      </c>
      <c r="E18" s="424">
        <v>2978.5026659999999</v>
      </c>
      <c r="F18" s="404">
        <v>1900.1434400000001</v>
      </c>
      <c r="G18" s="404">
        <v>1233.3471730000001</v>
      </c>
      <c r="H18" s="404">
        <v>877.76</v>
      </c>
      <c r="I18" s="298"/>
      <c r="J18" s="298"/>
      <c r="K18" s="298"/>
      <c r="L18" s="297"/>
      <c r="N18" s="298"/>
      <c r="O18" s="297"/>
    </row>
    <row r="19" spans="1:18" s="263" customFormat="1">
      <c r="A19" s="316"/>
      <c r="B19" s="298"/>
      <c r="C19" s="298"/>
      <c r="D19" s="298"/>
      <c r="E19" s="298"/>
      <c r="F19" s="298"/>
      <c r="G19" s="298"/>
      <c r="H19" s="298"/>
      <c r="I19" s="298"/>
      <c r="J19" s="298"/>
      <c r="K19" s="298"/>
      <c r="L19" s="298"/>
      <c r="M19" s="297"/>
      <c r="N19" s="298"/>
      <c r="O19" s="298"/>
      <c r="P19" s="297"/>
    </row>
    <row r="20" spans="1:18" s="263" customFormat="1" ht="13" thickBot="1">
      <c r="A20" s="150"/>
      <c r="B20" s="298"/>
      <c r="C20" s="298"/>
      <c r="D20" s="294"/>
      <c r="E20" s="294"/>
      <c r="F20" s="294"/>
      <c r="G20" s="294"/>
      <c r="H20" s="294"/>
      <c r="I20" s="294"/>
      <c r="J20" s="295"/>
      <c r="K20" s="295"/>
      <c r="L20" s="296"/>
      <c r="M20" s="297"/>
      <c r="N20" s="295"/>
      <c r="O20" s="296"/>
      <c r="P20" s="297"/>
    </row>
    <row r="21" spans="1:18" ht="14" thickBot="1">
      <c r="A21" s="942" t="s">
        <v>1155</v>
      </c>
      <c r="B21" s="943"/>
      <c r="C21" s="943"/>
      <c r="D21" s="943"/>
      <c r="E21" s="943"/>
      <c r="F21" s="943"/>
      <c r="G21" s="943"/>
      <c r="H21" s="943"/>
      <c r="I21" s="943"/>
      <c r="J21" s="973"/>
      <c r="K21" s="973"/>
      <c r="L21" s="973"/>
      <c r="M21" s="974"/>
      <c r="N21" s="942"/>
      <c r="O21" s="943"/>
      <c r="P21" s="944"/>
    </row>
    <row r="22" spans="1:18" ht="23" thickBot="1">
      <c r="A22" s="288" t="s">
        <v>314</v>
      </c>
      <c r="B22" s="429" t="s">
        <v>964</v>
      </c>
      <c r="C22" s="581" t="s">
        <v>1054</v>
      </c>
      <c r="D22" s="138" t="s">
        <v>1</v>
      </c>
      <c r="E22" s="139" t="s">
        <v>2</v>
      </c>
      <c r="F22" s="139" t="s">
        <v>3</v>
      </c>
      <c r="G22" s="139" t="s">
        <v>4</v>
      </c>
      <c r="H22" s="95" t="s">
        <v>5</v>
      </c>
      <c r="I22" s="421" t="s">
        <v>6</v>
      </c>
      <c r="J22" s="138" t="s">
        <v>7</v>
      </c>
      <c r="K22" s="139" t="s">
        <v>1005</v>
      </c>
      <c r="L22" s="139" t="s">
        <v>1006</v>
      </c>
      <c r="M22" s="140" t="s">
        <v>1007</v>
      </c>
      <c r="N22" s="522" t="s">
        <v>1008</v>
      </c>
      <c r="O22" s="474" t="s">
        <v>1009</v>
      </c>
      <c r="P22" s="473" t="s">
        <v>1010</v>
      </c>
    </row>
    <row r="23" spans="1:18">
      <c r="A23" s="72" t="s">
        <v>115</v>
      </c>
      <c r="B23" s="412">
        <v>722596.85</v>
      </c>
      <c r="C23" s="582">
        <v>761594.77</v>
      </c>
      <c r="D23" s="524">
        <f>Amazon!B15</f>
        <v>161026.43</v>
      </c>
      <c r="E23" s="525">
        <f>Amazon!F15</f>
        <v>149027.50999999995</v>
      </c>
      <c r="F23" s="525">
        <f>Amazon!J15</f>
        <v>0</v>
      </c>
      <c r="G23" s="526">
        <f>Amazon!N15</f>
        <v>0</v>
      </c>
      <c r="H23" s="527">
        <f>Amazon!R15</f>
        <v>0</v>
      </c>
      <c r="I23" s="529">
        <f>SUM($D23:$H23)</f>
        <v>310053.93999999994</v>
      </c>
      <c r="J23" s="528">
        <f>IFERROR((((D23+E23+F23+G23+H23))/COUNTIF(D23:H23, "&gt;0")*4),0)</f>
        <v>620107.87999999989</v>
      </c>
      <c r="K23" s="525">
        <v>793384.51378206955</v>
      </c>
      <c r="L23" s="715">
        <f>J23-K23</f>
        <v>-173276.63378206966</v>
      </c>
      <c r="M23" s="347">
        <f t="shared" ref="M23:M28" si="12">L23/K23</f>
        <v>-0.21840183514051559</v>
      </c>
      <c r="N23" s="716">
        <v>706353.66880650073</v>
      </c>
      <c r="O23" s="717">
        <f t="shared" ref="O23:O28" si="13">$J23-$N23</f>
        <v>-86245.788806500845</v>
      </c>
      <c r="P23" s="469">
        <f t="shared" ref="P23:P29" si="14">O23/N23</f>
        <v>-0.12210000827521306</v>
      </c>
    </row>
    <row r="24" spans="1:18">
      <c r="A24" s="146" t="s">
        <v>868</v>
      </c>
      <c r="B24" s="410">
        <v>400184.10622100002</v>
      </c>
      <c r="C24" s="583">
        <v>355033.62484299991</v>
      </c>
      <c r="D24" s="411">
        <f>Amazon!B16</f>
        <v>87821.536920999992</v>
      </c>
      <c r="E24" s="93">
        <f>Amazon!F16</f>
        <v>81584.136483000009</v>
      </c>
      <c r="F24" s="93">
        <f>Amazon!J16</f>
        <v>0</v>
      </c>
      <c r="G24" s="34">
        <f>Amazon!N16</f>
        <v>0</v>
      </c>
      <c r="H24" s="477">
        <f>Amazon!R16</f>
        <v>0</v>
      </c>
      <c r="I24" s="530">
        <f t="shared" ref="I24:I28" si="15">SUM($D24:$H24)</f>
        <v>169405.673404</v>
      </c>
      <c r="J24" s="523">
        <f t="shared" ref="J24:J28" si="16">IFERROR((((D24+E24+F24+G24+H24))/COUNTIF(D24:H24, "&gt;0")*4),0)</f>
        <v>338811.346808</v>
      </c>
      <c r="K24" s="482">
        <v>440762.77141234674</v>
      </c>
      <c r="L24" s="718">
        <f t="shared" ref="L24" si="17">J24-K24</f>
        <v>-101951.42460434674</v>
      </c>
      <c r="M24" s="483">
        <f t="shared" si="12"/>
        <v>-0.23130679634684514</v>
      </c>
      <c r="N24" s="719">
        <v>392413.00435308344</v>
      </c>
      <c r="O24" s="720">
        <f t="shared" si="13"/>
        <v>-53601.657545083435</v>
      </c>
      <c r="P24" s="470">
        <f t="shared" si="14"/>
        <v>-0.13659500819410664</v>
      </c>
    </row>
    <row r="25" spans="1:18">
      <c r="A25" s="141" t="s">
        <v>924</v>
      </c>
      <c r="B25" s="410">
        <v>309271.3147999997</v>
      </c>
      <c r="C25" s="583">
        <v>314787.74179999949</v>
      </c>
      <c r="D25" s="411">
        <f>Deezer!B21</f>
        <v>0</v>
      </c>
      <c r="E25" s="411">
        <f>Deezer!F21</f>
        <v>0</v>
      </c>
      <c r="F25" s="411">
        <f>Deezer!J21</f>
        <v>0</v>
      </c>
      <c r="G25" s="34">
        <f>Deezer!N21</f>
        <v>0</v>
      </c>
      <c r="H25" s="477">
        <f>Deezer!R21</f>
        <v>0</v>
      </c>
      <c r="I25" s="530">
        <f t="shared" si="15"/>
        <v>0</v>
      </c>
      <c r="J25" s="523">
        <f t="shared" si="16"/>
        <v>0</v>
      </c>
      <c r="K25" s="481">
        <v>283864.00795555004</v>
      </c>
      <c r="L25" s="720" t="s">
        <v>1294</v>
      </c>
      <c r="M25" s="720" t="s">
        <v>1294</v>
      </c>
      <c r="N25" s="721">
        <v>560611.42228430079</v>
      </c>
      <c r="O25" s="720" t="s">
        <v>1294</v>
      </c>
      <c r="P25" s="470" t="s">
        <v>1294</v>
      </c>
    </row>
    <row r="26" spans="1:18">
      <c r="A26" s="141" t="s">
        <v>846</v>
      </c>
      <c r="B26" s="410">
        <v>1094011.5183399997</v>
      </c>
      <c r="C26" s="583">
        <v>1223449.6464829999</v>
      </c>
      <c r="D26" s="284">
        <f>Spotify!B32</f>
        <v>285834.44619400002</v>
      </c>
      <c r="E26" s="284">
        <f>Spotify!F32</f>
        <v>287244.62281600002</v>
      </c>
      <c r="F26" s="284">
        <f>Spotify!J32</f>
        <v>0</v>
      </c>
      <c r="G26" s="34">
        <f>Spotify!N71</f>
        <v>0</v>
      </c>
      <c r="H26" s="477">
        <f>Spotify!R75</f>
        <v>0</v>
      </c>
      <c r="I26" s="530">
        <f t="shared" si="15"/>
        <v>573079.06900999998</v>
      </c>
      <c r="J26" s="523">
        <f t="shared" si="16"/>
        <v>1146158.13802</v>
      </c>
      <c r="K26" s="482">
        <v>907779.21011336579</v>
      </c>
      <c r="L26" s="722">
        <f t="shared" ref="L26:L28" si="18">J26-K26</f>
        <v>238378.92790663417</v>
      </c>
      <c r="M26" s="110">
        <f t="shared" si="12"/>
        <v>0.26259571187675118</v>
      </c>
      <c r="N26" s="719">
        <v>1033935.2934764095</v>
      </c>
      <c r="O26" s="724">
        <f t="shared" si="13"/>
        <v>112222.84454359044</v>
      </c>
      <c r="P26" s="517">
        <f t="shared" si="14"/>
        <v>0.10853952394473605</v>
      </c>
      <c r="Q26" s="104"/>
      <c r="R26" s="148"/>
    </row>
    <row r="27" spans="1:18">
      <c r="A27" s="141" t="s">
        <v>869</v>
      </c>
      <c r="B27" s="410">
        <v>2063414.3017269999</v>
      </c>
      <c r="C27" s="583">
        <v>2130771.0558560002</v>
      </c>
      <c r="D27" s="411">
        <f>Spotify!B31</f>
        <v>530018.30708199996</v>
      </c>
      <c r="E27" s="411">
        <f>Spotify!F31</f>
        <v>533516.82152700005</v>
      </c>
      <c r="F27" s="411">
        <f>Spotify!J31</f>
        <v>0</v>
      </c>
      <c r="G27" s="34">
        <f>Spotify!N70</f>
        <v>0</v>
      </c>
      <c r="H27" s="477">
        <f>Spotify!R76</f>
        <v>0</v>
      </c>
      <c r="I27" s="530">
        <f t="shared" si="15"/>
        <v>1063535.128609</v>
      </c>
      <c r="J27" s="523">
        <f t="shared" si="16"/>
        <v>2127070.257218</v>
      </c>
      <c r="K27" s="482">
        <v>2280434.6099722101</v>
      </c>
      <c r="L27" s="722">
        <f t="shared" si="18"/>
        <v>-153364.35275421012</v>
      </c>
      <c r="M27" s="110">
        <f t="shared" si="12"/>
        <v>-6.7252247481053212E-2</v>
      </c>
      <c r="N27" s="719">
        <v>2597351.6483385069</v>
      </c>
      <c r="O27" s="724">
        <f t="shared" si="13"/>
        <v>-470281.39112050692</v>
      </c>
      <c r="P27" s="517">
        <f t="shared" si="14"/>
        <v>-0.18106188718086746</v>
      </c>
      <c r="Q27" s="104"/>
      <c r="R27" s="148"/>
    </row>
    <row r="28" spans="1:18" ht="12" customHeight="1" thickBot="1">
      <c r="A28" s="141" t="s">
        <v>318</v>
      </c>
      <c r="B28" s="513">
        <v>543165.85190000001</v>
      </c>
      <c r="C28" s="584">
        <v>581763.05150000006</v>
      </c>
      <c r="D28" s="514">
        <f>Cricket!B3</f>
        <v>152997.652</v>
      </c>
      <c r="E28" s="515">
        <f>Cricket!F3</f>
        <v>154494.13950000002</v>
      </c>
      <c r="F28" s="515">
        <f>Cricket!J3</f>
        <v>0</v>
      </c>
      <c r="G28" s="515">
        <f>Cricket!N3</f>
        <v>0</v>
      </c>
      <c r="H28" s="516">
        <f>Cricket!R3</f>
        <v>0</v>
      </c>
      <c r="I28" s="531">
        <f t="shared" si="15"/>
        <v>307491.79150000005</v>
      </c>
      <c r="J28" s="571">
        <f t="shared" si="16"/>
        <v>614983.5830000001</v>
      </c>
      <c r="K28" s="572">
        <v>468811</v>
      </c>
      <c r="L28" s="722">
        <f t="shared" si="18"/>
        <v>146172.5830000001</v>
      </c>
      <c r="M28" s="110">
        <f t="shared" si="12"/>
        <v>0.31179426890580658</v>
      </c>
      <c r="N28" s="723">
        <v>578105.19730462425</v>
      </c>
      <c r="O28" s="724">
        <f t="shared" si="13"/>
        <v>36878.385695375851</v>
      </c>
      <c r="P28" s="517">
        <f t="shared" si="14"/>
        <v>6.3791825202954053E-2</v>
      </c>
    </row>
    <row r="29" spans="1:18" s="142" customFormat="1" ht="12" customHeight="1" thickBot="1">
      <c r="A29" s="518" t="s">
        <v>22</v>
      </c>
      <c r="B29" s="519">
        <f t="shared" ref="B29:L29" si="19">SUM(B23:B28)</f>
        <v>5132643.9429879989</v>
      </c>
      <c r="C29" s="519">
        <f t="shared" si="19"/>
        <v>5367399.8904819991</v>
      </c>
      <c r="D29" s="520">
        <f t="shared" si="19"/>
        <v>1217698.3721970001</v>
      </c>
      <c r="E29" s="520">
        <f t="shared" si="19"/>
        <v>1205867.2303260001</v>
      </c>
      <c r="F29" s="520">
        <f t="shared" si="19"/>
        <v>0</v>
      </c>
      <c r="G29" s="520">
        <f t="shared" si="19"/>
        <v>0</v>
      </c>
      <c r="H29" s="521">
        <f t="shared" si="19"/>
        <v>0</v>
      </c>
      <c r="I29" s="391">
        <f t="shared" si="19"/>
        <v>2423565.602523</v>
      </c>
      <c r="J29" s="573">
        <f t="shared" si="19"/>
        <v>4847131.205046</v>
      </c>
      <c r="K29" s="520">
        <f t="shared" si="19"/>
        <v>5175036.1132355426</v>
      </c>
      <c r="L29" s="725">
        <f t="shared" si="19"/>
        <v>-44040.900233992259</v>
      </c>
      <c r="M29" s="368">
        <f>L29/K29</f>
        <v>-8.5102594977751675E-3</v>
      </c>
      <c r="N29" s="726">
        <f>SUM(N23:N28)</f>
        <v>5868770.2345634252</v>
      </c>
      <c r="O29" s="727">
        <f>SUM(O23:O28)</f>
        <v>-461027.6072331249</v>
      </c>
      <c r="P29" s="562">
        <f t="shared" si="14"/>
        <v>-7.8556083950596253E-2</v>
      </c>
    </row>
    <row r="30" spans="1:18">
      <c r="A30" s="395" t="s">
        <v>1011</v>
      </c>
      <c r="B30" s="69"/>
      <c r="C30" s="69"/>
      <c r="D30" s="69"/>
      <c r="E30" s="69"/>
      <c r="F30" s="69" t="s">
        <v>1231</v>
      </c>
      <c r="G30" s="395"/>
      <c r="H30" s="183"/>
      <c r="I30" s="183"/>
    </row>
    <row r="31" spans="1:18" s="263" customFormat="1">
      <c r="A31" s="69" t="s">
        <v>1350</v>
      </c>
      <c r="B31" s="69"/>
      <c r="C31" s="69"/>
      <c r="D31" s="69"/>
      <c r="E31" s="69"/>
      <c r="F31"/>
      <c r="G31" s="3"/>
      <c r="H31"/>
      <c r="I31" s="3"/>
      <c r="J31"/>
      <c r="K31"/>
      <c r="L31"/>
      <c r="M31"/>
    </row>
    <row r="32" spans="1:18">
      <c r="A32" s="69"/>
      <c r="B32" s="69"/>
      <c r="C32" s="69"/>
      <c r="D32" s="69"/>
      <c r="E32" s="69"/>
      <c r="F32" s="69"/>
      <c r="G32" s="3"/>
      <c r="I32" s="3"/>
    </row>
    <row r="33" spans="1:9" ht="13" thickBot="1">
      <c r="B33" s="69"/>
      <c r="C33" s="69"/>
      <c r="D33" s="69"/>
      <c r="E33" s="69"/>
      <c r="G33" s="3"/>
      <c r="H33" s="3"/>
    </row>
    <row r="34" spans="1:9" ht="13" thickBot="1">
      <c r="A34" s="975" t="s">
        <v>315</v>
      </c>
      <c r="B34" s="976"/>
      <c r="C34" s="976"/>
      <c r="D34" s="976"/>
      <c r="E34" s="976"/>
      <c r="F34" s="976"/>
      <c r="G34" s="976"/>
      <c r="H34" s="977"/>
      <c r="I34" s="142"/>
    </row>
    <row r="35" spans="1:9" ht="13" thickBot="1">
      <c r="A35" s="71"/>
      <c r="B35" s="509" t="s">
        <v>762</v>
      </c>
      <c r="C35" s="509" t="s">
        <v>788</v>
      </c>
      <c r="D35" s="509" t="s">
        <v>807</v>
      </c>
      <c r="E35" s="273" t="s">
        <v>879</v>
      </c>
      <c r="F35" s="273" t="s">
        <v>964</v>
      </c>
      <c r="G35" s="509" t="s">
        <v>1054</v>
      </c>
      <c r="H35" s="509" t="s">
        <v>1171</v>
      </c>
    </row>
    <row r="36" spans="1:9">
      <c r="A36" s="287" t="s">
        <v>9</v>
      </c>
      <c r="B36" s="323">
        <v>68494</v>
      </c>
      <c r="C36" s="330">
        <v>93117</v>
      </c>
      <c r="D36" s="330">
        <v>49439</v>
      </c>
      <c r="E36" s="417">
        <v>92884</v>
      </c>
      <c r="F36" s="463">
        <v>71664</v>
      </c>
      <c r="G36" s="587">
        <v>100467</v>
      </c>
      <c r="H36" s="688">
        <v>27487</v>
      </c>
      <c r="I36" s="149"/>
    </row>
    <row r="37" spans="1:9">
      <c r="A37" s="324" t="s">
        <v>24</v>
      </c>
      <c r="B37" s="318">
        <v>129063</v>
      </c>
      <c r="C37" s="331">
        <v>129131</v>
      </c>
      <c r="D37" s="331">
        <v>110347</v>
      </c>
      <c r="E37" s="418">
        <v>113751</v>
      </c>
      <c r="F37" s="464">
        <v>103238</v>
      </c>
      <c r="G37" s="464">
        <v>118977</v>
      </c>
      <c r="H37" s="691">
        <v>46379</v>
      </c>
    </row>
    <row r="38" spans="1:9">
      <c r="A38" s="324" t="s">
        <v>26</v>
      </c>
      <c r="B38" s="319">
        <v>42937</v>
      </c>
      <c r="C38" s="332">
        <v>21213</v>
      </c>
      <c r="D38" s="332">
        <v>14867</v>
      </c>
      <c r="E38" s="419">
        <v>21722</v>
      </c>
      <c r="F38" s="465">
        <v>20045</v>
      </c>
      <c r="G38" s="465">
        <v>19154</v>
      </c>
      <c r="H38" s="694">
        <v>8328</v>
      </c>
      <c r="I38" s="272"/>
    </row>
    <row r="39" spans="1:9" ht="13" thickBot="1">
      <c r="A39" s="325" t="s">
        <v>723</v>
      </c>
      <c r="B39" s="321">
        <v>2883</v>
      </c>
      <c r="C39" s="333">
        <v>1426</v>
      </c>
      <c r="D39" s="333">
        <v>570</v>
      </c>
      <c r="E39" s="420">
        <v>2235</v>
      </c>
      <c r="F39" s="466">
        <v>928</v>
      </c>
      <c r="G39" s="466">
        <v>1360</v>
      </c>
      <c r="H39" s="728">
        <v>446</v>
      </c>
      <c r="I39" s="275"/>
    </row>
    <row r="40" spans="1:9">
      <c r="A40" s="286" t="s">
        <v>747</v>
      </c>
      <c r="B40" s="320">
        <v>220</v>
      </c>
      <c r="C40" s="326">
        <v>305</v>
      </c>
      <c r="D40" s="326">
        <v>118</v>
      </c>
      <c r="E40" s="425">
        <v>129</v>
      </c>
      <c r="F40" s="504">
        <v>192</v>
      </c>
      <c r="G40" s="504">
        <v>219</v>
      </c>
      <c r="H40" s="428">
        <v>112</v>
      </c>
      <c r="I40" s="149"/>
    </row>
    <row r="41" spans="1:9">
      <c r="A41" s="324" t="s">
        <v>745</v>
      </c>
      <c r="B41" s="317">
        <v>7</v>
      </c>
      <c r="C41" s="327"/>
      <c r="D41" s="327"/>
      <c r="E41" s="426"/>
      <c r="F41" s="505"/>
      <c r="G41" s="505">
        <v>139</v>
      </c>
      <c r="H41" s="507"/>
      <c r="I41" s="275"/>
    </row>
    <row r="42" spans="1:9" ht="13" thickBot="1">
      <c r="A42" s="328" t="s">
        <v>746</v>
      </c>
      <c r="B42" s="322">
        <v>113</v>
      </c>
      <c r="C42" s="329">
        <v>97</v>
      </c>
      <c r="D42" s="329">
        <v>16</v>
      </c>
      <c r="E42" s="427">
        <v>50</v>
      </c>
      <c r="F42" s="506">
        <v>27</v>
      </c>
      <c r="G42" s="506">
        <v>17</v>
      </c>
      <c r="H42" s="508">
        <v>24</v>
      </c>
    </row>
    <row r="43" spans="1:9">
      <c r="A43" s="142"/>
      <c r="B43" s="143"/>
      <c r="C43" s="143"/>
      <c r="D43" s="143"/>
      <c r="E43" s="143"/>
      <c r="F43" s="143"/>
      <c r="G43" s="143"/>
      <c r="H43" s="143"/>
    </row>
    <row r="44" spans="1:9">
      <c r="A44" s="150"/>
      <c r="F44" s="149"/>
      <c r="G44" s="149"/>
      <c r="H44" s="149"/>
    </row>
    <row r="45" spans="1:9" s="263" customFormat="1">
      <c r="A45" s="150"/>
      <c r="F45" s="149"/>
      <c r="G45" s="149"/>
      <c r="H45" s="149"/>
    </row>
    <row r="46" spans="1:9" s="263" customFormat="1">
      <c r="A46" s="150"/>
      <c r="F46" s="149"/>
      <c r="G46" s="149"/>
      <c r="H46" s="149"/>
    </row>
    <row r="47" spans="1:9" s="263" customFormat="1">
      <c r="A47" s="150"/>
      <c r="F47" s="149"/>
      <c r="G47" s="149"/>
      <c r="H47" s="149"/>
    </row>
    <row r="48" spans="1:9" ht="13" thickBot="1"/>
    <row r="49" spans="1:23" ht="15.75" customHeight="1" thickBot="1">
      <c r="A49" s="942" t="s">
        <v>1301</v>
      </c>
      <c r="B49" s="943"/>
      <c r="C49" s="943"/>
      <c r="D49" s="943"/>
      <c r="E49" s="943"/>
      <c r="F49" s="943"/>
      <c r="G49" s="943"/>
      <c r="H49" s="943"/>
      <c r="I49" s="943"/>
      <c r="J49" s="943"/>
      <c r="K49" s="943"/>
      <c r="L49" s="943"/>
      <c r="M49" s="943"/>
      <c r="N49" s="943"/>
      <c r="O49" s="943"/>
      <c r="P49" s="943"/>
      <c r="Q49" s="943"/>
      <c r="R49" s="944"/>
      <c r="T49" s="263"/>
      <c r="W49"/>
    </row>
    <row r="50" spans="1:23" ht="15.75" customHeight="1" thickBot="1">
      <c r="A50" s="954" t="s">
        <v>71</v>
      </c>
      <c r="B50" s="947" t="s">
        <v>316</v>
      </c>
      <c r="C50" s="948"/>
      <c r="D50" s="948"/>
      <c r="E50" s="948"/>
      <c r="F50" s="948"/>
      <c r="G50" s="948"/>
      <c r="H50" s="948"/>
      <c r="I50" s="949"/>
      <c r="J50" s="147"/>
      <c r="K50" s="956" t="s">
        <v>317</v>
      </c>
      <c r="L50" s="957"/>
      <c r="M50" s="957"/>
      <c r="N50" s="957"/>
      <c r="O50" s="957"/>
      <c r="P50" s="957"/>
      <c r="Q50" s="957"/>
      <c r="R50" s="958"/>
      <c r="T50" s="263"/>
      <c r="W50"/>
    </row>
    <row r="51" spans="1:23" ht="13" thickBot="1">
      <c r="A51" s="955"/>
      <c r="B51" s="509" t="s">
        <v>319</v>
      </c>
      <c r="C51" s="950" t="s">
        <v>67</v>
      </c>
      <c r="D51" s="951"/>
      <c r="E51" s="952" t="s">
        <v>68</v>
      </c>
      <c r="F51" s="953"/>
      <c r="G51" s="952" t="s">
        <v>69</v>
      </c>
      <c r="H51" s="953"/>
      <c r="I51" s="509" t="s">
        <v>777</v>
      </c>
      <c r="J51" s="147"/>
      <c r="K51" s="557" t="s">
        <v>319</v>
      </c>
      <c r="L51" s="950" t="s">
        <v>67</v>
      </c>
      <c r="M51" s="959"/>
      <c r="N51" s="960" t="s">
        <v>68</v>
      </c>
      <c r="O51" s="961"/>
      <c r="P51" s="960" t="s">
        <v>77</v>
      </c>
      <c r="Q51" s="953"/>
      <c r="R51" s="556" t="s">
        <v>778</v>
      </c>
      <c r="T51" s="263"/>
      <c r="W51"/>
    </row>
    <row r="52" spans="1:23">
      <c r="A52" s="174">
        <v>1</v>
      </c>
      <c r="B52" s="553" t="s">
        <v>320</v>
      </c>
      <c r="C52" s="978" t="s">
        <v>1157</v>
      </c>
      <c r="D52" s="979" t="s">
        <v>1157</v>
      </c>
      <c r="E52" s="978" t="s">
        <v>1158</v>
      </c>
      <c r="F52" s="979" t="s">
        <v>1158</v>
      </c>
      <c r="G52" s="978" t="s">
        <v>1159</v>
      </c>
      <c r="H52" s="979" t="s">
        <v>1159</v>
      </c>
      <c r="I52" s="510">
        <v>4050</v>
      </c>
      <c r="J52" s="202"/>
      <c r="K52" s="501" t="s">
        <v>321</v>
      </c>
      <c r="L52" s="978" t="s">
        <v>444</v>
      </c>
      <c r="M52" s="979" t="s">
        <v>444</v>
      </c>
      <c r="N52" s="978" t="s">
        <v>1312</v>
      </c>
      <c r="O52" s="979" t="s">
        <v>1312</v>
      </c>
      <c r="P52" s="978" t="s">
        <v>1313</v>
      </c>
      <c r="Q52" s="979" t="s">
        <v>1313</v>
      </c>
      <c r="R52" s="510">
        <v>1056</v>
      </c>
      <c r="T52" s="263"/>
      <c r="W52"/>
    </row>
    <row r="53" spans="1:23">
      <c r="A53" s="175">
        <v>2</v>
      </c>
      <c r="B53" s="554" t="s">
        <v>320</v>
      </c>
      <c r="C53" s="980" t="s">
        <v>808</v>
      </c>
      <c r="D53" s="981" t="s">
        <v>808</v>
      </c>
      <c r="E53" s="980" t="s">
        <v>890</v>
      </c>
      <c r="F53" s="981" t="s">
        <v>890</v>
      </c>
      <c r="G53" s="980" t="s">
        <v>891</v>
      </c>
      <c r="H53" s="981" t="s">
        <v>891</v>
      </c>
      <c r="I53" s="511">
        <v>3236</v>
      </c>
      <c r="J53" s="202"/>
      <c r="K53" s="500" t="s">
        <v>321</v>
      </c>
      <c r="L53" s="980" t="s">
        <v>324</v>
      </c>
      <c r="M53" s="981" t="s">
        <v>324</v>
      </c>
      <c r="N53" s="980" t="s">
        <v>809</v>
      </c>
      <c r="O53" s="981" t="s">
        <v>809</v>
      </c>
      <c r="P53" s="980" t="s">
        <v>959</v>
      </c>
      <c r="Q53" s="981" t="s">
        <v>959</v>
      </c>
      <c r="R53" s="511">
        <v>1017</v>
      </c>
      <c r="T53" s="263"/>
      <c r="W53"/>
    </row>
    <row r="54" spans="1:23">
      <c r="A54" s="176">
        <v>3</v>
      </c>
      <c r="B54" s="554" t="s">
        <v>320</v>
      </c>
      <c r="C54" s="980" t="s">
        <v>889</v>
      </c>
      <c r="D54" s="981" t="s">
        <v>889</v>
      </c>
      <c r="E54" s="980" t="s">
        <v>972</v>
      </c>
      <c r="F54" s="981" t="s">
        <v>972</v>
      </c>
      <c r="G54" s="980" t="s">
        <v>973</v>
      </c>
      <c r="H54" s="981" t="s">
        <v>973</v>
      </c>
      <c r="I54" s="511">
        <v>2992</v>
      </c>
      <c r="J54" s="202"/>
      <c r="K54" s="500" t="s">
        <v>321</v>
      </c>
      <c r="L54" s="980" t="s">
        <v>989</v>
      </c>
      <c r="M54" s="981" t="s">
        <v>989</v>
      </c>
      <c r="N54" s="980" t="s">
        <v>990</v>
      </c>
      <c r="O54" s="981" t="s">
        <v>990</v>
      </c>
      <c r="P54" s="980" t="s">
        <v>991</v>
      </c>
      <c r="Q54" s="981" t="s">
        <v>991</v>
      </c>
      <c r="R54" s="511">
        <v>597</v>
      </c>
      <c r="T54" s="263"/>
      <c r="W54"/>
    </row>
    <row r="55" spans="1:23">
      <c r="A55" s="175">
        <v>4</v>
      </c>
      <c r="B55" s="554" t="s">
        <v>320</v>
      </c>
      <c r="C55" s="980" t="s">
        <v>906</v>
      </c>
      <c r="D55" s="981" t="s">
        <v>906</v>
      </c>
      <c r="E55" s="980" t="s">
        <v>907</v>
      </c>
      <c r="F55" s="981" t="s">
        <v>907</v>
      </c>
      <c r="G55" s="980" t="s">
        <v>908</v>
      </c>
      <c r="H55" s="981" t="s">
        <v>908</v>
      </c>
      <c r="I55" s="511">
        <v>2791</v>
      </c>
      <c r="J55" s="202"/>
      <c r="K55" s="500" t="s">
        <v>321</v>
      </c>
      <c r="L55" s="980" t="s">
        <v>895</v>
      </c>
      <c r="M55" s="981" t="s">
        <v>895</v>
      </c>
      <c r="N55" s="980" t="s">
        <v>896</v>
      </c>
      <c r="O55" s="981" t="s">
        <v>896</v>
      </c>
      <c r="P55" s="980" t="s">
        <v>921</v>
      </c>
      <c r="Q55" s="981" t="s">
        <v>921</v>
      </c>
      <c r="R55" s="511">
        <v>507</v>
      </c>
      <c r="T55" s="263"/>
      <c r="W55"/>
    </row>
    <row r="56" spans="1:23">
      <c r="A56" s="176">
        <v>5</v>
      </c>
      <c r="B56" s="554" t="s">
        <v>320</v>
      </c>
      <c r="C56" s="980" t="s">
        <v>1012</v>
      </c>
      <c r="D56" s="981" t="s">
        <v>1012</v>
      </c>
      <c r="E56" s="980" t="s">
        <v>1013</v>
      </c>
      <c r="F56" s="981" t="s">
        <v>1013</v>
      </c>
      <c r="G56" s="980" t="s">
        <v>1014</v>
      </c>
      <c r="H56" s="981" t="s">
        <v>1014</v>
      </c>
      <c r="I56" s="511">
        <v>1678</v>
      </c>
      <c r="J56" s="202"/>
      <c r="K56" s="500" t="s">
        <v>321</v>
      </c>
      <c r="L56" s="980" t="s">
        <v>811</v>
      </c>
      <c r="M56" s="981" t="s">
        <v>811</v>
      </c>
      <c r="N56" s="980" t="s">
        <v>1314</v>
      </c>
      <c r="O56" s="981" t="s">
        <v>1314</v>
      </c>
      <c r="P56" s="980" t="s">
        <v>1315</v>
      </c>
      <c r="Q56" s="981" t="s">
        <v>1315</v>
      </c>
      <c r="R56" s="511">
        <v>447</v>
      </c>
      <c r="T56" s="263"/>
      <c r="W56"/>
    </row>
    <row r="57" spans="1:23">
      <c r="A57" s="175">
        <v>6</v>
      </c>
      <c r="B57" s="554" t="s">
        <v>320</v>
      </c>
      <c r="C57" s="980" t="s">
        <v>1302</v>
      </c>
      <c r="D57" s="981" t="s">
        <v>1302</v>
      </c>
      <c r="E57" s="980" t="s">
        <v>1303</v>
      </c>
      <c r="F57" s="981" t="s">
        <v>1303</v>
      </c>
      <c r="G57" s="980" t="s">
        <v>1304</v>
      </c>
      <c r="H57" s="981" t="s">
        <v>1304</v>
      </c>
      <c r="I57" s="511">
        <v>1447</v>
      </c>
      <c r="J57" s="202"/>
      <c r="K57" s="500" t="s">
        <v>321</v>
      </c>
      <c r="L57" s="980" t="s">
        <v>811</v>
      </c>
      <c r="M57" s="981" t="s">
        <v>811</v>
      </c>
      <c r="N57" s="980" t="s">
        <v>1015</v>
      </c>
      <c r="O57" s="981" t="s">
        <v>1015</v>
      </c>
      <c r="P57" s="980" t="s">
        <v>1016</v>
      </c>
      <c r="Q57" s="981" t="s">
        <v>1016</v>
      </c>
      <c r="R57" s="511">
        <v>345</v>
      </c>
      <c r="T57" s="263"/>
      <c r="W57"/>
    </row>
    <row r="58" spans="1:23">
      <c r="A58" s="176">
        <v>7</v>
      </c>
      <c r="B58" s="554" t="s">
        <v>320</v>
      </c>
      <c r="C58" s="980" t="s">
        <v>1302</v>
      </c>
      <c r="D58" s="981" t="s">
        <v>1302</v>
      </c>
      <c r="E58" s="980" t="s">
        <v>1303</v>
      </c>
      <c r="F58" s="981" t="s">
        <v>1303</v>
      </c>
      <c r="G58" s="980" t="s">
        <v>1305</v>
      </c>
      <c r="H58" s="981" t="s">
        <v>1305</v>
      </c>
      <c r="I58" s="511">
        <v>1387</v>
      </c>
      <c r="J58" s="202"/>
      <c r="K58" s="500" t="s">
        <v>320</v>
      </c>
      <c r="L58" s="980" t="s">
        <v>70</v>
      </c>
      <c r="M58" s="981" t="s">
        <v>70</v>
      </c>
      <c r="N58" s="980" t="s">
        <v>835</v>
      </c>
      <c r="O58" s="981" t="s">
        <v>835</v>
      </c>
      <c r="P58" s="980" t="s">
        <v>836</v>
      </c>
      <c r="Q58" s="981" t="s">
        <v>836</v>
      </c>
      <c r="R58" s="511">
        <v>331</v>
      </c>
      <c r="T58" s="263"/>
      <c r="W58"/>
    </row>
    <row r="59" spans="1:23">
      <c r="A59" s="175">
        <v>8</v>
      </c>
      <c r="B59" s="554" t="s">
        <v>320</v>
      </c>
      <c r="C59" s="980" t="s">
        <v>902</v>
      </c>
      <c r="D59" s="981" t="s">
        <v>902</v>
      </c>
      <c r="E59" s="980" t="s">
        <v>903</v>
      </c>
      <c r="F59" s="981" t="s">
        <v>903</v>
      </c>
      <c r="G59" s="980" t="s">
        <v>810</v>
      </c>
      <c r="H59" s="981" t="s">
        <v>810</v>
      </c>
      <c r="I59" s="511">
        <v>1319</v>
      </c>
      <c r="J59" s="202"/>
      <c r="K59" s="500" t="s">
        <v>321</v>
      </c>
      <c r="L59" s="980" t="s">
        <v>811</v>
      </c>
      <c r="M59" s="981" t="s">
        <v>811</v>
      </c>
      <c r="N59" s="980" t="s">
        <v>1316</v>
      </c>
      <c r="O59" s="981" t="s">
        <v>1316</v>
      </c>
      <c r="P59" s="980" t="s">
        <v>1317</v>
      </c>
      <c r="Q59" s="981" t="s">
        <v>1317</v>
      </c>
      <c r="R59" s="511">
        <v>236</v>
      </c>
      <c r="T59" s="263"/>
      <c r="W59"/>
    </row>
    <row r="60" spans="1:23">
      <c r="A60" s="176">
        <v>9</v>
      </c>
      <c r="B60" s="554" t="s">
        <v>321</v>
      </c>
      <c r="C60" s="980" t="s">
        <v>687</v>
      </c>
      <c r="D60" s="981" t="s">
        <v>687</v>
      </c>
      <c r="E60" s="980" t="s">
        <v>900</v>
      </c>
      <c r="F60" s="981" t="s">
        <v>900</v>
      </c>
      <c r="G60" s="980" t="s">
        <v>901</v>
      </c>
      <c r="H60" s="981" t="s">
        <v>901</v>
      </c>
      <c r="I60" s="511">
        <v>1304</v>
      </c>
      <c r="J60" s="202"/>
      <c r="K60" s="500" t="s">
        <v>321</v>
      </c>
      <c r="L60" s="980" t="s">
        <v>992</v>
      </c>
      <c r="M60" s="981" t="s">
        <v>992</v>
      </c>
      <c r="N60" s="980" t="s">
        <v>993</v>
      </c>
      <c r="O60" s="981" t="s">
        <v>993</v>
      </c>
      <c r="P60" s="980" t="s">
        <v>994</v>
      </c>
      <c r="Q60" s="981" t="s">
        <v>994</v>
      </c>
      <c r="R60" s="511">
        <v>220</v>
      </c>
      <c r="T60" s="263"/>
      <c r="W60"/>
    </row>
    <row r="61" spans="1:23">
      <c r="A61" s="175">
        <v>10</v>
      </c>
      <c r="B61" s="554" t="s">
        <v>320</v>
      </c>
      <c r="C61" s="980" t="s">
        <v>1306</v>
      </c>
      <c r="D61" s="981" t="s">
        <v>1306</v>
      </c>
      <c r="E61" s="980" t="s">
        <v>1307</v>
      </c>
      <c r="F61" s="981" t="s">
        <v>1307</v>
      </c>
      <c r="G61" s="980" t="s">
        <v>1308</v>
      </c>
      <c r="H61" s="981" t="s">
        <v>1308</v>
      </c>
      <c r="I61" s="511">
        <v>1213</v>
      </c>
      <c r="J61" s="202"/>
      <c r="K61" s="500" t="s">
        <v>321</v>
      </c>
      <c r="L61" s="980" t="s">
        <v>324</v>
      </c>
      <c r="M61" s="981" t="s">
        <v>324</v>
      </c>
      <c r="N61" s="980" t="s">
        <v>809</v>
      </c>
      <c r="O61" s="981" t="s">
        <v>809</v>
      </c>
      <c r="P61" s="980" t="s">
        <v>1318</v>
      </c>
      <c r="Q61" s="981" t="s">
        <v>1318</v>
      </c>
      <c r="R61" s="511">
        <v>219</v>
      </c>
      <c r="T61" s="263"/>
      <c r="W61"/>
    </row>
    <row r="62" spans="1:23">
      <c r="A62" s="176">
        <v>11</v>
      </c>
      <c r="B62" s="554" t="s">
        <v>321</v>
      </c>
      <c r="C62" s="980" t="s">
        <v>895</v>
      </c>
      <c r="D62" s="981" t="s">
        <v>895</v>
      </c>
      <c r="E62" s="980" t="s">
        <v>896</v>
      </c>
      <c r="F62" s="981" t="s">
        <v>896</v>
      </c>
      <c r="G62" s="980" t="s">
        <v>897</v>
      </c>
      <c r="H62" s="981" t="s">
        <v>897</v>
      </c>
      <c r="I62" s="511">
        <v>1165</v>
      </c>
      <c r="J62" s="202"/>
      <c r="K62" s="500" t="s">
        <v>321</v>
      </c>
      <c r="L62" s="980" t="s">
        <v>327</v>
      </c>
      <c r="M62" s="981" t="s">
        <v>327</v>
      </c>
      <c r="N62" s="980" t="s">
        <v>957</v>
      </c>
      <c r="O62" s="981" t="s">
        <v>957</v>
      </c>
      <c r="P62" s="980" t="s">
        <v>960</v>
      </c>
      <c r="Q62" s="981" t="s">
        <v>960</v>
      </c>
      <c r="R62" s="511">
        <v>219</v>
      </c>
      <c r="T62" s="263"/>
      <c r="W62"/>
    </row>
    <row r="63" spans="1:23">
      <c r="A63" s="175">
        <v>12</v>
      </c>
      <c r="B63" s="554" t="s">
        <v>321</v>
      </c>
      <c r="C63" s="980" t="s">
        <v>327</v>
      </c>
      <c r="D63" s="981" t="s">
        <v>327</v>
      </c>
      <c r="E63" s="980" t="s">
        <v>957</v>
      </c>
      <c r="F63" s="981" t="s">
        <v>957</v>
      </c>
      <c r="G63" s="980" t="s">
        <v>958</v>
      </c>
      <c r="H63" s="981" t="s">
        <v>958</v>
      </c>
      <c r="I63" s="511">
        <v>1144</v>
      </c>
      <c r="J63" s="202"/>
      <c r="K63" s="500" t="s">
        <v>320</v>
      </c>
      <c r="L63" s="980" t="s">
        <v>1089</v>
      </c>
      <c r="M63" s="981" t="s">
        <v>1089</v>
      </c>
      <c r="N63" s="980" t="s">
        <v>1091</v>
      </c>
      <c r="O63" s="981" t="s">
        <v>1091</v>
      </c>
      <c r="P63" s="980" t="s">
        <v>1094</v>
      </c>
      <c r="Q63" s="981" t="s">
        <v>1094</v>
      </c>
      <c r="R63" s="511">
        <v>217</v>
      </c>
      <c r="T63" s="263"/>
      <c r="W63"/>
    </row>
    <row r="64" spans="1:23">
      <c r="A64" s="176">
        <v>13</v>
      </c>
      <c r="B64" s="554" t="s">
        <v>321</v>
      </c>
      <c r="C64" s="980" t="s">
        <v>892</v>
      </c>
      <c r="D64" s="981" t="s">
        <v>892</v>
      </c>
      <c r="E64" s="980" t="s">
        <v>893</v>
      </c>
      <c r="F64" s="981" t="s">
        <v>893</v>
      </c>
      <c r="G64" s="980" t="s">
        <v>894</v>
      </c>
      <c r="H64" s="981" t="s">
        <v>894</v>
      </c>
      <c r="I64" s="511">
        <v>1068</v>
      </c>
      <c r="J64" s="202"/>
      <c r="K64" s="500" t="s">
        <v>320</v>
      </c>
      <c r="L64" s="980" t="s">
        <v>1319</v>
      </c>
      <c r="M64" s="981" t="s">
        <v>1319</v>
      </c>
      <c r="N64" s="980" t="s">
        <v>1320</v>
      </c>
      <c r="O64" s="981" t="s">
        <v>1320</v>
      </c>
      <c r="P64" s="980" t="s">
        <v>1321</v>
      </c>
      <c r="Q64" s="981" t="s">
        <v>1321</v>
      </c>
      <c r="R64" s="511">
        <v>216</v>
      </c>
      <c r="T64" s="263"/>
      <c r="W64"/>
    </row>
    <row r="65" spans="1:23">
      <c r="A65" s="175">
        <v>14</v>
      </c>
      <c r="B65" s="554" t="s">
        <v>320</v>
      </c>
      <c r="C65" s="980" t="s">
        <v>70</v>
      </c>
      <c r="D65" s="981" t="s">
        <v>70</v>
      </c>
      <c r="E65" s="980" t="s">
        <v>904</v>
      </c>
      <c r="F65" s="981" t="s">
        <v>904</v>
      </c>
      <c r="G65" s="980" t="s">
        <v>905</v>
      </c>
      <c r="H65" s="981" t="s">
        <v>905</v>
      </c>
      <c r="I65" s="511">
        <v>1057</v>
      </c>
      <c r="J65" s="202"/>
      <c r="K65" s="500" t="s">
        <v>320</v>
      </c>
      <c r="L65" s="980" t="s">
        <v>681</v>
      </c>
      <c r="M65" s="981" t="s">
        <v>681</v>
      </c>
      <c r="N65" s="980" t="s">
        <v>1322</v>
      </c>
      <c r="O65" s="981" t="s">
        <v>1322</v>
      </c>
      <c r="P65" s="980" t="s">
        <v>1323</v>
      </c>
      <c r="Q65" s="981" t="s">
        <v>1323</v>
      </c>
      <c r="R65" s="511">
        <v>213</v>
      </c>
      <c r="T65" s="263"/>
      <c r="W65"/>
    </row>
    <row r="66" spans="1:23">
      <c r="A66" s="176">
        <v>15</v>
      </c>
      <c r="B66" s="554" t="s">
        <v>321</v>
      </c>
      <c r="C66" s="980" t="s">
        <v>898</v>
      </c>
      <c r="D66" s="981" t="s">
        <v>898</v>
      </c>
      <c r="E66" s="980" t="s">
        <v>898</v>
      </c>
      <c r="F66" s="981" t="s">
        <v>898</v>
      </c>
      <c r="G66" s="980" t="s">
        <v>899</v>
      </c>
      <c r="H66" s="981" t="s">
        <v>899</v>
      </c>
      <c r="I66" s="511">
        <v>996</v>
      </c>
      <c r="J66" s="202"/>
      <c r="K66" s="500" t="s">
        <v>320</v>
      </c>
      <c r="L66" s="980" t="s">
        <v>495</v>
      </c>
      <c r="M66" s="981" t="s">
        <v>495</v>
      </c>
      <c r="N66" s="980" t="s">
        <v>809</v>
      </c>
      <c r="O66" s="981" t="s">
        <v>809</v>
      </c>
      <c r="P66" s="980" t="s">
        <v>1255</v>
      </c>
      <c r="Q66" s="981" t="s">
        <v>1255</v>
      </c>
      <c r="R66" s="511">
        <v>202</v>
      </c>
      <c r="T66" s="263"/>
      <c r="W66"/>
    </row>
    <row r="67" spans="1:23">
      <c r="A67" s="175">
        <v>16</v>
      </c>
      <c r="B67" s="554" t="s">
        <v>320</v>
      </c>
      <c r="C67" s="980" t="s">
        <v>343</v>
      </c>
      <c r="D67" s="981" t="s">
        <v>343</v>
      </c>
      <c r="E67" s="980" t="s">
        <v>1088</v>
      </c>
      <c r="F67" s="981" t="s">
        <v>1088</v>
      </c>
      <c r="G67" s="980" t="s">
        <v>1087</v>
      </c>
      <c r="H67" s="981" t="s">
        <v>1087</v>
      </c>
      <c r="I67" s="511">
        <v>930</v>
      </c>
      <c r="J67" s="202"/>
      <c r="K67" s="500" t="s">
        <v>320</v>
      </c>
      <c r="L67" s="980" t="s">
        <v>880</v>
      </c>
      <c r="M67" s="981" t="s">
        <v>880</v>
      </c>
      <c r="N67" s="980" t="s">
        <v>881</v>
      </c>
      <c r="O67" s="981" t="s">
        <v>881</v>
      </c>
      <c r="P67" s="980" t="s">
        <v>920</v>
      </c>
      <c r="Q67" s="981" t="s">
        <v>920</v>
      </c>
      <c r="R67" s="511">
        <v>202</v>
      </c>
      <c r="T67" s="263"/>
      <c r="W67"/>
    </row>
    <row r="68" spans="1:23">
      <c r="A68" s="176">
        <v>17</v>
      </c>
      <c r="B68" s="554" t="s">
        <v>320</v>
      </c>
      <c r="C68" s="980" t="s">
        <v>522</v>
      </c>
      <c r="D68" s="981" t="s">
        <v>522</v>
      </c>
      <c r="E68" s="980" t="s">
        <v>1309</v>
      </c>
      <c r="F68" s="981" t="s">
        <v>1309</v>
      </c>
      <c r="G68" s="980" t="s">
        <v>1310</v>
      </c>
      <c r="H68" s="981" t="s">
        <v>1310</v>
      </c>
      <c r="I68" s="511">
        <v>899</v>
      </c>
      <c r="J68" s="202"/>
      <c r="K68" s="500" t="s">
        <v>320</v>
      </c>
      <c r="L68" s="980" t="s">
        <v>495</v>
      </c>
      <c r="M68" s="981" t="s">
        <v>495</v>
      </c>
      <c r="N68" s="980" t="s">
        <v>809</v>
      </c>
      <c r="O68" s="981" t="s">
        <v>809</v>
      </c>
      <c r="P68" s="980" t="s">
        <v>1255</v>
      </c>
      <c r="Q68" s="981" t="s">
        <v>1255</v>
      </c>
      <c r="R68" s="511">
        <v>198</v>
      </c>
      <c r="T68" s="263"/>
      <c r="W68"/>
    </row>
    <row r="69" spans="1:23">
      <c r="A69" s="175">
        <v>18</v>
      </c>
      <c r="B69" s="554" t="s">
        <v>320</v>
      </c>
      <c r="C69" s="980" t="s">
        <v>599</v>
      </c>
      <c r="D69" s="981" t="s">
        <v>599</v>
      </c>
      <c r="E69" s="980" t="s">
        <v>1266</v>
      </c>
      <c r="F69" s="981" t="s">
        <v>1266</v>
      </c>
      <c r="G69" s="980" t="s">
        <v>1267</v>
      </c>
      <c r="H69" s="981" t="s">
        <v>1267</v>
      </c>
      <c r="I69" s="511">
        <v>833</v>
      </c>
      <c r="J69" s="202"/>
      <c r="K69" s="500" t="s">
        <v>320</v>
      </c>
      <c r="L69" s="980" t="s">
        <v>1243</v>
      </c>
      <c r="M69" s="981" t="s">
        <v>1243</v>
      </c>
      <c r="N69" s="980" t="s">
        <v>1244</v>
      </c>
      <c r="O69" s="981" t="s">
        <v>1244</v>
      </c>
      <c r="P69" s="980" t="s">
        <v>1324</v>
      </c>
      <c r="Q69" s="981" t="s">
        <v>1324</v>
      </c>
      <c r="R69" s="511">
        <v>195</v>
      </c>
      <c r="T69" s="263"/>
      <c r="W69"/>
    </row>
    <row r="70" spans="1:23">
      <c r="A70" s="176">
        <v>19</v>
      </c>
      <c r="B70" s="554" t="s">
        <v>320</v>
      </c>
      <c r="C70" s="980" t="s">
        <v>1302</v>
      </c>
      <c r="D70" s="981" t="s">
        <v>1302</v>
      </c>
      <c r="E70" s="980" t="s">
        <v>1303</v>
      </c>
      <c r="F70" s="981" t="s">
        <v>1303</v>
      </c>
      <c r="G70" s="980" t="s">
        <v>1311</v>
      </c>
      <c r="H70" s="981" t="s">
        <v>1311</v>
      </c>
      <c r="I70" s="511">
        <v>791</v>
      </c>
      <c r="J70" s="202"/>
      <c r="K70" s="500" t="s">
        <v>320</v>
      </c>
      <c r="L70" s="980" t="s">
        <v>1090</v>
      </c>
      <c r="M70" s="981" t="s">
        <v>1090</v>
      </c>
      <c r="N70" s="980" t="s">
        <v>1092</v>
      </c>
      <c r="O70" s="981" t="s">
        <v>1092</v>
      </c>
      <c r="P70" s="980" t="s">
        <v>1095</v>
      </c>
      <c r="Q70" s="981" t="s">
        <v>1095</v>
      </c>
      <c r="R70" s="511">
        <v>190</v>
      </c>
      <c r="T70" s="263"/>
      <c r="W70"/>
    </row>
    <row r="71" spans="1:23" ht="13" thickBot="1">
      <c r="A71" s="177">
        <v>20</v>
      </c>
      <c r="B71" s="555" t="s">
        <v>320</v>
      </c>
      <c r="C71" s="982" t="s">
        <v>906</v>
      </c>
      <c r="D71" s="983" t="s">
        <v>906</v>
      </c>
      <c r="E71" s="982" t="s">
        <v>907</v>
      </c>
      <c r="F71" s="983" t="s">
        <v>907</v>
      </c>
      <c r="G71" s="982" t="s">
        <v>1260</v>
      </c>
      <c r="H71" s="983" t="s">
        <v>1260</v>
      </c>
      <c r="I71" s="512">
        <v>781</v>
      </c>
      <c r="J71" s="203"/>
      <c r="K71" s="503" t="s">
        <v>321</v>
      </c>
      <c r="L71" s="982" t="s">
        <v>365</v>
      </c>
      <c r="M71" s="983" t="s">
        <v>365</v>
      </c>
      <c r="N71" s="982" t="s">
        <v>809</v>
      </c>
      <c r="O71" s="983" t="s">
        <v>809</v>
      </c>
      <c r="P71" s="982" t="s">
        <v>1160</v>
      </c>
      <c r="Q71" s="983" t="s">
        <v>1160</v>
      </c>
      <c r="R71" s="512">
        <v>188</v>
      </c>
      <c r="T71" s="263"/>
      <c r="W71"/>
    </row>
    <row r="72" spans="1:23" s="263" customFormat="1">
      <c r="A72" s="279"/>
      <c r="B72" s="64"/>
      <c r="C72" s="280"/>
      <c r="D72" s="280"/>
      <c r="E72" s="64"/>
      <c r="F72" s="64"/>
      <c r="G72" s="64"/>
      <c r="H72" s="64"/>
      <c r="I72" s="64"/>
      <c r="J72" s="202"/>
      <c r="K72" s="64"/>
      <c r="L72" s="64"/>
      <c r="M72" s="64"/>
      <c r="N72" s="64"/>
      <c r="O72" s="64"/>
      <c r="P72" s="64"/>
      <c r="Q72" s="64"/>
      <c r="R72" s="64"/>
    </row>
    <row r="73" spans="1:23" s="263" customFormat="1" ht="13" thickBot="1">
      <c r="A73" s="279"/>
      <c r="B73" s="64"/>
      <c r="C73" s="280"/>
      <c r="D73" s="280"/>
      <c r="E73" s="64"/>
      <c r="F73" s="64"/>
      <c r="G73" s="64"/>
      <c r="H73" s="64"/>
      <c r="I73" s="64"/>
      <c r="J73" s="202"/>
      <c r="K73" s="64"/>
      <c r="L73" s="64"/>
      <c r="M73" s="64"/>
      <c r="N73" s="64"/>
      <c r="O73" s="64"/>
      <c r="P73" s="64"/>
      <c r="Q73" s="64"/>
      <c r="R73" s="64"/>
    </row>
    <row r="74" spans="1:23" s="263" customFormat="1" ht="14" thickBot="1">
      <c r="A74" s="942" t="s">
        <v>1301</v>
      </c>
      <c r="B74" s="943"/>
      <c r="C74" s="943"/>
      <c r="D74" s="943"/>
      <c r="E74" s="943"/>
      <c r="F74" s="943"/>
      <c r="G74" s="943"/>
      <c r="H74" s="943"/>
      <c r="I74" s="943"/>
      <c r="J74" s="943"/>
      <c r="K74" s="943"/>
      <c r="L74" s="943"/>
      <c r="M74" s="943"/>
      <c r="N74" s="943"/>
      <c r="O74" s="943"/>
      <c r="P74" s="943"/>
      <c r="Q74" s="943"/>
      <c r="R74" s="944"/>
    </row>
    <row r="75" spans="1:23" s="263" customFormat="1" ht="15.75" customHeight="1" thickBot="1">
      <c r="A75" s="954" t="s">
        <v>71</v>
      </c>
      <c r="B75" s="947" t="s">
        <v>743</v>
      </c>
      <c r="C75" s="948"/>
      <c r="D75" s="948"/>
      <c r="E75" s="948"/>
      <c r="F75" s="948"/>
      <c r="G75" s="948"/>
      <c r="H75" s="948"/>
      <c r="I75" s="949"/>
      <c r="J75" s="147"/>
      <c r="K75" s="956" t="s">
        <v>742</v>
      </c>
      <c r="L75" s="957"/>
      <c r="M75" s="957"/>
      <c r="N75" s="957"/>
      <c r="O75" s="957"/>
      <c r="P75" s="957"/>
      <c r="Q75" s="957"/>
      <c r="R75" s="958"/>
    </row>
    <row r="76" spans="1:23" s="263" customFormat="1" ht="13" thickBot="1">
      <c r="A76" s="955"/>
      <c r="B76" s="509" t="s">
        <v>319</v>
      </c>
      <c r="C76" s="950" t="s">
        <v>67</v>
      </c>
      <c r="D76" s="951"/>
      <c r="E76" s="952" t="s">
        <v>68</v>
      </c>
      <c r="F76" s="953"/>
      <c r="G76" s="952" t="s">
        <v>78</v>
      </c>
      <c r="H76" s="953"/>
      <c r="I76" s="509" t="s">
        <v>776</v>
      </c>
      <c r="J76" s="147"/>
      <c r="K76" s="557" t="s">
        <v>319</v>
      </c>
      <c r="L76" s="950" t="s">
        <v>67</v>
      </c>
      <c r="M76" s="959"/>
      <c r="N76" s="960" t="s">
        <v>68</v>
      </c>
      <c r="O76" s="961"/>
      <c r="P76" s="960" t="s">
        <v>748</v>
      </c>
      <c r="Q76" s="953"/>
      <c r="R76" s="556" t="s">
        <v>776</v>
      </c>
    </row>
    <row r="77" spans="1:23" s="263" customFormat="1">
      <c r="A77" s="174">
        <v>1</v>
      </c>
      <c r="B77" s="553" t="s">
        <v>320</v>
      </c>
      <c r="C77" s="978" t="s">
        <v>847</v>
      </c>
      <c r="D77" s="979" t="s">
        <v>847</v>
      </c>
      <c r="E77" s="978" t="s">
        <v>848</v>
      </c>
      <c r="F77" s="979" t="s">
        <v>848</v>
      </c>
      <c r="G77" s="978" t="s">
        <v>849</v>
      </c>
      <c r="H77" s="979" t="s">
        <v>849</v>
      </c>
      <c r="I77" s="510">
        <v>131</v>
      </c>
      <c r="J77" s="202"/>
      <c r="K77" s="501" t="s">
        <v>320</v>
      </c>
      <c r="L77" s="978" t="s">
        <v>1165</v>
      </c>
      <c r="M77" s="979" t="s">
        <v>1165</v>
      </c>
      <c r="N77" s="978" t="s">
        <v>1166</v>
      </c>
      <c r="O77" s="979" t="s">
        <v>1166</v>
      </c>
      <c r="P77" s="978" t="s">
        <v>1167</v>
      </c>
      <c r="Q77" s="979" t="s">
        <v>1167</v>
      </c>
      <c r="R77" s="498">
        <v>455</v>
      </c>
    </row>
    <row r="78" spans="1:23" s="263" customFormat="1">
      <c r="A78" s="558">
        <v>2</v>
      </c>
      <c r="B78" s="554" t="s">
        <v>321</v>
      </c>
      <c r="C78" s="980" t="s">
        <v>855</v>
      </c>
      <c r="D78" s="981" t="s">
        <v>855</v>
      </c>
      <c r="E78" s="980" t="s">
        <v>856</v>
      </c>
      <c r="F78" s="981" t="s">
        <v>856</v>
      </c>
      <c r="G78" s="980" t="s">
        <v>857</v>
      </c>
      <c r="H78" s="981" t="s">
        <v>857</v>
      </c>
      <c r="I78" s="511">
        <v>49</v>
      </c>
      <c r="J78" s="202"/>
      <c r="K78" s="500" t="s">
        <v>320</v>
      </c>
      <c r="L78" s="980" t="s">
        <v>1337</v>
      </c>
      <c r="M78" s="981" t="s">
        <v>1337</v>
      </c>
      <c r="N78" s="980" t="s">
        <v>1338</v>
      </c>
      <c r="O78" s="981" t="s">
        <v>1338</v>
      </c>
      <c r="P78" s="980" t="s">
        <v>1339</v>
      </c>
      <c r="Q78" s="981" t="s">
        <v>1339</v>
      </c>
      <c r="R78" s="499">
        <v>222</v>
      </c>
    </row>
    <row r="79" spans="1:23" s="263" customFormat="1">
      <c r="A79" s="559">
        <v>3</v>
      </c>
      <c r="B79" s="554" t="s">
        <v>320</v>
      </c>
      <c r="C79" s="980" t="s">
        <v>858</v>
      </c>
      <c r="D79" s="981" t="s">
        <v>858</v>
      </c>
      <c r="E79" s="980" t="s">
        <v>995</v>
      </c>
      <c r="F79" s="981" t="s">
        <v>995</v>
      </c>
      <c r="G79" s="980" t="s">
        <v>996</v>
      </c>
      <c r="H79" s="981" t="s">
        <v>996</v>
      </c>
      <c r="I79" s="511">
        <v>39</v>
      </c>
      <c r="J79" s="202"/>
      <c r="K79" s="500" t="s">
        <v>320</v>
      </c>
      <c r="L79" s="980" t="s">
        <v>941</v>
      </c>
      <c r="M79" s="981" t="s">
        <v>941</v>
      </c>
      <c r="N79" s="980" t="s">
        <v>942</v>
      </c>
      <c r="O79" s="981" t="s">
        <v>942</v>
      </c>
      <c r="P79" s="980" t="s">
        <v>943</v>
      </c>
      <c r="Q79" s="981" t="s">
        <v>943</v>
      </c>
      <c r="R79" s="499">
        <v>211</v>
      </c>
    </row>
    <row r="80" spans="1:23" s="263" customFormat="1">
      <c r="A80" s="558">
        <v>4</v>
      </c>
      <c r="B80" s="554" t="s">
        <v>321</v>
      </c>
      <c r="C80" s="980" t="s">
        <v>811</v>
      </c>
      <c r="D80" s="981" t="s">
        <v>811</v>
      </c>
      <c r="E80" s="980" t="s">
        <v>1256</v>
      </c>
      <c r="F80" s="981" t="s">
        <v>1256</v>
      </c>
      <c r="G80" s="980" t="s">
        <v>1257</v>
      </c>
      <c r="H80" s="981" t="s">
        <v>1257</v>
      </c>
      <c r="I80" s="511">
        <v>35</v>
      </c>
      <c r="J80" s="202"/>
      <c r="K80" s="500" t="s">
        <v>320</v>
      </c>
      <c r="L80" s="980" t="s">
        <v>812</v>
      </c>
      <c r="M80" s="981" t="s">
        <v>812</v>
      </c>
      <c r="N80" s="980" t="s">
        <v>813</v>
      </c>
      <c r="O80" s="981" t="s">
        <v>813</v>
      </c>
      <c r="P80" s="980" t="s">
        <v>814</v>
      </c>
      <c r="Q80" s="981" t="s">
        <v>814</v>
      </c>
      <c r="R80" s="499">
        <v>108</v>
      </c>
    </row>
    <row r="81" spans="1:18" s="263" customFormat="1">
      <c r="A81" s="559">
        <v>5</v>
      </c>
      <c r="B81" s="554" t="s">
        <v>320</v>
      </c>
      <c r="C81" s="980" t="s">
        <v>861</v>
      </c>
      <c r="D81" s="981" t="s">
        <v>861</v>
      </c>
      <c r="E81" s="980" t="s">
        <v>862</v>
      </c>
      <c r="F81" s="981" t="s">
        <v>862</v>
      </c>
      <c r="G81" s="980" t="s">
        <v>864</v>
      </c>
      <c r="H81" s="981" t="s">
        <v>864</v>
      </c>
      <c r="I81" s="511">
        <v>34</v>
      </c>
      <c r="J81" s="202"/>
      <c r="K81" s="500" t="s">
        <v>320</v>
      </c>
      <c r="L81" s="980" t="s">
        <v>832</v>
      </c>
      <c r="M81" s="981" t="s">
        <v>832</v>
      </c>
      <c r="N81" s="980" t="s">
        <v>832</v>
      </c>
      <c r="O81" s="981" t="s">
        <v>832</v>
      </c>
      <c r="P81" s="980" t="s">
        <v>833</v>
      </c>
      <c r="Q81" s="981" t="s">
        <v>833</v>
      </c>
      <c r="R81" s="499">
        <v>99</v>
      </c>
    </row>
    <row r="82" spans="1:18" s="263" customFormat="1">
      <c r="A82" s="558">
        <v>6</v>
      </c>
      <c r="B82" s="554" t="s">
        <v>320</v>
      </c>
      <c r="C82" s="980" t="s">
        <v>681</v>
      </c>
      <c r="D82" s="981" t="s">
        <v>681</v>
      </c>
      <c r="E82" s="980" t="s">
        <v>850</v>
      </c>
      <c r="F82" s="981" t="s">
        <v>850</v>
      </c>
      <c r="G82" s="980" t="s">
        <v>851</v>
      </c>
      <c r="H82" s="981" t="s">
        <v>851</v>
      </c>
      <c r="I82" s="511">
        <v>33</v>
      </c>
      <c r="J82" s="202"/>
      <c r="K82" s="500" t="s">
        <v>320</v>
      </c>
      <c r="L82" s="980" t="s">
        <v>818</v>
      </c>
      <c r="M82" s="981" t="s">
        <v>818</v>
      </c>
      <c r="N82" s="980" t="s">
        <v>819</v>
      </c>
      <c r="O82" s="981" t="s">
        <v>819</v>
      </c>
      <c r="P82" s="980" t="s">
        <v>820</v>
      </c>
      <c r="Q82" s="981" t="s">
        <v>820</v>
      </c>
      <c r="R82" s="499">
        <v>90</v>
      </c>
    </row>
    <row r="83" spans="1:18" s="263" customFormat="1">
      <c r="A83" s="559">
        <v>7</v>
      </c>
      <c r="B83" s="554" t="s">
        <v>320</v>
      </c>
      <c r="C83" s="980" t="s">
        <v>861</v>
      </c>
      <c r="D83" s="981" t="s">
        <v>861</v>
      </c>
      <c r="E83" s="980" t="s">
        <v>862</v>
      </c>
      <c r="F83" s="981" t="s">
        <v>862</v>
      </c>
      <c r="G83" s="980" t="s">
        <v>863</v>
      </c>
      <c r="H83" s="981" t="s">
        <v>863</v>
      </c>
      <c r="I83" s="511">
        <v>32</v>
      </c>
      <c r="J83" s="202"/>
      <c r="K83" s="500" t="s">
        <v>320</v>
      </c>
      <c r="L83" s="980" t="s">
        <v>823</v>
      </c>
      <c r="M83" s="981" t="s">
        <v>823</v>
      </c>
      <c r="N83" s="980" t="s">
        <v>824</v>
      </c>
      <c r="O83" s="981" t="s">
        <v>824</v>
      </c>
      <c r="P83" s="980" t="s">
        <v>825</v>
      </c>
      <c r="Q83" s="981" t="s">
        <v>825</v>
      </c>
      <c r="R83" s="499">
        <v>77</v>
      </c>
    </row>
    <row r="84" spans="1:18" s="263" customFormat="1">
      <c r="A84" s="558">
        <v>8</v>
      </c>
      <c r="B84" s="554" t="s">
        <v>321</v>
      </c>
      <c r="C84" s="980" t="s">
        <v>852</v>
      </c>
      <c r="D84" s="981" t="s">
        <v>852</v>
      </c>
      <c r="E84" s="980" t="s">
        <v>853</v>
      </c>
      <c r="F84" s="981" t="s">
        <v>853</v>
      </c>
      <c r="G84" s="980" t="s">
        <v>854</v>
      </c>
      <c r="H84" s="981" t="s">
        <v>854</v>
      </c>
      <c r="I84" s="511">
        <v>31</v>
      </c>
      <c r="J84" s="202"/>
      <c r="K84" s="500" t="s">
        <v>320</v>
      </c>
      <c r="L84" s="980" t="s">
        <v>1340</v>
      </c>
      <c r="M84" s="981" t="s">
        <v>1340</v>
      </c>
      <c r="N84" s="980" t="s">
        <v>1340</v>
      </c>
      <c r="O84" s="981" t="s">
        <v>1340</v>
      </c>
      <c r="P84" s="980" t="s">
        <v>1341</v>
      </c>
      <c r="Q84" s="981" t="s">
        <v>1341</v>
      </c>
      <c r="R84" s="499">
        <v>72</v>
      </c>
    </row>
    <row r="85" spans="1:18" s="263" customFormat="1">
      <c r="A85" s="559">
        <v>9</v>
      </c>
      <c r="B85" s="554" t="s">
        <v>320</v>
      </c>
      <c r="C85" s="980" t="s">
        <v>858</v>
      </c>
      <c r="D85" s="981" t="s">
        <v>858</v>
      </c>
      <c r="E85" s="980" t="s">
        <v>859</v>
      </c>
      <c r="F85" s="981" t="s">
        <v>859</v>
      </c>
      <c r="G85" s="980" t="s">
        <v>860</v>
      </c>
      <c r="H85" s="981" t="s">
        <v>860</v>
      </c>
      <c r="I85" s="511">
        <v>20</v>
      </c>
      <c r="J85" s="202"/>
      <c r="K85" s="500" t="s">
        <v>320</v>
      </c>
      <c r="L85" s="980" t="s">
        <v>821</v>
      </c>
      <c r="M85" s="981" t="s">
        <v>821</v>
      </c>
      <c r="N85" s="980" t="s">
        <v>821</v>
      </c>
      <c r="O85" s="981" t="s">
        <v>821</v>
      </c>
      <c r="P85" s="980" t="s">
        <v>822</v>
      </c>
      <c r="Q85" s="981" t="s">
        <v>822</v>
      </c>
      <c r="R85" s="499">
        <v>65</v>
      </c>
    </row>
    <row r="86" spans="1:18" s="263" customFormat="1">
      <c r="A86" s="558">
        <v>10</v>
      </c>
      <c r="B86" s="554" t="s">
        <v>320</v>
      </c>
      <c r="C86" s="980" t="s">
        <v>526</v>
      </c>
      <c r="D86" s="981" t="s">
        <v>526</v>
      </c>
      <c r="E86" s="980" t="s">
        <v>1325</v>
      </c>
      <c r="F86" s="981" t="s">
        <v>1325</v>
      </c>
      <c r="G86" s="980" t="s">
        <v>1326</v>
      </c>
      <c r="H86" s="981" t="s">
        <v>1326</v>
      </c>
      <c r="I86" s="511">
        <v>20</v>
      </c>
      <c r="J86" s="202"/>
      <c r="K86" s="500" t="s">
        <v>320</v>
      </c>
      <c r="L86" s="980" t="s">
        <v>1024</v>
      </c>
      <c r="M86" s="981" t="s">
        <v>1024</v>
      </c>
      <c r="N86" s="980" t="s">
        <v>1024</v>
      </c>
      <c r="O86" s="981" t="s">
        <v>1024</v>
      </c>
      <c r="P86" s="980" t="s">
        <v>1025</v>
      </c>
      <c r="Q86" s="981" t="s">
        <v>1025</v>
      </c>
      <c r="R86" s="499">
        <v>61</v>
      </c>
    </row>
    <row r="87" spans="1:18" s="263" customFormat="1">
      <c r="A87" s="559">
        <v>11</v>
      </c>
      <c r="B87" s="554" t="s">
        <v>320</v>
      </c>
      <c r="C87" s="980" t="s">
        <v>861</v>
      </c>
      <c r="D87" s="981" t="s">
        <v>861</v>
      </c>
      <c r="E87" s="980" t="s">
        <v>862</v>
      </c>
      <c r="F87" s="981" t="s">
        <v>862</v>
      </c>
      <c r="G87" s="980" t="s">
        <v>1269</v>
      </c>
      <c r="H87" s="981" t="s">
        <v>1269</v>
      </c>
      <c r="I87" s="511">
        <v>20</v>
      </c>
      <c r="J87" s="202"/>
      <c r="K87" s="500" t="s">
        <v>320</v>
      </c>
      <c r="L87" s="980" t="s">
        <v>815</v>
      </c>
      <c r="M87" s="981" t="s">
        <v>815</v>
      </c>
      <c r="N87" s="980" t="s">
        <v>816</v>
      </c>
      <c r="O87" s="981" t="s">
        <v>816</v>
      </c>
      <c r="P87" s="980" t="s">
        <v>817</v>
      </c>
      <c r="Q87" s="981" t="s">
        <v>817</v>
      </c>
      <c r="R87" s="499">
        <v>45</v>
      </c>
    </row>
    <row r="88" spans="1:18" s="263" customFormat="1">
      <c r="A88" s="558">
        <v>12</v>
      </c>
      <c r="B88" s="554" t="s">
        <v>320</v>
      </c>
      <c r="C88" s="980" t="s">
        <v>1261</v>
      </c>
      <c r="D88" s="981" t="s">
        <v>1261</v>
      </c>
      <c r="E88" s="980" t="s">
        <v>1262</v>
      </c>
      <c r="F88" s="981" t="s">
        <v>1262</v>
      </c>
      <c r="G88" s="980" t="s">
        <v>1270</v>
      </c>
      <c r="H88" s="981" t="s">
        <v>1270</v>
      </c>
      <c r="I88" s="511">
        <v>16</v>
      </c>
      <c r="J88" s="202"/>
      <c r="K88" s="500" t="s">
        <v>320</v>
      </c>
      <c r="L88" s="980" t="s">
        <v>882</v>
      </c>
      <c r="M88" s="981" t="s">
        <v>882</v>
      </c>
      <c r="N88" s="980" t="s">
        <v>883</v>
      </c>
      <c r="O88" s="981" t="s">
        <v>883</v>
      </c>
      <c r="P88" s="980" t="s">
        <v>884</v>
      </c>
      <c r="Q88" s="981" t="s">
        <v>884</v>
      </c>
      <c r="R88" s="499">
        <v>41</v>
      </c>
    </row>
    <row r="89" spans="1:18" s="263" customFormat="1">
      <c r="A89" s="559">
        <v>13</v>
      </c>
      <c r="B89" s="554" t="s">
        <v>320</v>
      </c>
      <c r="C89" s="980" t="s">
        <v>858</v>
      </c>
      <c r="D89" s="981" t="s">
        <v>858</v>
      </c>
      <c r="E89" s="980" t="s">
        <v>1327</v>
      </c>
      <c r="F89" s="981" t="s">
        <v>1327</v>
      </c>
      <c r="G89" s="980" t="s">
        <v>1328</v>
      </c>
      <c r="H89" s="981" t="s">
        <v>1328</v>
      </c>
      <c r="I89" s="511">
        <v>16</v>
      </c>
      <c r="J89" s="202"/>
      <c r="K89" s="500" t="s">
        <v>320</v>
      </c>
      <c r="L89" s="980" t="s">
        <v>944</v>
      </c>
      <c r="M89" s="981" t="s">
        <v>944</v>
      </c>
      <c r="N89" s="980" t="s">
        <v>945</v>
      </c>
      <c r="O89" s="981" t="s">
        <v>945</v>
      </c>
      <c r="P89" s="980" t="s">
        <v>946</v>
      </c>
      <c r="Q89" s="981" t="s">
        <v>946</v>
      </c>
      <c r="R89" s="499">
        <v>41</v>
      </c>
    </row>
    <row r="90" spans="1:18" s="263" customFormat="1">
      <c r="A90" s="558">
        <v>14</v>
      </c>
      <c r="B90" s="554" t="s">
        <v>320</v>
      </c>
      <c r="C90" s="980" t="s">
        <v>718</v>
      </c>
      <c r="D90" s="981" t="s">
        <v>718</v>
      </c>
      <c r="E90" s="980" t="s">
        <v>1329</v>
      </c>
      <c r="F90" s="981" t="s">
        <v>1329</v>
      </c>
      <c r="G90" s="980" t="s">
        <v>1330</v>
      </c>
      <c r="H90" s="981" t="s">
        <v>1330</v>
      </c>
      <c r="I90" s="511">
        <v>16</v>
      </c>
      <c r="J90" s="202"/>
      <c r="K90" s="500" t="s">
        <v>321</v>
      </c>
      <c r="L90" s="980" t="s">
        <v>811</v>
      </c>
      <c r="M90" s="981" t="s">
        <v>811</v>
      </c>
      <c r="N90" s="980" t="s">
        <v>1168</v>
      </c>
      <c r="O90" s="981" t="s">
        <v>1168</v>
      </c>
      <c r="P90" s="980" t="s">
        <v>1169</v>
      </c>
      <c r="Q90" s="981" t="s">
        <v>1169</v>
      </c>
      <c r="R90" s="499">
        <v>35</v>
      </c>
    </row>
    <row r="91" spans="1:18" s="263" customFormat="1">
      <c r="A91" s="559">
        <v>15</v>
      </c>
      <c r="B91" s="554" t="s">
        <v>320</v>
      </c>
      <c r="C91" s="980" t="s">
        <v>345</v>
      </c>
      <c r="D91" s="981" t="s">
        <v>345</v>
      </c>
      <c r="E91" s="980" t="s">
        <v>1098</v>
      </c>
      <c r="F91" s="981" t="s">
        <v>1098</v>
      </c>
      <c r="G91" s="980" t="s">
        <v>1099</v>
      </c>
      <c r="H91" s="981" t="s">
        <v>1099</v>
      </c>
      <c r="I91" s="511">
        <v>15</v>
      </c>
      <c r="J91" s="202"/>
      <c r="K91" s="500" t="s">
        <v>320</v>
      </c>
      <c r="L91" s="980" t="s">
        <v>829</v>
      </c>
      <c r="M91" s="981" t="s">
        <v>829</v>
      </c>
      <c r="N91" s="980" t="s">
        <v>830</v>
      </c>
      <c r="O91" s="981" t="s">
        <v>830</v>
      </c>
      <c r="P91" s="980" t="s">
        <v>831</v>
      </c>
      <c r="Q91" s="981" t="s">
        <v>831</v>
      </c>
      <c r="R91" s="499">
        <v>34</v>
      </c>
    </row>
    <row r="92" spans="1:18" s="263" customFormat="1">
      <c r="A92" s="558">
        <v>16</v>
      </c>
      <c r="B92" s="554" t="s">
        <v>321</v>
      </c>
      <c r="C92" s="980" t="s">
        <v>324</v>
      </c>
      <c r="D92" s="981" t="s">
        <v>324</v>
      </c>
      <c r="E92" s="980" t="s">
        <v>1331</v>
      </c>
      <c r="F92" s="981" t="s">
        <v>1331</v>
      </c>
      <c r="G92" s="980" t="s">
        <v>1332</v>
      </c>
      <c r="H92" s="981" t="s">
        <v>1332</v>
      </c>
      <c r="I92" s="511">
        <v>15</v>
      </c>
      <c r="J92" s="202"/>
      <c r="K92" s="500" t="s">
        <v>320</v>
      </c>
      <c r="L92" s="980" t="s">
        <v>823</v>
      </c>
      <c r="M92" s="981" t="s">
        <v>823</v>
      </c>
      <c r="N92" s="980" t="s">
        <v>834</v>
      </c>
      <c r="O92" s="981" t="s">
        <v>834</v>
      </c>
      <c r="P92" s="980" t="s">
        <v>834</v>
      </c>
      <c r="Q92" s="981" t="s">
        <v>834</v>
      </c>
      <c r="R92" s="499">
        <v>34</v>
      </c>
    </row>
    <row r="93" spans="1:18" s="263" customFormat="1">
      <c r="A93" s="559">
        <v>17</v>
      </c>
      <c r="B93" s="554" t="s">
        <v>320</v>
      </c>
      <c r="C93" s="980" t="s">
        <v>718</v>
      </c>
      <c r="D93" s="981" t="s">
        <v>718</v>
      </c>
      <c r="E93" s="980" t="s">
        <v>1161</v>
      </c>
      <c r="F93" s="981" t="s">
        <v>1161</v>
      </c>
      <c r="G93" s="980" t="s">
        <v>1162</v>
      </c>
      <c r="H93" s="981" t="s">
        <v>1162</v>
      </c>
      <c r="I93" s="511">
        <v>14</v>
      </c>
      <c r="J93" s="202"/>
      <c r="K93" s="500" t="s">
        <v>320</v>
      </c>
      <c r="L93" s="980" t="s">
        <v>812</v>
      </c>
      <c r="M93" s="981" t="s">
        <v>812</v>
      </c>
      <c r="N93" s="980" t="s">
        <v>1342</v>
      </c>
      <c r="O93" s="981" t="s">
        <v>1342</v>
      </c>
      <c r="P93" s="980" t="s">
        <v>1342</v>
      </c>
      <c r="Q93" s="981" t="s">
        <v>1342</v>
      </c>
      <c r="R93" s="499">
        <v>29</v>
      </c>
    </row>
    <row r="94" spans="1:18" s="263" customFormat="1">
      <c r="A94" s="558">
        <v>18</v>
      </c>
      <c r="B94" s="554" t="s">
        <v>321</v>
      </c>
      <c r="C94" s="980" t="s">
        <v>1163</v>
      </c>
      <c r="D94" s="981" t="s">
        <v>1163</v>
      </c>
      <c r="E94" s="980" t="s">
        <v>1164</v>
      </c>
      <c r="F94" s="981" t="s">
        <v>1164</v>
      </c>
      <c r="G94" s="980" t="s">
        <v>1333</v>
      </c>
      <c r="H94" s="981" t="s">
        <v>1333</v>
      </c>
      <c r="I94" s="511">
        <v>11</v>
      </c>
      <c r="J94" s="202"/>
      <c r="K94" s="500" t="s">
        <v>320</v>
      </c>
      <c r="L94" s="980" t="s">
        <v>832</v>
      </c>
      <c r="M94" s="981" t="s">
        <v>832</v>
      </c>
      <c r="N94" s="980" t="s">
        <v>1343</v>
      </c>
      <c r="O94" s="981" t="s">
        <v>1343</v>
      </c>
      <c r="P94" s="980" t="s">
        <v>1344</v>
      </c>
      <c r="Q94" s="981" t="s">
        <v>1344</v>
      </c>
      <c r="R94" s="499">
        <v>29</v>
      </c>
    </row>
    <row r="95" spans="1:18" s="263" customFormat="1">
      <c r="A95" s="559">
        <v>19</v>
      </c>
      <c r="B95" s="554" t="s">
        <v>321</v>
      </c>
      <c r="C95" s="980" t="s">
        <v>436</v>
      </c>
      <c r="D95" s="981" t="s">
        <v>436</v>
      </c>
      <c r="E95" s="980" t="s">
        <v>1334</v>
      </c>
      <c r="F95" s="981" t="s">
        <v>1334</v>
      </c>
      <c r="G95" s="980" t="s">
        <v>1335</v>
      </c>
      <c r="H95" s="981" t="s">
        <v>1335</v>
      </c>
      <c r="I95" s="511">
        <v>11</v>
      </c>
      <c r="J95" s="202"/>
      <c r="K95" s="500" t="s">
        <v>320</v>
      </c>
      <c r="L95" s="980" t="s">
        <v>999</v>
      </c>
      <c r="M95" s="981" t="s">
        <v>999</v>
      </c>
      <c r="N95" s="980" t="s">
        <v>999</v>
      </c>
      <c r="O95" s="981" t="s">
        <v>999</v>
      </c>
      <c r="P95" s="980" t="s">
        <v>1000</v>
      </c>
      <c r="Q95" s="981" t="s">
        <v>1000</v>
      </c>
      <c r="R95" s="499">
        <v>29</v>
      </c>
    </row>
    <row r="96" spans="1:18" s="263" customFormat="1" ht="13" thickBot="1">
      <c r="A96" s="560">
        <v>20</v>
      </c>
      <c r="B96" s="555" t="s">
        <v>321</v>
      </c>
      <c r="C96" s="982" t="s">
        <v>811</v>
      </c>
      <c r="D96" s="983" t="s">
        <v>811</v>
      </c>
      <c r="E96" s="982" t="s">
        <v>1015</v>
      </c>
      <c r="F96" s="983" t="s">
        <v>1015</v>
      </c>
      <c r="G96" s="982" t="s">
        <v>1336</v>
      </c>
      <c r="H96" s="983" t="s">
        <v>1336</v>
      </c>
      <c r="I96" s="512">
        <v>10</v>
      </c>
      <c r="J96" s="203"/>
      <c r="K96" s="503" t="s">
        <v>320</v>
      </c>
      <c r="L96" s="982" t="s">
        <v>815</v>
      </c>
      <c r="M96" s="983" t="s">
        <v>815</v>
      </c>
      <c r="N96" s="982" t="s">
        <v>1345</v>
      </c>
      <c r="O96" s="983" t="s">
        <v>1345</v>
      </c>
      <c r="P96" s="982" t="s">
        <v>1346</v>
      </c>
      <c r="Q96" s="983" t="s">
        <v>1346</v>
      </c>
      <c r="R96" s="502">
        <v>26</v>
      </c>
    </row>
    <row r="97" spans="1:21" s="263" customFormat="1" ht="12.75" customHeight="1">
      <c r="A97" s="279"/>
      <c r="B97" s="64"/>
      <c r="C97" s="280"/>
      <c r="D97" s="280"/>
      <c r="E97" s="64"/>
      <c r="F97" s="64"/>
      <c r="G97" s="64"/>
      <c r="H97" s="64"/>
      <c r="I97" s="64"/>
      <c r="J97" s="2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</row>
    <row r="98" spans="1:21" s="263" customFormat="1" ht="13" thickBot="1">
      <c r="A98" s="279"/>
      <c r="B98" s="64"/>
      <c r="C98" s="280"/>
      <c r="D98" s="280"/>
      <c r="E98" s="64"/>
      <c r="F98" s="64"/>
      <c r="G98" s="64"/>
      <c r="H98" s="64"/>
      <c r="I98" s="64"/>
      <c r="J98" s="2"/>
      <c r="K98" s="64"/>
      <c r="L98" s="64"/>
      <c r="M98" s="64"/>
      <c r="N98" s="64"/>
      <c r="O98" s="64"/>
      <c r="P98" s="64"/>
      <c r="Q98" s="64"/>
      <c r="R98" s="64"/>
      <c r="S98" s="64"/>
      <c r="T98" s="64"/>
      <c r="U98" s="64"/>
    </row>
    <row r="99" spans="1:21" s="263" customFormat="1" ht="14" thickBot="1">
      <c r="A99" s="942" t="s">
        <v>1301</v>
      </c>
      <c r="B99" s="943"/>
      <c r="C99" s="943"/>
      <c r="D99" s="943"/>
      <c r="E99" s="943"/>
      <c r="F99" s="943"/>
      <c r="G99" s="943"/>
      <c r="H99" s="943"/>
      <c r="I99" s="944"/>
      <c r="J99" s="281"/>
    </row>
    <row r="100" spans="1:21" s="263" customFormat="1" ht="12.75" customHeight="1" thickBot="1">
      <c r="A100" s="945" t="s">
        <v>71</v>
      </c>
      <c r="B100" s="947" t="s">
        <v>744</v>
      </c>
      <c r="C100" s="948"/>
      <c r="D100" s="948"/>
      <c r="E100" s="948"/>
      <c r="F100" s="948"/>
      <c r="G100" s="948"/>
      <c r="H100" s="948"/>
      <c r="I100" s="949"/>
    </row>
    <row r="101" spans="1:21" s="263" customFormat="1" ht="12.75" customHeight="1" thickBot="1">
      <c r="A101" s="946"/>
      <c r="B101" s="509" t="s">
        <v>319</v>
      </c>
      <c r="C101" s="950" t="s">
        <v>67</v>
      </c>
      <c r="D101" s="951"/>
      <c r="E101" s="952" t="s">
        <v>68</v>
      </c>
      <c r="F101" s="953"/>
      <c r="G101" s="952" t="s">
        <v>749</v>
      </c>
      <c r="H101" s="953"/>
      <c r="I101" s="509" t="s">
        <v>776</v>
      </c>
    </row>
    <row r="102" spans="1:21" s="263" customFormat="1" ht="12.75" customHeight="1">
      <c r="A102" s="174">
        <v>1</v>
      </c>
      <c r="B102" s="553" t="s">
        <v>320</v>
      </c>
      <c r="C102" s="978" t="s">
        <v>909</v>
      </c>
      <c r="D102" s="979" t="s">
        <v>909</v>
      </c>
      <c r="E102" s="978" t="s">
        <v>910</v>
      </c>
      <c r="F102" s="979" t="s">
        <v>910</v>
      </c>
      <c r="G102" s="978" t="s">
        <v>911</v>
      </c>
      <c r="H102" s="979" t="s">
        <v>911</v>
      </c>
      <c r="I102" s="510">
        <v>32</v>
      </c>
    </row>
    <row r="103" spans="1:21" s="263" customFormat="1" ht="12.75" customHeight="1">
      <c r="A103" s="175">
        <v>2</v>
      </c>
      <c r="B103" s="554" t="s">
        <v>320</v>
      </c>
      <c r="C103" s="980" t="s">
        <v>909</v>
      </c>
      <c r="D103" s="981" t="s">
        <v>909</v>
      </c>
      <c r="E103" s="980" t="s">
        <v>912</v>
      </c>
      <c r="F103" s="981" t="s">
        <v>912</v>
      </c>
      <c r="G103" s="980" t="s">
        <v>915</v>
      </c>
      <c r="H103" s="981" t="s">
        <v>915</v>
      </c>
      <c r="I103" s="511">
        <v>18</v>
      </c>
    </row>
    <row r="104" spans="1:21" s="263" customFormat="1" ht="12.75" customHeight="1">
      <c r="A104" s="176">
        <v>3</v>
      </c>
      <c r="B104" s="554" t="s">
        <v>320</v>
      </c>
      <c r="C104" s="980" t="s">
        <v>909</v>
      </c>
      <c r="D104" s="981" t="s">
        <v>909</v>
      </c>
      <c r="E104" s="980" t="s">
        <v>912</v>
      </c>
      <c r="F104" s="981" t="s">
        <v>912</v>
      </c>
      <c r="G104" s="980" t="s">
        <v>913</v>
      </c>
      <c r="H104" s="981" t="s">
        <v>913</v>
      </c>
      <c r="I104" s="511">
        <v>16</v>
      </c>
    </row>
    <row r="105" spans="1:21" s="263" customFormat="1" ht="12.75" customHeight="1">
      <c r="A105" s="175">
        <v>4</v>
      </c>
      <c r="B105" s="554" t="s">
        <v>320</v>
      </c>
      <c r="C105" s="980" t="s">
        <v>909</v>
      </c>
      <c r="D105" s="981" t="s">
        <v>909</v>
      </c>
      <c r="E105" s="980" t="s">
        <v>912</v>
      </c>
      <c r="F105" s="981" t="s">
        <v>912</v>
      </c>
      <c r="G105" s="980" t="s">
        <v>917</v>
      </c>
      <c r="H105" s="981" t="s">
        <v>917</v>
      </c>
      <c r="I105" s="511">
        <v>14</v>
      </c>
    </row>
    <row r="106" spans="1:21" s="263" customFormat="1" ht="12.75" customHeight="1">
      <c r="A106" s="176">
        <v>5</v>
      </c>
      <c r="B106" s="554" t="s">
        <v>320</v>
      </c>
      <c r="C106" s="980" t="s">
        <v>909</v>
      </c>
      <c r="D106" s="981" t="s">
        <v>909</v>
      </c>
      <c r="E106" s="980" t="s">
        <v>910</v>
      </c>
      <c r="F106" s="981" t="s">
        <v>910</v>
      </c>
      <c r="G106" s="980" t="s">
        <v>1101</v>
      </c>
      <c r="H106" s="981" t="s">
        <v>1101</v>
      </c>
      <c r="I106" s="511">
        <v>13</v>
      </c>
    </row>
    <row r="107" spans="1:21" s="263" customFormat="1" ht="12.75" customHeight="1">
      <c r="A107" s="175">
        <v>6</v>
      </c>
      <c r="B107" s="554" t="s">
        <v>320</v>
      </c>
      <c r="C107" s="980" t="s">
        <v>909</v>
      </c>
      <c r="D107" s="981" t="s">
        <v>909</v>
      </c>
      <c r="E107" s="980" t="s">
        <v>910</v>
      </c>
      <c r="F107" s="981" t="s">
        <v>910</v>
      </c>
      <c r="G107" s="980" t="s">
        <v>1004</v>
      </c>
      <c r="H107" s="981" t="s">
        <v>1004</v>
      </c>
      <c r="I107" s="511">
        <v>13</v>
      </c>
    </row>
    <row r="108" spans="1:21" s="263" customFormat="1" ht="12.75" customHeight="1">
      <c r="A108" s="176">
        <v>7</v>
      </c>
      <c r="B108" s="554" t="s">
        <v>320</v>
      </c>
      <c r="C108" s="980" t="s">
        <v>909</v>
      </c>
      <c r="D108" s="981" t="s">
        <v>909</v>
      </c>
      <c r="E108" s="980" t="s">
        <v>912</v>
      </c>
      <c r="F108" s="981" t="s">
        <v>912</v>
      </c>
      <c r="G108" s="980" t="s">
        <v>914</v>
      </c>
      <c r="H108" s="981" t="s">
        <v>914</v>
      </c>
      <c r="I108" s="511">
        <v>13</v>
      </c>
    </row>
    <row r="109" spans="1:21" s="263" customFormat="1" ht="12.75" customHeight="1">
      <c r="A109" s="175">
        <v>8</v>
      </c>
      <c r="B109" s="554" t="s">
        <v>320</v>
      </c>
      <c r="C109" s="980" t="s">
        <v>909</v>
      </c>
      <c r="D109" s="981" t="s">
        <v>909</v>
      </c>
      <c r="E109" s="980" t="s">
        <v>910</v>
      </c>
      <c r="F109" s="981" t="s">
        <v>910</v>
      </c>
      <c r="G109" s="980" t="s">
        <v>916</v>
      </c>
      <c r="H109" s="981" t="s">
        <v>916</v>
      </c>
      <c r="I109" s="511">
        <v>12</v>
      </c>
    </row>
    <row r="110" spans="1:21" s="263" customFormat="1" ht="12.75" customHeight="1">
      <c r="A110" s="176">
        <v>9</v>
      </c>
      <c r="B110" s="554" t="s">
        <v>320</v>
      </c>
      <c r="C110" s="980" t="s">
        <v>909</v>
      </c>
      <c r="D110" s="981" t="s">
        <v>909</v>
      </c>
      <c r="E110" s="980" t="s">
        <v>910</v>
      </c>
      <c r="F110" s="981" t="s">
        <v>910</v>
      </c>
      <c r="G110" s="980" t="s">
        <v>1347</v>
      </c>
      <c r="H110" s="981" t="s">
        <v>1347</v>
      </c>
      <c r="I110" s="511">
        <v>11</v>
      </c>
    </row>
    <row r="111" spans="1:21" s="263" customFormat="1" ht="12.75" customHeight="1">
      <c r="A111" s="175">
        <v>10</v>
      </c>
      <c r="B111" s="554" t="s">
        <v>320</v>
      </c>
      <c r="C111" s="980" t="s">
        <v>909</v>
      </c>
      <c r="D111" s="981" t="s">
        <v>909</v>
      </c>
      <c r="E111" s="980" t="s">
        <v>912</v>
      </c>
      <c r="F111" s="981" t="s">
        <v>912</v>
      </c>
      <c r="G111" s="980" t="s">
        <v>918</v>
      </c>
      <c r="H111" s="981" t="s">
        <v>918</v>
      </c>
      <c r="I111" s="511">
        <v>11</v>
      </c>
    </row>
    <row r="112" spans="1:21" s="263" customFormat="1" ht="12.75" customHeight="1">
      <c r="A112" s="176">
        <v>11</v>
      </c>
      <c r="B112" s="554" t="s">
        <v>320</v>
      </c>
      <c r="C112" s="980" t="s">
        <v>909</v>
      </c>
      <c r="D112" s="981" t="s">
        <v>909</v>
      </c>
      <c r="E112" s="980" t="s">
        <v>910</v>
      </c>
      <c r="F112" s="981" t="s">
        <v>910</v>
      </c>
      <c r="G112" s="980" t="s">
        <v>1170</v>
      </c>
      <c r="H112" s="981" t="s">
        <v>1170</v>
      </c>
      <c r="I112" s="511">
        <v>11</v>
      </c>
    </row>
    <row r="113" spans="1:23" s="263" customFormat="1" ht="12.75" customHeight="1">
      <c r="A113" s="175">
        <v>12</v>
      </c>
      <c r="B113" s="554" t="s">
        <v>320</v>
      </c>
      <c r="C113" s="980" t="s">
        <v>909</v>
      </c>
      <c r="D113" s="981" t="s">
        <v>909</v>
      </c>
      <c r="E113" s="980" t="s">
        <v>910</v>
      </c>
      <c r="F113" s="981" t="s">
        <v>910</v>
      </c>
      <c r="G113" s="980" t="s">
        <v>965</v>
      </c>
      <c r="H113" s="981" t="s">
        <v>965</v>
      </c>
      <c r="I113" s="511">
        <v>11</v>
      </c>
    </row>
    <row r="114" spans="1:23" s="263" customFormat="1" ht="12.75" customHeight="1">
      <c r="A114" s="176">
        <v>13</v>
      </c>
      <c r="B114" s="554" t="s">
        <v>320</v>
      </c>
      <c r="C114" s="980" t="s">
        <v>909</v>
      </c>
      <c r="D114" s="981" t="s">
        <v>909</v>
      </c>
      <c r="E114" s="980" t="s">
        <v>912</v>
      </c>
      <c r="F114" s="981" t="s">
        <v>912</v>
      </c>
      <c r="G114" s="980" t="s">
        <v>922</v>
      </c>
      <c r="H114" s="981" t="s">
        <v>922</v>
      </c>
      <c r="I114" s="511">
        <v>11</v>
      </c>
    </row>
    <row r="115" spans="1:23" s="263" customFormat="1" ht="12.75" customHeight="1">
      <c r="A115" s="175">
        <v>14</v>
      </c>
      <c r="B115" s="554" t="s">
        <v>320</v>
      </c>
      <c r="C115" s="980" t="s">
        <v>909</v>
      </c>
      <c r="D115" s="981" t="s">
        <v>909</v>
      </c>
      <c r="E115" s="980" t="s">
        <v>910</v>
      </c>
      <c r="F115" s="981" t="s">
        <v>910</v>
      </c>
      <c r="G115" s="980" t="s">
        <v>1023</v>
      </c>
      <c r="H115" s="981" t="s">
        <v>1023</v>
      </c>
      <c r="I115" s="511">
        <v>11</v>
      </c>
    </row>
    <row r="116" spans="1:23" s="263" customFormat="1" ht="12.75" customHeight="1">
      <c r="A116" s="176">
        <v>15</v>
      </c>
      <c r="B116" s="554" t="s">
        <v>320</v>
      </c>
      <c r="C116" s="980" t="s">
        <v>909</v>
      </c>
      <c r="D116" s="981" t="s">
        <v>909</v>
      </c>
      <c r="E116" s="980" t="s">
        <v>910</v>
      </c>
      <c r="F116" s="981" t="s">
        <v>910</v>
      </c>
      <c r="G116" s="980" t="s">
        <v>1288</v>
      </c>
      <c r="H116" s="981" t="s">
        <v>1288</v>
      </c>
      <c r="I116" s="511">
        <v>10</v>
      </c>
    </row>
    <row r="117" spans="1:23" s="263" customFormat="1" ht="12.75" customHeight="1">
      <c r="A117" s="175">
        <v>16</v>
      </c>
      <c r="B117" s="554" t="s">
        <v>320</v>
      </c>
      <c r="C117" s="980" t="s">
        <v>909</v>
      </c>
      <c r="D117" s="981" t="s">
        <v>909</v>
      </c>
      <c r="E117" s="980" t="s">
        <v>912</v>
      </c>
      <c r="F117" s="981" t="s">
        <v>912</v>
      </c>
      <c r="G117" s="980" t="s">
        <v>1287</v>
      </c>
      <c r="H117" s="981" t="s">
        <v>1287</v>
      </c>
      <c r="I117" s="511">
        <v>10</v>
      </c>
    </row>
    <row r="118" spans="1:23" s="263" customFormat="1" ht="12.75" customHeight="1">
      <c r="A118" s="176">
        <v>17</v>
      </c>
      <c r="B118" s="554" t="s">
        <v>320</v>
      </c>
      <c r="C118" s="980" t="s">
        <v>909</v>
      </c>
      <c r="D118" s="981" t="s">
        <v>909</v>
      </c>
      <c r="E118" s="980" t="s">
        <v>912</v>
      </c>
      <c r="F118" s="981" t="s">
        <v>912</v>
      </c>
      <c r="G118" s="980" t="s">
        <v>1001</v>
      </c>
      <c r="H118" s="981" t="s">
        <v>1001</v>
      </c>
      <c r="I118" s="511">
        <v>9</v>
      </c>
    </row>
    <row r="119" spans="1:23" s="263" customFormat="1" ht="12.75" customHeight="1">
      <c r="A119" s="175">
        <v>18</v>
      </c>
      <c r="B119" s="554" t="s">
        <v>320</v>
      </c>
      <c r="C119" s="980" t="s">
        <v>909</v>
      </c>
      <c r="D119" s="981" t="s">
        <v>909</v>
      </c>
      <c r="E119" s="980" t="s">
        <v>910</v>
      </c>
      <c r="F119" s="981" t="s">
        <v>910</v>
      </c>
      <c r="G119" s="980" t="s">
        <v>1348</v>
      </c>
      <c r="H119" s="981" t="s">
        <v>1348</v>
      </c>
      <c r="I119" s="511">
        <v>8</v>
      </c>
    </row>
    <row r="120" spans="1:23" s="263" customFormat="1" ht="12.75" customHeight="1">
      <c r="A120" s="176">
        <v>19</v>
      </c>
      <c r="B120" s="554" t="s">
        <v>320</v>
      </c>
      <c r="C120" s="980" t="s">
        <v>966</v>
      </c>
      <c r="D120" s="981" t="s">
        <v>966</v>
      </c>
      <c r="E120" s="980" t="s">
        <v>967</v>
      </c>
      <c r="F120" s="981" t="s">
        <v>967</v>
      </c>
      <c r="G120" s="980" t="s">
        <v>1349</v>
      </c>
      <c r="H120" s="981" t="s">
        <v>1349</v>
      </c>
      <c r="I120" s="511">
        <v>7</v>
      </c>
    </row>
    <row r="121" spans="1:23" s="263" customFormat="1" ht="12.75" customHeight="1" thickBot="1">
      <c r="A121" s="177">
        <v>20</v>
      </c>
      <c r="B121" s="555" t="s">
        <v>320</v>
      </c>
      <c r="C121" s="982" t="s">
        <v>966</v>
      </c>
      <c r="D121" s="983" t="s">
        <v>966</v>
      </c>
      <c r="E121" s="982" t="s">
        <v>967</v>
      </c>
      <c r="F121" s="983" t="s">
        <v>967</v>
      </c>
      <c r="G121" s="982" t="s">
        <v>975</v>
      </c>
      <c r="H121" s="983" t="s">
        <v>975</v>
      </c>
      <c r="I121" s="512">
        <v>7</v>
      </c>
      <c r="J121" s="281"/>
    </row>
    <row r="122" spans="1:23" s="263" customFormat="1" ht="12.75" customHeight="1">
      <c r="A122" s="279"/>
      <c r="B122" s="64"/>
      <c r="C122" s="280"/>
      <c r="D122" s="280"/>
      <c r="E122" s="64"/>
      <c r="F122" s="64"/>
      <c r="G122" s="64"/>
      <c r="H122" s="64"/>
      <c r="I122" s="64"/>
      <c r="J122" s="2"/>
      <c r="K122" s="64"/>
      <c r="L122" s="64"/>
      <c r="M122" s="64"/>
      <c r="N122" s="64"/>
      <c r="O122" s="64"/>
      <c r="P122" s="64"/>
      <c r="Q122" s="64"/>
      <c r="R122" s="64"/>
      <c r="S122" s="64"/>
      <c r="T122" s="64"/>
      <c r="U122" s="64"/>
    </row>
    <row r="123" spans="1:23" s="263" customFormat="1" ht="12.75" customHeight="1">
      <c r="A123" s="279"/>
      <c r="B123" s="64"/>
      <c r="C123" s="280"/>
      <c r="D123" s="280"/>
      <c r="E123" s="64"/>
      <c r="F123" s="64"/>
      <c r="G123" s="64"/>
      <c r="H123" s="64"/>
      <c r="I123" s="64"/>
      <c r="J123" s="2"/>
      <c r="K123" s="64"/>
      <c r="L123" s="64"/>
      <c r="M123" s="64"/>
      <c r="N123" s="64"/>
      <c r="O123" s="64"/>
      <c r="P123" s="64"/>
      <c r="Q123" s="64"/>
      <c r="R123" s="64"/>
      <c r="S123" s="64"/>
    </row>
    <row r="124" spans="1:23">
      <c r="E124" s="263"/>
      <c r="F124" s="263"/>
      <c r="G124" s="263"/>
      <c r="H124" s="263"/>
      <c r="I124" s="263"/>
      <c r="J124" s="281"/>
      <c r="K124" s="263"/>
      <c r="L124" s="263"/>
      <c r="M124" s="263"/>
      <c r="Q124" s="263"/>
      <c r="R124" s="263"/>
      <c r="S124" s="263"/>
      <c r="U124" s="263"/>
      <c r="W124"/>
    </row>
    <row r="125" spans="1:23" ht="13" thickBot="1">
      <c r="E125" s="263"/>
      <c r="F125" s="263"/>
      <c r="I125" s="263"/>
      <c r="J125" s="263"/>
      <c r="K125" s="263"/>
      <c r="L125" s="263"/>
      <c r="M125" s="263"/>
      <c r="Q125" s="263"/>
      <c r="R125" s="263"/>
      <c r="S125" s="263"/>
      <c r="U125" s="263"/>
      <c r="W125"/>
    </row>
    <row r="126" spans="1:23" ht="13.5" customHeight="1" thickBot="1">
      <c r="A126" s="926" t="s">
        <v>661</v>
      </c>
      <c r="B126" s="928" t="s">
        <v>21</v>
      </c>
      <c r="C126" s="929"/>
      <c r="D126" s="928" t="s">
        <v>666</v>
      </c>
      <c r="E126" s="929"/>
      <c r="F126" s="263"/>
      <c r="H126" s="930" t="s">
        <v>694</v>
      </c>
      <c r="I126" s="931"/>
      <c r="J126" s="931"/>
      <c r="K126" s="931"/>
      <c r="L126" s="932"/>
      <c r="M126" s="263"/>
      <c r="O126" s="926" t="s">
        <v>695</v>
      </c>
      <c r="P126" s="934" t="s">
        <v>1352</v>
      </c>
      <c r="Q126" s="935"/>
      <c r="R126" s="936"/>
      <c r="T126" s="263"/>
      <c r="W126"/>
    </row>
    <row r="127" spans="1:23" ht="25" thickBot="1">
      <c r="A127" s="927"/>
      <c r="B127" s="277" t="s">
        <v>665</v>
      </c>
      <c r="C127" s="278" t="s">
        <v>841</v>
      </c>
      <c r="D127" s="165" t="s">
        <v>665</v>
      </c>
      <c r="E127" s="278" t="s">
        <v>841</v>
      </c>
      <c r="F127" s="263"/>
      <c r="H127" s="937" t="s">
        <v>1232</v>
      </c>
      <c r="I127" s="938"/>
      <c r="J127" s="181">
        <v>2013</v>
      </c>
      <c r="K127" s="179">
        <v>2014</v>
      </c>
      <c r="L127" s="180" t="s">
        <v>693</v>
      </c>
      <c r="M127" s="263"/>
      <c r="O127" s="933"/>
      <c r="P127" s="184">
        <v>2013</v>
      </c>
      <c r="Q127" s="185">
        <v>2014</v>
      </c>
      <c r="R127" s="186" t="s">
        <v>693</v>
      </c>
      <c r="T127" s="263"/>
      <c r="W127"/>
    </row>
    <row r="128" spans="1:23">
      <c r="A128" s="167" t="s">
        <v>340</v>
      </c>
      <c r="B128" s="170">
        <v>17836</v>
      </c>
      <c r="C128" s="137">
        <v>1808182.6</v>
      </c>
      <c r="D128" s="435">
        <v>118</v>
      </c>
      <c r="E128" s="166">
        <v>22943.356951000002</v>
      </c>
      <c r="F128" s="263"/>
      <c r="H128" s="922" t="s">
        <v>691</v>
      </c>
      <c r="I128" s="923"/>
      <c r="J128" s="194">
        <v>384775000</v>
      </c>
      <c r="K128" s="187">
        <v>333406000</v>
      </c>
      <c r="L128" s="190">
        <f>(K128-J128)/J128</f>
        <v>-0.13350399584172568</v>
      </c>
      <c r="M128" s="263"/>
      <c r="O128" s="189" t="s">
        <v>697</v>
      </c>
      <c r="P128" s="689">
        <v>3242816</v>
      </c>
      <c r="Q128" s="204">
        <v>2489374</v>
      </c>
      <c r="R128" s="242">
        <f>(Q128-P128)/P128</f>
        <v>-0.23234189050504253</v>
      </c>
      <c r="T128" s="263"/>
      <c r="W128"/>
    </row>
    <row r="129" spans="1:38" ht="13" thickBot="1">
      <c r="A129" s="168" t="s">
        <v>321</v>
      </c>
      <c r="B129" s="171">
        <v>6511</v>
      </c>
      <c r="C129" s="164">
        <v>991469.65</v>
      </c>
      <c r="D129" s="436">
        <v>27</v>
      </c>
      <c r="E129" s="161">
        <v>103.99745800000001</v>
      </c>
      <c r="F129" s="149"/>
      <c r="H129" s="984" t="s">
        <v>692</v>
      </c>
      <c r="I129" s="985"/>
      <c r="J129" s="188">
        <v>34822000</v>
      </c>
      <c r="K129" s="262">
        <v>30018000</v>
      </c>
      <c r="L129" s="191">
        <f>(K129-J129)/J129</f>
        <v>-0.13795876170237206</v>
      </c>
      <c r="M129" s="263"/>
      <c r="O129" s="182" t="s">
        <v>696</v>
      </c>
      <c r="P129" s="49">
        <v>294986</v>
      </c>
      <c r="Q129" s="49">
        <v>241181</v>
      </c>
      <c r="R129" s="243">
        <f>(Q129-P129)/P129</f>
        <v>-0.18239848670784375</v>
      </c>
      <c r="T129" s="263"/>
      <c r="W129"/>
    </row>
    <row r="130" spans="1:38" ht="14" thickTop="1" thickBot="1">
      <c r="A130" s="169" t="s">
        <v>21</v>
      </c>
      <c r="B130" s="172">
        <f>SUM(B128:B129)</f>
        <v>24347</v>
      </c>
      <c r="C130" s="602">
        <f>SUM(C128:C129)</f>
        <v>2799652.25</v>
      </c>
      <c r="D130" s="163">
        <f>SUM(D128:D129)</f>
        <v>145</v>
      </c>
      <c r="E130" s="160">
        <f>SUM(E128:E129)</f>
        <v>23047.354409000003</v>
      </c>
      <c r="F130" s="263"/>
      <c r="I130" s="263"/>
      <c r="J130" s="263"/>
      <c r="K130" s="263"/>
      <c r="L130" s="263"/>
      <c r="M130" s="263"/>
      <c r="O130" s="183" t="s">
        <v>698</v>
      </c>
      <c r="Q130" s="263"/>
      <c r="R130" s="263"/>
      <c r="T130" s="263"/>
      <c r="W130"/>
    </row>
    <row r="131" spans="1:38">
      <c r="O131"/>
      <c r="P131"/>
      <c r="U131" s="263"/>
      <c r="V131" s="149"/>
      <c r="W131" s="104"/>
      <c r="X131" s="263"/>
      <c r="Y131" s="104"/>
      <c r="Z131" s="263"/>
      <c r="AA131" s="263"/>
      <c r="AB131" s="263"/>
      <c r="AC131" s="263"/>
      <c r="AD131" s="263"/>
      <c r="AE131" s="263"/>
      <c r="AF131" s="263"/>
      <c r="AG131" s="263"/>
      <c r="AH131" s="263"/>
      <c r="AI131" s="263"/>
      <c r="AJ131" s="263"/>
      <c r="AK131" s="263"/>
      <c r="AL131" s="263"/>
    </row>
    <row r="132" spans="1:38">
      <c r="B132" s="149"/>
      <c r="C132" s="149"/>
      <c r="D132" s="149"/>
      <c r="E132" s="263"/>
      <c r="F132" s="263"/>
      <c r="G132" s="263"/>
      <c r="H132" s="263"/>
      <c r="I132" s="263"/>
      <c r="J132" s="263"/>
      <c r="K132" s="263"/>
      <c r="L132" s="263"/>
      <c r="M132" s="263"/>
      <c r="Q132" s="263"/>
      <c r="R132" s="263"/>
      <c r="S132" s="263"/>
      <c r="T132" s="263"/>
      <c r="U132" s="263"/>
      <c r="V132" s="263"/>
    </row>
    <row r="133" spans="1:38" s="552" customFormat="1" ht="24">
      <c r="A133" s="549" t="s">
        <v>1079</v>
      </c>
      <c r="B133" s="550">
        <v>41122</v>
      </c>
      <c r="C133" s="550">
        <v>41153</v>
      </c>
      <c r="D133" s="550">
        <v>41183</v>
      </c>
      <c r="E133" s="550">
        <v>41214</v>
      </c>
      <c r="F133" s="550">
        <v>41244</v>
      </c>
      <c r="G133" s="550">
        <v>41275</v>
      </c>
      <c r="H133" s="550">
        <v>41487</v>
      </c>
      <c r="I133" s="550">
        <v>41518</v>
      </c>
      <c r="J133" s="550">
        <v>41548</v>
      </c>
      <c r="K133" s="550">
        <v>41579</v>
      </c>
      <c r="L133" s="550">
        <v>41609</v>
      </c>
      <c r="M133" s="550">
        <v>41640</v>
      </c>
      <c r="N133" s="551" t="s">
        <v>1080</v>
      </c>
      <c r="O133" s="551" t="s">
        <v>1081</v>
      </c>
      <c r="P133" s="551" t="s">
        <v>1082</v>
      </c>
      <c r="Q133" s="551" t="s">
        <v>1083</v>
      </c>
      <c r="R133" s="551" t="s">
        <v>1084</v>
      </c>
      <c r="S133" s="551" t="s">
        <v>1085</v>
      </c>
    </row>
    <row r="134" spans="1:38" s="548" customFormat="1" ht="11">
      <c r="A134" s="546" t="s">
        <v>8</v>
      </c>
      <c r="B134" s="481">
        <v>7275892.8265312053</v>
      </c>
      <c r="C134" s="481">
        <v>7475402.2487751916</v>
      </c>
      <c r="D134" s="481">
        <v>9811267.213820301</v>
      </c>
      <c r="E134" s="481">
        <v>7670547.1074670376</v>
      </c>
      <c r="F134" s="481">
        <v>9890367.614717707</v>
      </c>
      <c r="G134" s="481">
        <v>10713194.876421001</v>
      </c>
      <c r="H134" s="481">
        <v>6891138.4810640002</v>
      </c>
      <c r="I134" s="481">
        <v>6574006.5705159996</v>
      </c>
      <c r="J134" s="481">
        <v>8426066.1477409992</v>
      </c>
      <c r="K134" s="481">
        <v>6897525.7840050003</v>
      </c>
      <c r="L134" s="481">
        <v>8548585.3482569996</v>
      </c>
      <c r="M134" s="481">
        <v>9142961.5528420005</v>
      </c>
      <c r="N134" s="547">
        <f>(H134-B134)/B134</f>
        <v>-5.2880705452974283E-2</v>
      </c>
      <c r="O134" s="547">
        <f t="shared" ref="O134:O142" si="20">(I134-C134)/C134</f>
        <v>-0.12058156180249449</v>
      </c>
      <c r="P134" s="547">
        <f t="shared" ref="P134:P142" si="21">(J134-D134)/D134</f>
        <v>-0.14118472526444764</v>
      </c>
      <c r="Q134" s="547">
        <f t="shared" ref="Q134:Q142" si="22">(K134-E134)/E134</f>
        <v>-0.10077786012284903</v>
      </c>
      <c r="R134" s="547">
        <f t="shared" ref="R134:R141" si="23">(L134-F134)/F134</f>
        <v>-0.13566556054640694</v>
      </c>
      <c r="S134" s="547">
        <f>(M134-G134)/G134</f>
        <v>-0.14657003272058225</v>
      </c>
    </row>
    <row r="135" spans="1:38" s="548" customFormat="1" ht="11">
      <c r="A135" s="546" t="s">
        <v>1034</v>
      </c>
      <c r="B135" s="481">
        <v>1869127.6121840198</v>
      </c>
      <c r="C135" s="481">
        <v>1981625.4905913949</v>
      </c>
      <c r="D135" s="481">
        <v>2095235.228644155</v>
      </c>
      <c r="E135" s="481">
        <v>2144609.2794329002</v>
      </c>
      <c r="F135" s="481">
        <v>2511730.05727538</v>
      </c>
      <c r="G135" s="481">
        <v>2373571.2208199999</v>
      </c>
      <c r="H135" s="481">
        <v>2601123.1342560002</v>
      </c>
      <c r="I135" s="481">
        <v>3132086.3907260001</v>
      </c>
      <c r="J135" s="481">
        <v>3233466.153707</v>
      </c>
      <c r="K135" s="481">
        <v>3250268.6583759999</v>
      </c>
      <c r="L135" s="481">
        <v>3773584.246909</v>
      </c>
      <c r="M135" s="481">
        <v>3193149.491744</v>
      </c>
      <c r="N135" s="547">
        <f t="shared" ref="N135:N142" si="24">(H135-B135)/B135</f>
        <v>0.39162415519433985</v>
      </c>
      <c r="O135" s="547">
        <f t="shared" si="20"/>
        <v>0.58056424162734321</v>
      </c>
      <c r="P135" s="547">
        <f t="shared" si="21"/>
        <v>0.54324732111315455</v>
      </c>
      <c r="Q135" s="547">
        <f t="shared" si="22"/>
        <v>0.51555282798900759</v>
      </c>
      <c r="R135" s="547">
        <f t="shared" si="23"/>
        <v>0.5023844763805656</v>
      </c>
      <c r="S135" s="547">
        <f t="shared" ref="S135:S137" si="25">(M135-G135)/G135</f>
        <v>0.34529331318773726</v>
      </c>
    </row>
    <row r="136" spans="1:38" s="548" customFormat="1" ht="11">
      <c r="A136" s="546" t="s">
        <v>1086</v>
      </c>
      <c r="B136" s="481">
        <v>1079414.0859330001</v>
      </c>
      <c r="C136" s="481">
        <v>1040915.282595</v>
      </c>
      <c r="D136" s="481">
        <v>1100028.5210230001</v>
      </c>
      <c r="E136" s="481">
        <v>1122574.085737</v>
      </c>
      <c r="F136" s="481">
        <v>1411771.02733</v>
      </c>
      <c r="G136" s="481">
        <v>1340053.006081</v>
      </c>
      <c r="H136" s="481">
        <v>1097146.847727</v>
      </c>
      <c r="I136" s="481">
        <v>1039426.530564</v>
      </c>
      <c r="J136" s="481">
        <v>1140295.3914689999</v>
      </c>
      <c r="K136" s="481">
        <v>1115379.9774150001</v>
      </c>
      <c r="L136" s="481">
        <v>1316623.263729</v>
      </c>
      <c r="M136" s="481">
        <v>1155425.2411770001</v>
      </c>
      <c r="N136" s="547">
        <f t="shared" si="24"/>
        <v>1.6428136361285744E-2</v>
      </c>
      <c r="O136" s="547">
        <f t="shared" si="20"/>
        <v>-1.4302336183291743E-3</v>
      </c>
      <c r="P136" s="547">
        <f t="shared" si="21"/>
        <v>3.6605296750444757E-2</v>
      </c>
      <c r="Q136" s="547">
        <f t="shared" si="22"/>
        <v>-6.4085822160029407E-3</v>
      </c>
      <c r="R136" s="547">
        <f t="shared" si="23"/>
        <v>-6.7396030772034862E-2</v>
      </c>
      <c r="S136" s="547">
        <f t="shared" si="25"/>
        <v>-0.13777646411461428</v>
      </c>
    </row>
    <row r="137" spans="1:38" s="548" customFormat="1" ht="11">
      <c r="A137" s="546" t="s">
        <v>1056</v>
      </c>
      <c r="B137" s="481">
        <v>735478.54520599986</v>
      </c>
      <c r="C137" s="481">
        <v>833524.22373700002</v>
      </c>
      <c r="D137" s="481">
        <v>970171.01541199978</v>
      </c>
      <c r="E137" s="481">
        <v>893783.83157700021</v>
      </c>
      <c r="F137" s="481">
        <v>995855.63833900006</v>
      </c>
      <c r="G137" s="481">
        <v>612486.68383300002</v>
      </c>
      <c r="H137" s="481">
        <v>824645.41237999999</v>
      </c>
      <c r="I137" s="481">
        <v>1140086.763418</v>
      </c>
      <c r="J137" s="481">
        <v>1277872.9551540001</v>
      </c>
      <c r="K137" s="481">
        <v>1472315.5741330001</v>
      </c>
      <c r="L137" s="481">
        <v>2016650.748284</v>
      </c>
      <c r="M137" s="481">
        <v>1204452.1694440001</v>
      </c>
      <c r="N137" s="547">
        <f t="shared" si="24"/>
        <v>0.12123653063057797</v>
      </c>
      <c r="O137" s="547">
        <f t="shared" si="20"/>
        <v>0.36779079833644873</v>
      </c>
      <c r="P137" s="547">
        <f t="shared" si="21"/>
        <v>0.31716257737439146</v>
      </c>
      <c r="Q137" s="547">
        <f t="shared" si="22"/>
        <v>0.64728374145595502</v>
      </c>
      <c r="R137" s="547">
        <f t="shared" si="23"/>
        <v>1.0250432599323298</v>
      </c>
      <c r="S137" s="547">
        <f t="shared" si="25"/>
        <v>0.96649527448731409</v>
      </c>
    </row>
    <row r="138" spans="1:38" s="548" customFormat="1" ht="11">
      <c r="A138" s="546" t="s">
        <v>313</v>
      </c>
      <c r="B138" s="481">
        <v>158460.07672400001</v>
      </c>
      <c r="C138" s="481">
        <v>199623.10089</v>
      </c>
      <c r="D138" s="481">
        <v>216245.39797399999</v>
      </c>
      <c r="E138" s="481">
        <v>212264.47356299998</v>
      </c>
      <c r="F138" s="481">
        <v>268290.79989799997</v>
      </c>
      <c r="G138" s="481">
        <v>295816.12430700002</v>
      </c>
      <c r="H138" s="481">
        <v>499299.12220300001</v>
      </c>
      <c r="I138" s="481">
        <v>515217.14907500002</v>
      </c>
      <c r="J138" s="481">
        <v>524537.57747500006</v>
      </c>
      <c r="K138" s="481">
        <v>544739.53329699999</v>
      </c>
      <c r="L138" s="481">
        <v>589455.97304800001</v>
      </c>
      <c r="M138" s="481">
        <v>585826.58188299998</v>
      </c>
      <c r="N138" s="547">
        <f t="shared" si="24"/>
        <v>2.1509458566820019</v>
      </c>
      <c r="O138" s="547">
        <f t="shared" si="20"/>
        <v>1.5809495332852508</v>
      </c>
      <c r="P138" s="547">
        <f t="shared" si="21"/>
        <v>1.4256589152388215</v>
      </c>
      <c r="Q138" s="547">
        <f t="shared" si="22"/>
        <v>1.5663245674284803</v>
      </c>
      <c r="R138" s="547">
        <f t="shared" si="23"/>
        <v>1.1970785926021394</v>
      </c>
      <c r="S138" s="547">
        <f>(M138-G138)/G138</f>
        <v>0.98037406938313176</v>
      </c>
    </row>
    <row r="139" spans="1:38" s="548" customFormat="1" ht="11">
      <c r="A139" s="546" t="s">
        <v>1038</v>
      </c>
      <c r="B139" s="481">
        <v>159536.91</v>
      </c>
      <c r="C139" s="481">
        <v>151059.89000000001</v>
      </c>
      <c r="D139" s="481">
        <v>162643.64000000001</v>
      </c>
      <c r="E139" s="481">
        <v>202671.29311</v>
      </c>
      <c r="F139" s="481">
        <v>266181.331167</v>
      </c>
      <c r="G139" s="481">
        <v>255316.794395</v>
      </c>
      <c r="H139" s="481">
        <v>417425.82367200003</v>
      </c>
      <c r="I139" s="481">
        <v>437235.08830599999</v>
      </c>
      <c r="J139" s="481">
        <v>491477.98757400003</v>
      </c>
      <c r="K139" s="481">
        <v>511159.72783400002</v>
      </c>
      <c r="L139" s="481">
        <v>608176.10104099999</v>
      </c>
      <c r="M139" s="481">
        <v>614058.129571</v>
      </c>
      <c r="N139" s="547">
        <f t="shared" si="24"/>
        <v>1.6164843212269815</v>
      </c>
      <c r="O139" s="547">
        <f t="shared" si="20"/>
        <v>1.8944486078071416</v>
      </c>
      <c r="P139" s="547">
        <f t="shared" si="21"/>
        <v>2.0218088304836264</v>
      </c>
      <c r="Q139" s="547">
        <f t="shared" si="22"/>
        <v>1.5221121353213438</v>
      </c>
      <c r="R139" s="547">
        <f t="shared" si="23"/>
        <v>1.2848187676221188</v>
      </c>
      <c r="S139" s="547">
        <f>(M139-G139)/G139</f>
        <v>1.4050831870503284</v>
      </c>
    </row>
    <row r="140" spans="1:38" s="548" customFormat="1" ht="11">
      <c r="A140" s="546" t="s">
        <v>1058</v>
      </c>
      <c r="B140" s="481">
        <v>181808.71584095</v>
      </c>
      <c r="C140" s="481">
        <v>196464.94199565001</v>
      </c>
      <c r="D140" s="481">
        <v>203672.77637510002</v>
      </c>
      <c r="E140" s="481">
        <v>201339.98128599999</v>
      </c>
      <c r="F140" s="481">
        <v>262432.68446700001</v>
      </c>
      <c r="G140" s="481">
        <v>250555.75505000001</v>
      </c>
      <c r="H140" s="481">
        <v>329491.16599100002</v>
      </c>
      <c r="I140" s="481">
        <v>351147.53929599997</v>
      </c>
      <c r="J140" s="481">
        <v>373551.11549400003</v>
      </c>
      <c r="K140" s="481">
        <v>415433.94730699999</v>
      </c>
      <c r="L140" s="481">
        <v>484645.87532799999</v>
      </c>
      <c r="M140" s="481"/>
      <c r="N140" s="547">
        <f t="shared" si="24"/>
        <v>0.81229576627803513</v>
      </c>
      <c r="O140" s="547">
        <f t="shared" si="20"/>
        <v>0.78732925950613031</v>
      </c>
      <c r="P140" s="547">
        <f t="shared" si="21"/>
        <v>0.83407484368965701</v>
      </c>
      <c r="Q140" s="547">
        <f t="shared" si="22"/>
        <v>1.0633455146540576</v>
      </c>
      <c r="R140" s="547">
        <f t="shared" si="23"/>
        <v>0.84674358040544495</v>
      </c>
      <c r="S140" s="547"/>
    </row>
    <row r="141" spans="1:38" s="548" customFormat="1" ht="11">
      <c r="A141" s="546" t="s">
        <v>1036</v>
      </c>
      <c r="B141" s="481">
        <v>302603.95281249401</v>
      </c>
      <c r="C141" s="481">
        <v>293897.48925659899</v>
      </c>
      <c r="D141" s="481">
        <v>282919.112693</v>
      </c>
      <c r="E141" s="481">
        <v>278467.07698299998</v>
      </c>
      <c r="F141" s="481">
        <v>301493.26179199998</v>
      </c>
      <c r="G141" s="481">
        <v>273881.279461</v>
      </c>
      <c r="H141" s="481">
        <v>266474.75897999998</v>
      </c>
      <c r="I141" s="481">
        <v>269952.46395300003</v>
      </c>
      <c r="J141" s="481">
        <v>278760.96075000003</v>
      </c>
      <c r="K141" s="481">
        <v>290040.10369000002</v>
      </c>
      <c r="L141" s="481">
        <v>329429.85453200003</v>
      </c>
      <c r="M141" s="481"/>
      <c r="N141" s="547">
        <f t="shared" si="24"/>
        <v>-0.11939432217159826</v>
      </c>
      <c r="O141" s="547">
        <f t="shared" si="20"/>
        <v>-8.1474072351440857E-2</v>
      </c>
      <c r="P141" s="547">
        <f t="shared" si="21"/>
        <v>-1.469731720639196E-2</v>
      </c>
      <c r="Q141" s="547">
        <f t="shared" si="22"/>
        <v>4.1559766534650551E-2</v>
      </c>
      <c r="R141" s="547">
        <f t="shared" si="23"/>
        <v>9.2660753258470799E-2</v>
      </c>
      <c r="S141" s="547"/>
    </row>
    <row r="142" spans="1:38" s="548" customFormat="1" ht="11">
      <c r="A142" s="546" t="s">
        <v>1059</v>
      </c>
      <c r="B142" s="481">
        <v>139207.102255203</v>
      </c>
      <c r="C142" s="481">
        <v>142590.32777471899</v>
      </c>
      <c r="D142" s="481">
        <v>135156.06885899999</v>
      </c>
      <c r="E142" s="481">
        <v>156704.34242500001</v>
      </c>
      <c r="F142" s="481">
        <v>201373.83379100001</v>
      </c>
      <c r="G142" s="481">
        <v>230528.91876999999</v>
      </c>
      <c r="H142" s="481">
        <v>220537.00500800001</v>
      </c>
      <c r="I142" s="481">
        <v>204554.12848799999</v>
      </c>
      <c r="J142" s="481">
        <v>199213.58324400001</v>
      </c>
      <c r="K142" s="481">
        <v>209977.54060899999</v>
      </c>
      <c r="L142" s="481"/>
      <c r="M142" s="481"/>
      <c r="N142" s="547">
        <f t="shared" si="24"/>
        <v>0.58423673386791741</v>
      </c>
      <c r="O142" s="547">
        <f t="shared" si="20"/>
        <v>0.43455823182606551</v>
      </c>
      <c r="P142" s="547">
        <f t="shared" si="21"/>
        <v>0.47395218672590483</v>
      </c>
      <c r="Q142" s="547">
        <f t="shared" si="22"/>
        <v>0.33995993575925931</v>
      </c>
      <c r="R142" s="547"/>
      <c r="S142" s="547"/>
    </row>
    <row r="143" spans="1:38">
      <c r="A143" s="544" t="s">
        <v>1061</v>
      </c>
      <c r="M143" s="54"/>
      <c r="N143" s="54"/>
      <c r="O143" s="54"/>
      <c r="P143" s="54"/>
      <c r="Q143" s="54"/>
      <c r="R143" s="54"/>
      <c r="S143" s="54"/>
    </row>
  </sheetData>
  <mergeCells count="342">
    <mergeCell ref="P60:Q60"/>
    <mergeCell ref="P61:Q61"/>
    <mergeCell ref="N84:O84"/>
    <mergeCell ref="N85:O85"/>
    <mergeCell ref="N86:O86"/>
    <mergeCell ref="N87:O87"/>
    <mergeCell ref="L66:M66"/>
    <mergeCell ref="L71:M71"/>
    <mergeCell ref="N81:O81"/>
    <mergeCell ref="N82:O82"/>
    <mergeCell ref="N83:O83"/>
    <mergeCell ref="N76:O76"/>
    <mergeCell ref="P76:Q76"/>
    <mergeCell ref="N77:O77"/>
    <mergeCell ref="N78:O78"/>
    <mergeCell ref="P77:Q77"/>
    <mergeCell ref="P78:Q78"/>
    <mergeCell ref="P79:Q79"/>
    <mergeCell ref="P63:Q63"/>
    <mergeCell ref="P64:Q64"/>
    <mergeCell ref="P65:Q65"/>
    <mergeCell ref="P66:Q66"/>
    <mergeCell ref="P67:Q67"/>
    <mergeCell ref="P68:Q68"/>
    <mergeCell ref="N1:P1"/>
    <mergeCell ref="N21:P21"/>
    <mergeCell ref="R1:X1"/>
    <mergeCell ref="L85:M85"/>
    <mergeCell ref="L86:M86"/>
    <mergeCell ref="L87:M87"/>
    <mergeCell ref="A1:M1"/>
    <mergeCell ref="A21:M21"/>
    <mergeCell ref="G85:H85"/>
    <mergeCell ref="C82:D82"/>
    <mergeCell ref="E82:F82"/>
    <mergeCell ref="G82:H82"/>
    <mergeCell ref="C83:D83"/>
    <mergeCell ref="E83:F83"/>
    <mergeCell ref="G83:H83"/>
    <mergeCell ref="C81:D81"/>
    <mergeCell ref="E60:F60"/>
    <mergeCell ref="C80:D80"/>
    <mergeCell ref="E80:F80"/>
    <mergeCell ref="G80:H80"/>
    <mergeCell ref="E71:F71"/>
    <mergeCell ref="E81:F81"/>
    <mergeCell ref="G81:H81"/>
    <mergeCell ref="A13:C13"/>
    <mergeCell ref="L59:M59"/>
    <mergeCell ref="P69:Q69"/>
    <mergeCell ref="P70:Q70"/>
    <mergeCell ref="P80:Q80"/>
    <mergeCell ref="L70:M70"/>
    <mergeCell ref="L69:M69"/>
    <mergeCell ref="L61:M61"/>
    <mergeCell ref="L60:M60"/>
    <mergeCell ref="L62:M62"/>
    <mergeCell ref="L63:M63"/>
    <mergeCell ref="P62:Q62"/>
    <mergeCell ref="N79:O79"/>
    <mergeCell ref="K75:R75"/>
    <mergeCell ref="A74:R74"/>
    <mergeCell ref="C78:D78"/>
    <mergeCell ref="E78:F78"/>
    <mergeCell ref="G78:H78"/>
    <mergeCell ref="C79:D79"/>
    <mergeCell ref="E79:F79"/>
    <mergeCell ref="L68:M68"/>
    <mergeCell ref="G67:H67"/>
    <mergeCell ref="L67:M67"/>
    <mergeCell ref="N80:O80"/>
    <mergeCell ref="E67:F67"/>
    <mergeCell ref="C92:D92"/>
    <mergeCell ref="E92:F92"/>
    <mergeCell ref="G92:H92"/>
    <mergeCell ref="C93:D93"/>
    <mergeCell ref="E93:F93"/>
    <mergeCell ref="G93:H93"/>
    <mergeCell ref="L91:M91"/>
    <mergeCell ref="G84:H84"/>
    <mergeCell ref="C85:D85"/>
    <mergeCell ref="E85:F85"/>
    <mergeCell ref="C88:D88"/>
    <mergeCell ref="E88:F88"/>
    <mergeCell ref="L92:M92"/>
    <mergeCell ref="G90:H90"/>
    <mergeCell ref="C91:D91"/>
    <mergeCell ref="E91:F91"/>
    <mergeCell ref="G91:H91"/>
    <mergeCell ref="G88:H88"/>
    <mergeCell ref="C89:D89"/>
    <mergeCell ref="E89:F89"/>
    <mergeCell ref="G89:H89"/>
    <mergeCell ref="C86:D86"/>
    <mergeCell ref="E86:F86"/>
    <mergeCell ref="G86:H86"/>
    <mergeCell ref="C87:D87"/>
    <mergeCell ref="E87:F87"/>
    <mergeCell ref="G87:H87"/>
    <mergeCell ref="P91:Q91"/>
    <mergeCell ref="L89:M89"/>
    <mergeCell ref="N91:O91"/>
    <mergeCell ref="N90:O90"/>
    <mergeCell ref="P84:Q84"/>
    <mergeCell ref="P85:Q85"/>
    <mergeCell ref="P92:Q92"/>
    <mergeCell ref="P93:Q93"/>
    <mergeCell ref="P94:Q94"/>
    <mergeCell ref="P86:Q86"/>
    <mergeCell ref="P87:Q87"/>
    <mergeCell ref="P88:Q88"/>
    <mergeCell ref="P89:Q89"/>
    <mergeCell ref="L93:M93"/>
    <mergeCell ref="N89:O89"/>
    <mergeCell ref="N88:O88"/>
    <mergeCell ref="L88:M88"/>
    <mergeCell ref="L90:M90"/>
    <mergeCell ref="P90:Q90"/>
    <mergeCell ref="P71:Q71"/>
    <mergeCell ref="L77:M77"/>
    <mergeCell ref="L78:M78"/>
    <mergeCell ref="L79:M79"/>
    <mergeCell ref="L80:M80"/>
    <mergeCell ref="L81:M81"/>
    <mergeCell ref="L82:M82"/>
    <mergeCell ref="L83:M83"/>
    <mergeCell ref="L84:M84"/>
    <mergeCell ref="L76:M76"/>
    <mergeCell ref="P81:Q81"/>
    <mergeCell ref="P83:Q83"/>
    <mergeCell ref="G109:H109"/>
    <mergeCell ref="C106:D106"/>
    <mergeCell ref="E106:F106"/>
    <mergeCell ref="P95:Q95"/>
    <mergeCell ref="P96:Q96"/>
    <mergeCell ref="N55:O55"/>
    <mergeCell ref="N57:O57"/>
    <mergeCell ref="N58:O58"/>
    <mergeCell ref="N59:O59"/>
    <mergeCell ref="N60:O60"/>
    <mergeCell ref="N61:O61"/>
    <mergeCell ref="N62:O62"/>
    <mergeCell ref="N63:O63"/>
    <mergeCell ref="N64:O64"/>
    <mergeCell ref="N65:O65"/>
    <mergeCell ref="N66:O66"/>
    <mergeCell ref="N67:O67"/>
    <mergeCell ref="N68:O68"/>
    <mergeCell ref="N69:O69"/>
    <mergeCell ref="N70:O70"/>
    <mergeCell ref="N71:O71"/>
    <mergeCell ref="P59:Q59"/>
    <mergeCell ref="P82:Q82"/>
    <mergeCell ref="L94:M94"/>
    <mergeCell ref="N95:O95"/>
    <mergeCell ref="N96:O96"/>
    <mergeCell ref="N92:O92"/>
    <mergeCell ref="N93:O93"/>
    <mergeCell ref="L95:M95"/>
    <mergeCell ref="L96:M96"/>
    <mergeCell ref="C114:D114"/>
    <mergeCell ref="E114:F114"/>
    <mergeCell ref="G114:H114"/>
    <mergeCell ref="C108:D108"/>
    <mergeCell ref="E108:F108"/>
    <mergeCell ref="G108:H108"/>
    <mergeCell ref="C109:D109"/>
    <mergeCell ref="G106:H106"/>
    <mergeCell ref="C107:D107"/>
    <mergeCell ref="E107:F107"/>
    <mergeCell ref="G107:H107"/>
    <mergeCell ref="C104:D104"/>
    <mergeCell ref="E104:F104"/>
    <mergeCell ref="C105:D105"/>
    <mergeCell ref="E105:F105"/>
    <mergeCell ref="G105:H105"/>
    <mergeCell ref="G104:H104"/>
    <mergeCell ref="N94:O94"/>
    <mergeCell ref="G115:H115"/>
    <mergeCell ref="C112:D112"/>
    <mergeCell ref="E110:F110"/>
    <mergeCell ref="G110:H110"/>
    <mergeCell ref="C111:D111"/>
    <mergeCell ref="E112:F112"/>
    <mergeCell ref="G112:H112"/>
    <mergeCell ref="C113:D113"/>
    <mergeCell ref="E113:F113"/>
    <mergeCell ref="G113:H113"/>
    <mergeCell ref="C110:D110"/>
    <mergeCell ref="E111:F111"/>
    <mergeCell ref="G111:H111"/>
    <mergeCell ref="P126:R126"/>
    <mergeCell ref="H127:I127"/>
    <mergeCell ref="H129:I129"/>
    <mergeCell ref="H128:I128"/>
    <mergeCell ref="C116:D116"/>
    <mergeCell ref="E116:F116"/>
    <mergeCell ref="G116:H116"/>
    <mergeCell ref="C117:D117"/>
    <mergeCell ref="E117:F117"/>
    <mergeCell ref="G117:H117"/>
    <mergeCell ref="C121:D121"/>
    <mergeCell ref="E121:F121"/>
    <mergeCell ref="G121:H121"/>
    <mergeCell ref="C120:D120"/>
    <mergeCell ref="E120:F120"/>
    <mergeCell ref="G120:H120"/>
    <mergeCell ref="O126:O127"/>
    <mergeCell ref="C118:D118"/>
    <mergeCell ref="E118:F118"/>
    <mergeCell ref="G118:H118"/>
    <mergeCell ref="C119:D119"/>
    <mergeCell ref="E119:F119"/>
    <mergeCell ref="G119:H119"/>
    <mergeCell ref="H126:L126"/>
    <mergeCell ref="A126:A127"/>
    <mergeCell ref="C71:D71"/>
    <mergeCell ref="C67:D67"/>
    <mergeCell ref="C102:D102"/>
    <mergeCell ref="E102:F102"/>
    <mergeCell ref="C103:D103"/>
    <mergeCell ref="E103:F103"/>
    <mergeCell ref="C96:D96"/>
    <mergeCell ref="E96:F96"/>
    <mergeCell ref="C115:D115"/>
    <mergeCell ref="E115:F115"/>
    <mergeCell ref="E109:F109"/>
    <mergeCell ref="C84:D84"/>
    <mergeCell ref="E84:F84"/>
    <mergeCell ref="C90:D90"/>
    <mergeCell ref="E90:F90"/>
    <mergeCell ref="A75:A76"/>
    <mergeCell ref="B75:I75"/>
    <mergeCell ref="C76:D76"/>
    <mergeCell ref="E76:F76"/>
    <mergeCell ref="G76:H76"/>
    <mergeCell ref="C77:D77"/>
    <mergeCell ref="E77:F77"/>
    <mergeCell ref="G77:H77"/>
    <mergeCell ref="G96:H96"/>
    <mergeCell ref="C94:D94"/>
    <mergeCell ref="E94:F94"/>
    <mergeCell ref="G94:H94"/>
    <mergeCell ref="C95:D95"/>
    <mergeCell ref="E95:F95"/>
    <mergeCell ref="G95:H95"/>
    <mergeCell ref="B100:I100"/>
    <mergeCell ref="C101:D101"/>
    <mergeCell ref="C59:D59"/>
    <mergeCell ref="B126:C126"/>
    <mergeCell ref="D126:E126"/>
    <mergeCell ref="G59:H59"/>
    <mergeCell ref="G60:H60"/>
    <mergeCell ref="G61:H61"/>
    <mergeCell ref="E61:F61"/>
    <mergeCell ref="G63:H63"/>
    <mergeCell ref="C65:D65"/>
    <mergeCell ref="C64:D64"/>
    <mergeCell ref="C63:D63"/>
    <mergeCell ref="E65:F65"/>
    <mergeCell ref="C70:D70"/>
    <mergeCell ref="E70:F70"/>
    <mergeCell ref="C62:D62"/>
    <mergeCell ref="C68:D68"/>
    <mergeCell ref="E68:F68"/>
    <mergeCell ref="G79:H79"/>
    <mergeCell ref="E101:F101"/>
    <mergeCell ref="G101:H101"/>
    <mergeCell ref="A99:I99"/>
    <mergeCell ref="A100:A101"/>
    <mergeCell ref="G103:H103"/>
    <mergeCell ref="G102:H102"/>
    <mergeCell ref="E55:F55"/>
    <mergeCell ref="C55:D55"/>
    <mergeCell ref="C58:D58"/>
    <mergeCell ref="C53:D53"/>
    <mergeCell ref="G55:H55"/>
    <mergeCell ref="G56:H56"/>
    <mergeCell ref="G58:H58"/>
    <mergeCell ref="C54:D54"/>
    <mergeCell ref="E58:F58"/>
    <mergeCell ref="E57:F57"/>
    <mergeCell ref="G53:H53"/>
    <mergeCell ref="G57:H57"/>
    <mergeCell ref="C57:D57"/>
    <mergeCell ref="C56:D56"/>
    <mergeCell ref="E53:F53"/>
    <mergeCell ref="E54:F54"/>
    <mergeCell ref="C61:D61"/>
    <mergeCell ref="C60:D60"/>
    <mergeCell ref="G64:H64"/>
    <mergeCell ref="G71:H71"/>
    <mergeCell ref="G66:H66"/>
    <mergeCell ref="G65:H65"/>
    <mergeCell ref="N56:O56"/>
    <mergeCell ref="N54:O54"/>
    <mergeCell ref="E59:F59"/>
    <mergeCell ref="L64:M64"/>
    <mergeCell ref="L65:M65"/>
    <mergeCell ref="G68:H68"/>
    <mergeCell ref="E63:F63"/>
    <mergeCell ref="E56:F56"/>
    <mergeCell ref="G70:H70"/>
    <mergeCell ref="C69:D69"/>
    <mergeCell ref="E69:F69"/>
    <mergeCell ref="G69:H69"/>
    <mergeCell ref="E66:F66"/>
    <mergeCell ref="E62:F62"/>
    <mergeCell ref="G62:H62"/>
    <mergeCell ref="E64:F64"/>
    <mergeCell ref="C66:D66"/>
    <mergeCell ref="G54:H54"/>
    <mergeCell ref="P58:Q58"/>
    <mergeCell ref="P57:Q57"/>
    <mergeCell ref="P56:Q56"/>
    <mergeCell ref="P53:Q53"/>
    <mergeCell ref="N52:O52"/>
    <mergeCell ref="N53:O53"/>
    <mergeCell ref="P55:Q55"/>
    <mergeCell ref="P54:Q54"/>
    <mergeCell ref="L57:M57"/>
    <mergeCell ref="L54:M54"/>
    <mergeCell ref="L52:M52"/>
    <mergeCell ref="L53:M53"/>
    <mergeCell ref="L58:M58"/>
    <mergeCell ref="L56:M56"/>
    <mergeCell ref="L55:M55"/>
    <mergeCell ref="A34:H34"/>
    <mergeCell ref="E51:F51"/>
    <mergeCell ref="A50:A51"/>
    <mergeCell ref="B50:I50"/>
    <mergeCell ref="G51:H51"/>
    <mergeCell ref="L51:M51"/>
    <mergeCell ref="N51:O51"/>
    <mergeCell ref="P51:Q51"/>
    <mergeCell ref="P52:Q52"/>
    <mergeCell ref="C51:D51"/>
    <mergeCell ref="K50:R50"/>
    <mergeCell ref="A49:R49"/>
    <mergeCell ref="C52:D52"/>
    <mergeCell ref="G52:H52"/>
    <mergeCell ref="E52:F52"/>
  </mergeCells>
  <pageMargins left="0.25" right="0.25" top="0" bottom="0" header="0.3" footer="0.3"/>
  <pageSetup scale="25" orientation="landscape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5"/>
    <pageSetUpPr fitToPage="1"/>
  </sheetPr>
  <dimension ref="A1:S133"/>
  <sheetViews>
    <sheetView workbookViewId="0">
      <pane ySplit="2" topLeftCell="A78" activePane="bottomLeft" state="frozen"/>
      <selection pane="bottomLeft" activeCell="I129" sqref="I129"/>
    </sheetView>
  </sheetViews>
  <sheetFormatPr baseColWidth="10" defaultColWidth="8.83203125" defaultRowHeight="12" x14ac:dyDescent="0"/>
  <cols>
    <col min="1" max="1" width="15.6640625" bestFit="1" customWidth="1"/>
    <col min="2" max="2" width="12" bestFit="1" customWidth="1"/>
    <col min="3" max="5" width="11" customWidth="1"/>
    <col min="6" max="6" width="11.5" customWidth="1"/>
    <col min="7" max="7" width="12.33203125" customWidth="1"/>
    <col min="8" max="9" width="12.1640625" customWidth="1"/>
    <col min="10" max="10" width="11.83203125" bestFit="1" customWidth="1"/>
    <col min="11" max="11" width="8" customWidth="1"/>
    <col min="12" max="13" width="12.33203125" hidden="1" customWidth="1"/>
    <col min="14" max="14" width="11.5" hidden="1" customWidth="1"/>
    <col min="15" max="15" width="9.5" hidden="1" customWidth="1"/>
  </cols>
  <sheetData>
    <row r="1" spans="1:19" ht="14" thickBot="1">
      <c r="A1" s="942" t="s">
        <v>971</v>
      </c>
      <c r="B1" s="943"/>
      <c r="C1" s="943"/>
      <c r="D1" s="943"/>
      <c r="E1" s="943"/>
      <c r="F1" s="943"/>
      <c r="G1" s="943"/>
      <c r="H1" s="943"/>
      <c r="I1" s="943"/>
      <c r="J1" s="943"/>
      <c r="K1" s="944"/>
      <c r="L1" s="942" t="s">
        <v>724</v>
      </c>
      <c r="M1" s="943"/>
      <c r="N1" s="943"/>
      <c r="O1" s="944"/>
    </row>
    <row r="2" spans="1:19" ht="34" thickBot="1">
      <c r="A2" s="65" t="s">
        <v>0</v>
      </c>
      <c r="B2" s="66" t="s">
        <v>1</v>
      </c>
      <c r="C2" s="66" t="s">
        <v>2</v>
      </c>
      <c r="D2" s="66" t="s">
        <v>3</v>
      </c>
      <c r="E2" s="66" t="s">
        <v>4</v>
      </c>
      <c r="F2" s="66" t="s">
        <v>5</v>
      </c>
      <c r="G2" s="66" t="s">
        <v>6</v>
      </c>
      <c r="H2" s="68" t="s">
        <v>7</v>
      </c>
      <c r="I2" s="95" t="s">
        <v>82</v>
      </c>
      <c r="J2" s="66" t="s">
        <v>80</v>
      </c>
      <c r="K2" s="67" t="s">
        <v>81</v>
      </c>
      <c r="L2" s="138" t="s">
        <v>730</v>
      </c>
      <c r="M2" s="139" t="s">
        <v>731</v>
      </c>
      <c r="N2" s="139" t="s">
        <v>732</v>
      </c>
      <c r="O2" s="140" t="s">
        <v>734</v>
      </c>
    </row>
    <row r="3" spans="1:19" ht="13">
      <c r="A3" s="57" t="s">
        <v>8</v>
      </c>
      <c r="B3" s="58"/>
      <c r="C3" s="58"/>
      <c r="D3" s="58"/>
      <c r="E3" s="59"/>
      <c r="F3" s="60"/>
      <c r="G3" s="61"/>
      <c r="H3" s="62"/>
      <c r="I3" s="70"/>
      <c r="J3" s="91"/>
      <c r="K3" s="108"/>
      <c r="L3" s="75"/>
      <c r="M3" s="76"/>
      <c r="N3" s="76"/>
      <c r="O3" s="77"/>
    </row>
    <row r="4" spans="1:19">
      <c r="A4" s="211" t="s">
        <v>9</v>
      </c>
      <c r="B4" s="215">
        <f>'IODA Weekly iTunes'!B4+'Orch Weekly Mgmt'!B4</f>
        <v>855946.40073300002</v>
      </c>
      <c r="C4" s="215">
        <f>'IODA Weekly iTunes'!C4+'Orch Weekly Mgmt'!C4</f>
        <v>933473.97469800001</v>
      </c>
      <c r="D4" s="215">
        <f>'IODA Weekly iTunes'!D4+'Orch Weekly Mgmt'!D4</f>
        <v>0</v>
      </c>
      <c r="E4" s="215">
        <f>'IODA Weekly iTunes'!E4+'Orch Weekly Mgmt'!E4</f>
        <v>0</v>
      </c>
      <c r="F4" s="215">
        <f>'IODA Weekly iTunes'!F4+'Orch Weekly Mgmt'!F4</f>
        <v>0</v>
      </c>
      <c r="G4" s="216">
        <f>SUM(B4:F4)</f>
        <v>1789420.375431</v>
      </c>
      <c r="H4" s="218">
        <f>'IODA Weekly iTunes'!H4+'Orch Weekly Mgmt'!H4</f>
        <v>3578840.750862</v>
      </c>
      <c r="I4" s="218">
        <f>'IODA Weekly iTunes'!I4+'Orch Weekly Mgmt'!I4:I4</f>
        <v>5147692.3654429428</v>
      </c>
      <c r="J4" s="219">
        <f>H4-I4</f>
        <v>-1568851.6145809428</v>
      </c>
      <c r="K4" s="220">
        <f>J4/I4</f>
        <v>-0.30476794322691581</v>
      </c>
      <c r="L4" s="218">
        <f>'IODA Weekly iTunes'!M4+'Orch Weekly Mgmt'!M4</f>
        <v>11593383.161534129</v>
      </c>
      <c r="M4" s="218">
        <f>'IODA Weekly iTunes'!N4+'Orch Weekly Mgmt'!N4</f>
        <v>12463807.516401282</v>
      </c>
      <c r="N4" s="219">
        <f>L4-M4</f>
        <v>-870424.35486715287</v>
      </c>
      <c r="O4" s="220">
        <f>N4/M4</f>
        <v>-6.9836151891927919E-2</v>
      </c>
    </row>
    <row r="5" spans="1:19" s="3" customFormat="1" ht="11">
      <c r="A5" s="240" t="s">
        <v>199</v>
      </c>
      <c r="B5" s="234">
        <f>'IODA Weekly iTunes'!B5+'Orch Weekly Mgmt'!B5</f>
        <v>732087.11</v>
      </c>
      <c r="C5" s="234">
        <f>'IODA Weekly iTunes'!C5+'Orch Weekly Mgmt'!C5</f>
        <v>799117.62</v>
      </c>
      <c r="D5" s="234">
        <f>'IODA Weekly iTunes'!D5+'Orch Weekly Mgmt'!D5</f>
        <v>0</v>
      </c>
      <c r="E5" s="234">
        <f>'IODA Weekly iTunes'!E5+'Orch Weekly Mgmt'!E5</f>
        <v>0</v>
      </c>
      <c r="F5" s="234">
        <f>'IODA Weekly iTunes'!F5+'Orch Weekly Mgmt'!F5</f>
        <v>0</v>
      </c>
      <c r="G5" s="235">
        <f>SUM(B5:F5)</f>
        <v>1531204.73</v>
      </c>
      <c r="H5" s="236">
        <f>'IODA Weekly iTunes'!H5+'Orch Weekly Mgmt'!H5</f>
        <v>3062409.46</v>
      </c>
      <c r="I5" s="236">
        <f>'IODA Weekly iTunes'!I5+'Orch Weekly Mgmt'!I5:I5</f>
        <v>4408028.1072987681</v>
      </c>
      <c r="J5" s="237">
        <f>H5-I5</f>
        <v>-1345618.6472987682</v>
      </c>
      <c r="K5" s="238">
        <f t="shared" ref="K5:K7" si="0">J5/I5</f>
        <v>-0.30526544172227632</v>
      </c>
      <c r="L5" s="236">
        <f>'IODA Weekly iTunes'!M5+'Orch Weekly Mgmt'!M5</f>
        <v>9923320.7214551456</v>
      </c>
      <c r="M5" s="236">
        <f>'IODA Weekly iTunes'!N5+'Orch Weekly Mgmt'!N5</f>
        <v>10643986.134391259</v>
      </c>
      <c r="N5" s="237">
        <f t="shared" ref="N5:N68" si="1">L5-M5</f>
        <v>-720665.41293611377</v>
      </c>
      <c r="O5" s="238">
        <f t="shared" ref="O5:O68" si="2">N5/M5</f>
        <v>-6.7706346460524522E-2</v>
      </c>
      <c r="Q5" s="208"/>
      <c r="R5" s="154"/>
      <c r="S5" s="154"/>
    </row>
    <row r="6" spans="1:19" s="3" customFormat="1" ht="11">
      <c r="A6" s="240" t="s">
        <v>36</v>
      </c>
      <c r="B6" s="234">
        <f>'IODA Weekly iTunes'!B6+'Orch Weekly Mgmt'!B6</f>
        <v>94240.985434000002</v>
      </c>
      <c r="C6" s="234">
        <f>'IODA Weekly iTunes'!C6+'Orch Weekly Mgmt'!C6</f>
        <v>97522.615349999993</v>
      </c>
      <c r="D6" s="234">
        <f>'IODA Weekly iTunes'!D6+'Orch Weekly Mgmt'!D6</f>
        <v>0</v>
      </c>
      <c r="E6" s="234">
        <f>'IODA Weekly iTunes'!E6+'Orch Weekly Mgmt'!E6</f>
        <v>0</v>
      </c>
      <c r="F6" s="234">
        <f>'IODA Weekly iTunes'!F6+'Orch Weekly Mgmt'!F6</f>
        <v>0</v>
      </c>
      <c r="G6" s="235">
        <f>SUM(B6:F6)</f>
        <v>191763.60078400001</v>
      </c>
      <c r="H6" s="236">
        <f>'IODA Weekly iTunes'!H6+'Orch Weekly Mgmt'!H6</f>
        <v>383527.20156799996</v>
      </c>
      <c r="I6" s="236">
        <f>'IODA Weekly iTunes'!I6+'Orch Weekly Mgmt'!I6:I6</f>
        <v>560558.59768713242</v>
      </c>
      <c r="J6" s="237">
        <f>H6-I6</f>
        <v>-177031.39611913246</v>
      </c>
      <c r="K6" s="238">
        <f t="shared" si="0"/>
        <v>-0.31581247143396762</v>
      </c>
      <c r="L6" s="236">
        <f>'IODA Weekly iTunes'!M6+'Orch Weekly Mgmt'!M6</f>
        <v>1254910.3662848696</v>
      </c>
      <c r="M6" s="236">
        <f>'IODA Weekly iTunes'!N6+'Orch Weekly Mgmt'!N6</f>
        <v>1379376.3593835603</v>
      </c>
      <c r="N6" s="237">
        <f t="shared" si="1"/>
        <v>-124465.99309869064</v>
      </c>
      <c r="O6" s="238">
        <f t="shared" si="2"/>
        <v>-9.0233526370072176E-2</v>
      </c>
      <c r="Q6" s="208"/>
      <c r="R6" s="154"/>
      <c r="S6" s="154"/>
    </row>
    <row r="7" spans="1:19" s="3" customFormat="1" ht="11">
      <c r="A7" s="240" t="s">
        <v>73</v>
      </c>
      <c r="B7" s="234">
        <f>'IODA Weekly iTunes'!B7+'Orch Weekly Mgmt'!B7</f>
        <v>29618.305299</v>
      </c>
      <c r="C7" s="234">
        <f>'IODA Weekly iTunes'!C7+'Orch Weekly Mgmt'!C7</f>
        <v>36833.739348000003</v>
      </c>
      <c r="D7" s="234">
        <f>'IODA Weekly iTunes'!D7+'Orch Weekly Mgmt'!D7</f>
        <v>0</v>
      </c>
      <c r="E7" s="234">
        <f>'IODA Weekly iTunes'!E7+'Orch Weekly Mgmt'!E7</f>
        <v>0</v>
      </c>
      <c r="F7" s="234">
        <f>'IODA Weekly iTunes'!F7+'Orch Weekly Mgmt'!F7</f>
        <v>0</v>
      </c>
      <c r="G7" s="235">
        <f>SUM(B7:F7)</f>
        <v>66452.044647000002</v>
      </c>
      <c r="H7" s="236">
        <f>'IODA Weekly iTunes'!H7+'Orch Weekly Mgmt'!H7</f>
        <v>132904.089294</v>
      </c>
      <c r="I7" s="236">
        <f>'IODA Weekly iTunes'!I7+'Orch Weekly Mgmt'!I7:I7</f>
        <v>179105.66045704292</v>
      </c>
      <c r="J7" s="237">
        <f>H7-I7</f>
        <v>-46201.571163042914</v>
      </c>
      <c r="K7" s="238">
        <f t="shared" si="0"/>
        <v>-0.2579570687221468</v>
      </c>
      <c r="L7" s="236">
        <f>'IODA Weekly iTunes'!M7+'Orch Weekly Mgmt'!M7</f>
        <v>415152.0737941101</v>
      </c>
      <c r="M7" s="236">
        <f>'IODA Weekly iTunes'!N7+'Orch Weekly Mgmt'!N7</f>
        <v>440445.02262646297</v>
      </c>
      <c r="N7" s="237">
        <f t="shared" si="1"/>
        <v>-25292.948832352879</v>
      </c>
      <c r="O7" s="238">
        <f t="shared" si="2"/>
        <v>-5.7425893205753344E-2</v>
      </c>
      <c r="Q7" s="208"/>
      <c r="R7" s="154"/>
      <c r="S7" s="154"/>
    </row>
    <row r="8" spans="1:19">
      <c r="A8" s="211" t="s">
        <v>72</v>
      </c>
      <c r="B8" s="215">
        <f>'IODA Weekly iTunes'!B8+'Orch Weekly Mgmt'!B8</f>
        <v>164469.62264000002</v>
      </c>
      <c r="C8" s="215">
        <f>'IODA Weekly iTunes'!C8+'Orch Weekly Mgmt'!C8</f>
        <v>172492.34246399999</v>
      </c>
      <c r="D8" s="215">
        <f>'IODA Weekly iTunes'!D8+'Orch Weekly Mgmt'!D8</f>
        <v>0</v>
      </c>
      <c r="E8" s="215">
        <f>'IODA Weekly iTunes'!E8+'Orch Weekly Mgmt'!E8</f>
        <v>0</v>
      </c>
      <c r="F8" s="215">
        <f>'IODA Weekly iTunes'!F8+'Orch Weekly Mgmt'!F8</f>
        <v>0</v>
      </c>
      <c r="G8" s="216">
        <f t="shared" ref="G8:G30" si="3">SUM(B8:F8)</f>
        <v>336961.965104</v>
      </c>
      <c r="H8" s="218">
        <f>'IODA Weekly iTunes'!H8+'Orch Weekly Mgmt'!H8</f>
        <v>673923.93020800001</v>
      </c>
      <c r="I8" s="218">
        <f>'IODA Weekly iTunes'!I8+'Orch Weekly Mgmt'!I8:I8</f>
        <v>932991.05814179569</v>
      </c>
      <c r="J8" s="219">
        <f t="shared" ref="J8:J49" si="4">H8-I8</f>
        <v>-259067.12793379568</v>
      </c>
      <c r="K8" s="220">
        <f t="shared" ref="K8:K66" si="5">J8/I8</f>
        <v>-0.27767375225414298</v>
      </c>
      <c r="L8" s="218">
        <f>'IODA Weekly iTunes'!M8+'Orch Weekly Mgmt'!M8</f>
        <v>2240547.0717423283</v>
      </c>
      <c r="M8" s="218">
        <f>'IODA Weekly iTunes'!N8+'Orch Weekly Mgmt'!N8</f>
        <v>2296233.7639005021</v>
      </c>
      <c r="N8" s="219">
        <f t="shared" si="1"/>
        <v>-55686.69215817377</v>
      </c>
      <c r="O8" s="220">
        <f t="shared" si="2"/>
        <v>-2.4251316670643088E-2</v>
      </c>
    </row>
    <row r="9" spans="1:19">
      <c r="A9" s="211" t="s">
        <v>92</v>
      </c>
      <c r="B9" s="215">
        <f>'IODA Weekly iTunes'!B9+'Orch Weekly Mgmt'!B9</f>
        <v>57621.819839999996</v>
      </c>
      <c r="C9" s="215">
        <f>'IODA Weekly iTunes'!C9+'Orch Weekly Mgmt'!C9</f>
        <v>63013.878096</v>
      </c>
      <c r="D9" s="215">
        <f>'IODA Weekly iTunes'!D9+'Orch Weekly Mgmt'!D9</f>
        <v>0</v>
      </c>
      <c r="E9" s="215">
        <f>'IODA Weekly iTunes'!E9+'Orch Weekly Mgmt'!E9</f>
        <v>0</v>
      </c>
      <c r="F9" s="215">
        <f>'IODA Weekly iTunes'!F9+'Orch Weekly Mgmt'!F9</f>
        <v>0</v>
      </c>
      <c r="G9" s="216">
        <f t="shared" si="3"/>
        <v>120635.697936</v>
      </c>
      <c r="H9" s="218">
        <f>'IODA Weekly iTunes'!H9+'Orch Weekly Mgmt'!H9</f>
        <v>241271.39587199999</v>
      </c>
      <c r="I9" s="218">
        <f>'IODA Weekly iTunes'!I9+'Orch Weekly Mgmt'!I9:I9</f>
        <v>367855.88803624723</v>
      </c>
      <c r="J9" s="219">
        <f t="shared" si="4"/>
        <v>-126584.49216424723</v>
      </c>
      <c r="K9" s="220">
        <f t="shared" si="5"/>
        <v>-0.34411435641278643</v>
      </c>
      <c r="L9" s="218">
        <f>'IODA Weekly iTunes'!M9+'Orch Weekly Mgmt'!M9</f>
        <v>863473.27046543662</v>
      </c>
      <c r="M9" s="218">
        <f>'IODA Weekly iTunes'!N9+'Orch Weekly Mgmt'!N9</f>
        <v>905176.11200599326</v>
      </c>
      <c r="N9" s="219">
        <f t="shared" si="1"/>
        <v>-41702.841540556634</v>
      </c>
      <c r="O9" s="220">
        <f t="shared" si="2"/>
        <v>-4.6071522422457073E-2</v>
      </c>
    </row>
    <row r="10" spans="1:19" s="3" customFormat="1" ht="11">
      <c r="A10" s="240" t="s">
        <v>39</v>
      </c>
      <c r="B10" s="234">
        <f>'IODA Weekly iTunes'!B10+'Orch Weekly Mgmt'!B10</f>
        <v>34340.57172</v>
      </c>
      <c r="C10" s="234">
        <f>'IODA Weekly iTunes'!C10+'Orch Weekly Mgmt'!C10</f>
        <v>41552.969951999999</v>
      </c>
      <c r="D10" s="234">
        <f>'IODA Weekly iTunes'!D10+'Orch Weekly Mgmt'!D10</f>
        <v>0</v>
      </c>
      <c r="E10" s="234">
        <f>'IODA Weekly iTunes'!E10+'Orch Weekly Mgmt'!E10</f>
        <v>0</v>
      </c>
      <c r="F10" s="234">
        <f>'IODA Weekly iTunes'!F10+'Orch Weekly Mgmt'!F10</f>
        <v>0</v>
      </c>
      <c r="G10" s="235">
        <f t="shared" ref="G10:G26" si="6">SUM(B10:F10)</f>
        <v>75893.541671999992</v>
      </c>
      <c r="H10" s="236">
        <f>'IODA Weekly iTunes'!H10+'Orch Weekly Mgmt'!H10</f>
        <v>151787.08334399998</v>
      </c>
      <c r="I10" s="236">
        <f>'IODA Weekly iTunes'!I10+'Orch Weekly Mgmt'!I10:I10</f>
        <v>215155.02838623771</v>
      </c>
      <c r="J10" s="237">
        <f>H10-I10</f>
        <v>-63367.945042237727</v>
      </c>
      <c r="K10" s="238">
        <f t="shared" si="5"/>
        <v>-0.29452225921711728</v>
      </c>
      <c r="L10" s="236">
        <f>'IODA Weekly iTunes'!M10+'Orch Weekly Mgmt'!M10</f>
        <v>529154.8267514878</v>
      </c>
      <c r="M10" s="236">
        <f>'IODA Weekly iTunes'!N10+'Orch Weekly Mgmt'!N10</f>
        <v>529230.92503756261</v>
      </c>
      <c r="N10" s="237">
        <f t="shared" si="1"/>
        <v>-76.098286074819043</v>
      </c>
      <c r="O10" s="238">
        <f t="shared" si="2"/>
        <v>-1.4379032379753301E-4</v>
      </c>
      <c r="Q10" s="208"/>
      <c r="R10" s="154"/>
      <c r="S10" s="154"/>
    </row>
    <row r="11" spans="1:19" s="3" customFormat="1" ht="11">
      <c r="A11" s="240" t="s">
        <v>35</v>
      </c>
      <c r="B11" s="234">
        <f>'IODA Weekly iTunes'!B11+'Orch Weekly Mgmt'!B11</f>
        <v>10106.844072</v>
      </c>
      <c r="C11" s="234">
        <f>'IODA Weekly iTunes'!C11+'Orch Weekly Mgmt'!C11</f>
        <v>9689.3004000000001</v>
      </c>
      <c r="D11" s="234">
        <f>'IODA Weekly iTunes'!D11+'Orch Weekly Mgmt'!D11</f>
        <v>0</v>
      </c>
      <c r="E11" s="234">
        <f>'IODA Weekly iTunes'!E11+'Orch Weekly Mgmt'!E11</f>
        <v>0</v>
      </c>
      <c r="F11" s="234">
        <f>'IODA Weekly iTunes'!F11+'Orch Weekly Mgmt'!F11</f>
        <v>0</v>
      </c>
      <c r="G11" s="235">
        <f t="shared" si="6"/>
        <v>19796.144472</v>
      </c>
      <c r="H11" s="236">
        <f>'IODA Weekly iTunes'!H11+'Orch Weekly Mgmt'!H11</f>
        <v>39592.288944</v>
      </c>
      <c r="I11" s="236">
        <f>'IODA Weekly iTunes'!I11+'Orch Weekly Mgmt'!I11:I11</f>
        <v>62039.319704737383</v>
      </c>
      <c r="J11" s="237">
        <f>H11-I11</f>
        <v>-22447.030760737383</v>
      </c>
      <c r="K11" s="238">
        <f t="shared" si="5"/>
        <v>-0.36181942141804796</v>
      </c>
      <c r="L11" s="236">
        <f>'IODA Weekly iTunes'!M11+'Orch Weekly Mgmt'!M11</f>
        <v>149113.95443349483</v>
      </c>
      <c r="M11" s="236">
        <f>'IODA Weekly iTunes'!N11+'Orch Weekly Mgmt'!N11</f>
        <v>152686.79716112898</v>
      </c>
      <c r="N11" s="237">
        <f t="shared" si="1"/>
        <v>-3572.8427276341536</v>
      </c>
      <c r="O11" s="238">
        <f t="shared" si="2"/>
        <v>-2.3399814483394822E-2</v>
      </c>
      <c r="Q11" s="208"/>
      <c r="R11" s="154"/>
      <c r="S11" s="154"/>
    </row>
    <row r="12" spans="1:19" s="3" customFormat="1" ht="11">
      <c r="A12" s="240" t="s">
        <v>43</v>
      </c>
      <c r="B12" s="234">
        <f>'IODA Weekly iTunes'!B12+'Orch Weekly Mgmt'!B12</f>
        <v>1422.1505999999999</v>
      </c>
      <c r="C12" s="234">
        <f>'IODA Weekly iTunes'!C12+'Orch Weekly Mgmt'!C12</f>
        <v>1471.4381760000001</v>
      </c>
      <c r="D12" s="234">
        <f>'IODA Weekly iTunes'!D12+'Orch Weekly Mgmt'!D12</f>
        <v>0</v>
      </c>
      <c r="E12" s="234">
        <f>'IODA Weekly iTunes'!E12+'Orch Weekly Mgmt'!E12</f>
        <v>0</v>
      </c>
      <c r="F12" s="234">
        <f>'IODA Weekly iTunes'!F12+'Orch Weekly Mgmt'!F12</f>
        <v>0</v>
      </c>
      <c r="G12" s="235">
        <f t="shared" si="6"/>
        <v>2893.5887760000001</v>
      </c>
      <c r="H12" s="236">
        <f>'IODA Weekly iTunes'!H12+'Orch Weekly Mgmt'!H12</f>
        <v>5787.1775520000001</v>
      </c>
      <c r="I12" s="236">
        <f>'IODA Weekly iTunes'!I12+'Orch Weekly Mgmt'!I12:I12</f>
        <v>8793.9769429311618</v>
      </c>
      <c r="J12" s="237">
        <f>H12-I12</f>
        <v>-3006.7993909311617</v>
      </c>
      <c r="K12" s="238">
        <f t="shared" si="5"/>
        <v>-0.34191576921839772</v>
      </c>
      <c r="L12" s="236">
        <f>'IODA Weekly iTunes'!M12+'Orch Weekly Mgmt'!M12</f>
        <v>21228.613854363877</v>
      </c>
      <c r="M12" s="236">
        <f>'IODA Weekly iTunes'!N12+'Orch Weekly Mgmt'!N12</f>
        <v>21636.891087760247</v>
      </c>
      <c r="N12" s="237">
        <f t="shared" si="1"/>
        <v>-408.27723339636941</v>
      </c>
      <c r="O12" s="238">
        <f t="shared" si="2"/>
        <v>-1.8869496164692873E-2</v>
      </c>
      <c r="Q12" s="208"/>
      <c r="R12" s="154"/>
      <c r="S12" s="154"/>
    </row>
    <row r="13" spans="1:19" s="3" customFormat="1" ht="11">
      <c r="A13" s="240" t="s">
        <v>44</v>
      </c>
      <c r="B13" s="234">
        <f>'IODA Weekly iTunes'!B13+'Orch Weekly Mgmt'!B13</f>
        <v>11752.253447999999</v>
      </c>
      <c r="C13" s="234">
        <f>'IODA Weekly iTunes'!C13+'Orch Weekly Mgmt'!C13</f>
        <v>10300.169567999999</v>
      </c>
      <c r="D13" s="234">
        <f>'IODA Weekly iTunes'!D13+'Orch Weekly Mgmt'!D13</f>
        <v>0</v>
      </c>
      <c r="E13" s="234">
        <f>'IODA Weekly iTunes'!E13+'Orch Weekly Mgmt'!E13</f>
        <v>0</v>
      </c>
      <c r="F13" s="234">
        <f>'IODA Weekly iTunes'!F13+'Orch Weekly Mgmt'!F13</f>
        <v>0</v>
      </c>
      <c r="G13" s="235">
        <f t="shared" si="6"/>
        <v>22052.423016000001</v>
      </c>
      <c r="H13" s="236">
        <f>'IODA Weekly iTunes'!H13+'Orch Weekly Mgmt'!H13</f>
        <v>44104.846032000001</v>
      </c>
      <c r="I13" s="236">
        <f>'IODA Weekly iTunes'!I13+'Orch Weekly Mgmt'!I13:I13</f>
        <v>81867.563002340947</v>
      </c>
      <c r="J13" s="237">
        <f>H13-I13</f>
        <v>-37762.716970340945</v>
      </c>
      <c r="K13" s="238">
        <f t="shared" si="5"/>
        <v>-0.46126592249070791</v>
      </c>
      <c r="L13" s="236">
        <f>'IODA Weekly iTunes'!M13+'Orch Weekly Mgmt'!M13</f>
        <v>163975.87542609015</v>
      </c>
      <c r="M13" s="236">
        <f>'IODA Weekly iTunes'!N13+'Orch Weekly Mgmt'!N13</f>
        <v>201621.49871954133</v>
      </c>
      <c r="N13" s="237">
        <f t="shared" si="1"/>
        <v>-37645.623293451179</v>
      </c>
      <c r="O13" s="238">
        <f t="shared" si="2"/>
        <v>-0.18671433122227127</v>
      </c>
      <c r="Q13" s="208"/>
      <c r="R13" s="154"/>
      <c r="S13" s="154"/>
    </row>
    <row r="14" spans="1:19">
      <c r="A14" s="211" t="s">
        <v>85</v>
      </c>
      <c r="B14" s="215">
        <f>'IODA Weekly iTunes'!B14+'Orch Weekly Mgmt'!B14</f>
        <v>71473.253280000004</v>
      </c>
      <c r="C14" s="215">
        <f>'IODA Weekly iTunes'!C14+'Orch Weekly Mgmt'!C14</f>
        <v>90526.425599999988</v>
      </c>
      <c r="D14" s="215">
        <f>'IODA Weekly iTunes'!D14+'Orch Weekly Mgmt'!D14</f>
        <v>0</v>
      </c>
      <c r="E14" s="215">
        <f>'IODA Weekly iTunes'!E14+'Orch Weekly Mgmt'!E14</f>
        <v>0</v>
      </c>
      <c r="F14" s="215">
        <f>'IODA Weekly iTunes'!F14+'Orch Weekly Mgmt'!F14</f>
        <v>0</v>
      </c>
      <c r="G14" s="216">
        <f t="shared" si="6"/>
        <v>161999.67887999999</v>
      </c>
      <c r="H14" s="218">
        <f>'IODA Weekly iTunes'!H14+'Orch Weekly Mgmt'!H14</f>
        <v>323999.35775999998</v>
      </c>
      <c r="I14" s="218">
        <f>'IODA Weekly iTunes'!I14+'Orch Weekly Mgmt'!I14:I14</f>
        <v>469763.29910982191</v>
      </c>
      <c r="J14" s="219">
        <f t="shared" si="4"/>
        <v>-145763.94134982192</v>
      </c>
      <c r="K14" s="220">
        <f t="shared" si="5"/>
        <v>-0.31029231450400091</v>
      </c>
      <c r="L14" s="218">
        <f>'IODA Weekly iTunes'!M14+'Orch Weekly Mgmt'!M14</f>
        <v>1088532.3665733214</v>
      </c>
      <c r="M14" s="218">
        <f>'IODA Weekly iTunes'!N14+'Orch Weekly Mgmt'!N14</f>
        <v>1155283.8472391148</v>
      </c>
      <c r="N14" s="219">
        <f t="shared" si="1"/>
        <v>-66751.48066579341</v>
      </c>
      <c r="O14" s="220">
        <f t="shared" si="2"/>
        <v>-5.7779290193760949E-2</v>
      </c>
    </row>
    <row r="15" spans="1:19" s="3" customFormat="1" ht="11">
      <c r="A15" s="240" t="s">
        <v>40</v>
      </c>
      <c r="B15" s="234">
        <f>'IODA Weekly iTunes'!B15+'Orch Weekly Mgmt'!B15</f>
        <v>47709.465335999994</v>
      </c>
      <c r="C15" s="234">
        <f>'IODA Weekly iTunes'!C15+'Orch Weekly Mgmt'!C15</f>
        <v>63689.423616</v>
      </c>
      <c r="D15" s="234">
        <f>'IODA Weekly iTunes'!D15+'Orch Weekly Mgmt'!D15</f>
        <v>0</v>
      </c>
      <c r="E15" s="234">
        <f>'IODA Weekly iTunes'!E15+'Orch Weekly Mgmt'!E15</f>
        <v>0</v>
      </c>
      <c r="F15" s="234">
        <f>'IODA Weekly iTunes'!F15+'Orch Weekly Mgmt'!F15</f>
        <v>0</v>
      </c>
      <c r="G15" s="235">
        <f t="shared" si="6"/>
        <v>111398.88895199999</v>
      </c>
      <c r="H15" s="236">
        <f>'IODA Weekly iTunes'!H15+'Orch Weekly Mgmt'!H15</f>
        <v>222797.77790399999</v>
      </c>
      <c r="I15" s="236">
        <f>'IODA Weekly iTunes'!I15+'Orch Weekly Mgmt'!I15:I15</f>
        <v>313697.36756419815</v>
      </c>
      <c r="J15" s="237">
        <f>H15-I15</f>
        <v>-90899.589660198166</v>
      </c>
      <c r="K15" s="238">
        <f>J15/I15</f>
        <v>-0.28976841714043255</v>
      </c>
      <c r="L15" s="236">
        <f>'IODA Weekly iTunes'!M15+'Orch Weekly Mgmt'!M15</f>
        <v>745360.99916633568</v>
      </c>
      <c r="M15" s="236">
        <f>'IODA Weekly iTunes'!N15+'Orch Weekly Mgmt'!N15</f>
        <v>771408.55358158762</v>
      </c>
      <c r="N15" s="237">
        <f t="shared" si="1"/>
        <v>-26047.554415251943</v>
      </c>
      <c r="O15" s="238">
        <f t="shared" si="2"/>
        <v>-3.3766224517883879E-2</v>
      </c>
      <c r="Q15" s="208"/>
      <c r="R15" s="154"/>
      <c r="S15" s="154"/>
    </row>
    <row r="16" spans="1:19" s="3" customFormat="1" ht="11">
      <c r="A16" s="240" t="s">
        <v>34</v>
      </c>
      <c r="B16" s="234">
        <f>'IODA Weekly iTunes'!B16+'Orch Weekly Mgmt'!B16</f>
        <v>5670.8598959999999</v>
      </c>
      <c r="C16" s="234">
        <f>'IODA Weekly iTunes'!C16+'Orch Weekly Mgmt'!C16</f>
        <v>6430.998912</v>
      </c>
      <c r="D16" s="234">
        <f>'IODA Weekly iTunes'!D16+'Orch Weekly Mgmt'!D16</f>
        <v>0</v>
      </c>
      <c r="E16" s="234">
        <f>'IODA Weekly iTunes'!E16+'Orch Weekly Mgmt'!E16</f>
        <v>0</v>
      </c>
      <c r="F16" s="234">
        <f>'IODA Weekly iTunes'!F16+'Orch Weekly Mgmt'!F16</f>
        <v>0</v>
      </c>
      <c r="G16" s="235">
        <f t="shared" si="6"/>
        <v>12101.858808000001</v>
      </c>
      <c r="H16" s="236">
        <f>'IODA Weekly iTunes'!H16+'Orch Weekly Mgmt'!H16</f>
        <v>24203.717615999998</v>
      </c>
      <c r="I16" s="236">
        <f>'IODA Weekly iTunes'!I16+'Orch Weekly Mgmt'!I16:I16</f>
        <v>34965.633451645466</v>
      </c>
      <c r="J16" s="237">
        <f>H16-I16</f>
        <v>-10761.915835645468</v>
      </c>
      <c r="K16" s="238">
        <f t="shared" si="5"/>
        <v>-0.30778552462172015</v>
      </c>
      <c r="L16" s="236">
        <f>'IODA Weekly iTunes'!M16+'Orch Weekly Mgmt'!M16</f>
        <v>82670.993897714448</v>
      </c>
      <c r="M16" s="236">
        <f>'IODA Weekly iTunes'!N16+'Orch Weekly Mgmt'!N16</f>
        <v>86006.439019193233</v>
      </c>
      <c r="N16" s="237">
        <f t="shared" si="1"/>
        <v>-3335.4451214787841</v>
      </c>
      <c r="O16" s="238">
        <f t="shared" si="2"/>
        <v>-3.8781341949693383E-2</v>
      </c>
      <c r="Q16" s="208"/>
      <c r="R16" s="154"/>
      <c r="S16" s="154"/>
    </row>
    <row r="17" spans="1:19" s="3" customFormat="1" ht="11">
      <c r="A17" s="240" t="s">
        <v>50</v>
      </c>
      <c r="B17" s="234">
        <f>'IODA Weekly iTunes'!B17+'Orch Weekly Mgmt'!B17</f>
        <v>18092.928048000002</v>
      </c>
      <c r="C17" s="234">
        <f>'IODA Weekly iTunes'!C17+'Orch Weekly Mgmt'!C17</f>
        <v>20406.003072</v>
      </c>
      <c r="D17" s="234">
        <f>'IODA Weekly iTunes'!D17+'Orch Weekly Mgmt'!D17</f>
        <v>0</v>
      </c>
      <c r="E17" s="234">
        <f>'IODA Weekly iTunes'!E17+'Orch Weekly Mgmt'!E17</f>
        <v>0</v>
      </c>
      <c r="F17" s="234">
        <f>'IODA Weekly iTunes'!F17+'Orch Weekly Mgmt'!F17</f>
        <v>0</v>
      </c>
      <c r="G17" s="235">
        <f t="shared" si="6"/>
        <v>38498.931120000001</v>
      </c>
      <c r="H17" s="236">
        <f>'IODA Weekly iTunes'!H17+'Orch Weekly Mgmt'!H17</f>
        <v>76997.862240000002</v>
      </c>
      <c r="I17" s="236">
        <f>'IODA Weekly iTunes'!I17+'Orch Weekly Mgmt'!I17:I17</f>
        <v>121100.29809397824</v>
      </c>
      <c r="J17" s="237">
        <f>H17-I17</f>
        <v>-44102.435853978241</v>
      </c>
      <c r="K17" s="238">
        <f t="shared" si="5"/>
        <v>-0.36418106766139541</v>
      </c>
      <c r="L17" s="236">
        <f>'IODA Weekly iTunes'!M17+'Orch Weekly Mgmt'!M17</f>
        <v>260500.37350927124</v>
      </c>
      <c r="M17" s="236">
        <f>'IODA Weekly iTunes'!N17+'Orch Weekly Mgmt'!N17</f>
        <v>297868.85463833413</v>
      </c>
      <c r="N17" s="237">
        <f t="shared" si="1"/>
        <v>-37368.481129062886</v>
      </c>
      <c r="O17" s="238">
        <f t="shared" si="2"/>
        <v>-0.12545279758917688</v>
      </c>
      <c r="Q17" s="208"/>
      <c r="R17" s="154"/>
      <c r="S17" s="154"/>
    </row>
    <row r="18" spans="1:19">
      <c r="A18" s="211" t="s">
        <v>76</v>
      </c>
      <c r="B18" s="215">
        <f>'IODA Weekly iTunes'!B18+'Orch Weekly Mgmt'!B18</f>
        <v>41471.049983999997</v>
      </c>
      <c r="C18" s="215">
        <f>'IODA Weekly iTunes'!C18+'Orch Weekly Mgmt'!C18</f>
        <v>58213.961519999997</v>
      </c>
      <c r="D18" s="215">
        <f>'IODA Weekly iTunes'!D18+'Orch Weekly Mgmt'!D18</f>
        <v>0</v>
      </c>
      <c r="E18" s="215">
        <f>'IODA Weekly iTunes'!E18+'Orch Weekly Mgmt'!E18</f>
        <v>0</v>
      </c>
      <c r="F18" s="215">
        <f>'IODA Weekly iTunes'!F18+'Orch Weekly Mgmt'!F18</f>
        <v>0</v>
      </c>
      <c r="G18" s="216">
        <f t="shared" si="6"/>
        <v>99685.011503999995</v>
      </c>
      <c r="H18" s="218">
        <f>'IODA Weekly iTunes'!H18+'Orch Weekly Mgmt'!H18</f>
        <v>199370.02300799999</v>
      </c>
      <c r="I18" s="218">
        <f>'IODA Weekly iTunes'!I18+'Orch Weekly Mgmt'!I18:I18</f>
        <v>214398.3688310977</v>
      </c>
      <c r="J18" s="219">
        <f t="shared" si="4"/>
        <v>-15028.345823097712</v>
      </c>
      <c r="K18" s="220">
        <f t="shared" si="5"/>
        <v>-7.0095429853465868E-2</v>
      </c>
      <c r="L18" s="218">
        <f>'IODA Weekly iTunes'!M18+'Orch Weekly Mgmt'!M18</f>
        <v>614056.23240007064</v>
      </c>
      <c r="M18" s="218">
        <f>'IODA Weekly iTunes'!N18+'Orch Weekly Mgmt'!N18</f>
        <v>527079.68612778303</v>
      </c>
      <c r="N18" s="219">
        <f t="shared" si="1"/>
        <v>86976.546272287611</v>
      </c>
      <c r="O18" s="220">
        <f t="shared" si="2"/>
        <v>0.16501593319079533</v>
      </c>
    </row>
    <row r="19" spans="1:19" s="3" customFormat="1" ht="11">
      <c r="A19" s="240" t="s">
        <v>11</v>
      </c>
      <c r="B19" s="234">
        <f>'IODA Weekly iTunes'!B19+'Orch Weekly Mgmt'!B19</f>
        <v>21340.599384000001</v>
      </c>
      <c r="C19" s="234">
        <f>'IODA Weekly iTunes'!C19+'Orch Weekly Mgmt'!C19</f>
        <v>29597.976095999999</v>
      </c>
      <c r="D19" s="234">
        <f>'IODA Weekly iTunes'!D19+'Orch Weekly Mgmt'!D19</f>
        <v>0</v>
      </c>
      <c r="E19" s="234">
        <f>'IODA Weekly iTunes'!E19+'Orch Weekly Mgmt'!E19</f>
        <v>0</v>
      </c>
      <c r="F19" s="234">
        <f>'IODA Weekly iTunes'!F19+'Orch Weekly Mgmt'!F19</f>
        <v>0</v>
      </c>
      <c r="G19" s="235">
        <f t="shared" si="6"/>
        <v>50938.57548</v>
      </c>
      <c r="H19" s="236">
        <f>'IODA Weekly iTunes'!H19+'Orch Weekly Mgmt'!H19</f>
        <v>101877.15096</v>
      </c>
      <c r="I19" s="236">
        <f>'IODA Weekly iTunes'!I19+'Orch Weekly Mgmt'!I19:I19</f>
        <v>103378.57419510727</v>
      </c>
      <c r="J19" s="237">
        <f>H19-I19</f>
        <v>-1501.4232351072715</v>
      </c>
      <c r="K19" s="238">
        <f t="shared" si="5"/>
        <v>-1.4523543652997404E-2</v>
      </c>
      <c r="L19" s="236">
        <f>'IODA Weekly iTunes'!M19+'Orch Weekly Mgmt'!M19</f>
        <v>328765.00609240105</v>
      </c>
      <c r="M19" s="236">
        <f>'IODA Weekly iTunes'!N19+'Orch Weekly Mgmt'!N19</f>
        <v>254157.42906864814</v>
      </c>
      <c r="N19" s="237">
        <f t="shared" si="1"/>
        <v>74607.577023752907</v>
      </c>
      <c r="O19" s="238">
        <f t="shared" si="2"/>
        <v>0.2935486768856217</v>
      </c>
      <c r="Q19" s="208"/>
      <c r="R19" s="154"/>
      <c r="S19" s="154"/>
    </row>
    <row r="20" spans="1:19" s="3" customFormat="1" ht="11">
      <c r="A20" s="240" t="s">
        <v>47</v>
      </c>
      <c r="B20" s="234">
        <f>'IODA Weekly iTunes'!B20+'Orch Weekly Mgmt'!B20</f>
        <v>3986.8442640000003</v>
      </c>
      <c r="C20" s="234">
        <f>'IODA Weekly iTunes'!C20+'Orch Weekly Mgmt'!C20</f>
        <v>5852.0585760000004</v>
      </c>
      <c r="D20" s="234">
        <f>'IODA Weekly iTunes'!D20+'Orch Weekly Mgmt'!D20</f>
        <v>0</v>
      </c>
      <c r="E20" s="234">
        <f>'IODA Weekly iTunes'!E20+'Orch Weekly Mgmt'!E20</f>
        <v>0</v>
      </c>
      <c r="F20" s="234">
        <f>'IODA Weekly iTunes'!F20+'Orch Weekly Mgmt'!F20</f>
        <v>0</v>
      </c>
      <c r="G20" s="235">
        <f t="shared" si="6"/>
        <v>9838.9028400000007</v>
      </c>
      <c r="H20" s="236">
        <f>'IODA Weekly iTunes'!H20+'Orch Weekly Mgmt'!H20</f>
        <v>19677.805680000001</v>
      </c>
      <c r="I20" s="236">
        <f>'IODA Weekly iTunes'!I20+'Orch Weekly Mgmt'!I20:I20</f>
        <v>18660.446243259081</v>
      </c>
      <c r="J20" s="237">
        <f>H20-I20</f>
        <v>1017.3594367409205</v>
      </c>
      <c r="K20" s="238">
        <f t="shared" si="5"/>
        <v>5.4519566331830485E-2</v>
      </c>
      <c r="L20" s="236">
        <f>'IODA Weekly iTunes'!M20+'Orch Weekly Mgmt'!M20</f>
        <v>53932.432714723764</v>
      </c>
      <c r="M20" s="236">
        <f>'IODA Weekly iTunes'!N20+'Orch Weekly Mgmt'!N20</f>
        <v>45870.704872707196</v>
      </c>
      <c r="N20" s="237">
        <f t="shared" si="1"/>
        <v>8061.7278420165676</v>
      </c>
      <c r="O20" s="238">
        <f t="shared" si="2"/>
        <v>0.17574894182219661</v>
      </c>
      <c r="Q20" s="208"/>
      <c r="R20" s="154"/>
      <c r="S20" s="154"/>
    </row>
    <row r="21" spans="1:19" s="3" customFormat="1" ht="11">
      <c r="A21" s="240" t="s">
        <v>48</v>
      </c>
      <c r="B21" s="234">
        <f>'IODA Weekly iTunes'!B21+'Orch Weekly Mgmt'!B21</f>
        <v>16143.606336000001</v>
      </c>
      <c r="C21" s="234">
        <f>'IODA Weekly iTunes'!C21+'Orch Weekly Mgmt'!C21</f>
        <v>22763.926847999999</v>
      </c>
      <c r="D21" s="234">
        <f>'IODA Weekly iTunes'!D21+'Orch Weekly Mgmt'!D21</f>
        <v>0</v>
      </c>
      <c r="E21" s="234">
        <f>'IODA Weekly iTunes'!E21+'Orch Weekly Mgmt'!E21</f>
        <v>0</v>
      </c>
      <c r="F21" s="234">
        <f>'IODA Weekly iTunes'!F21+'Orch Weekly Mgmt'!F21</f>
        <v>0</v>
      </c>
      <c r="G21" s="235">
        <f t="shared" si="6"/>
        <v>38907.533184</v>
      </c>
      <c r="H21" s="236">
        <f>'IODA Weekly iTunes'!H21+'Orch Weekly Mgmt'!H21</f>
        <v>77815.066368</v>
      </c>
      <c r="I21" s="236">
        <f>'IODA Weekly iTunes'!I21+'Orch Weekly Mgmt'!I21:I21</f>
        <v>92359.34839273135</v>
      </c>
      <c r="J21" s="237">
        <f>H21-I21</f>
        <v>-14544.28202473135</v>
      </c>
      <c r="K21" s="238">
        <f t="shared" si="5"/>
        <v>-0.15747493110157088</v>
      </c>
      <c r="L21" s="236">
        <f>'IODA Weekly iTunes'!M21+'Orch Weekly Mgmt'!M21</f>
        <v>231358.79359294591</v>
      </c>
      <c r="M21" s="236">
        <f>'IODA Weekly iTunes'!N21+'Orch Weekly Mgmt'!N21</f>
        <v>227051.55218642764</v>
      </c>
      <c r="N21" s="237">
        <f t="shared" si="1"/>
        <v>4307.2414065182675</v>
      </c>
      <c r="O21" s="238">
        <f t="shared" si="2"/>
        <v>1.8970323545648676E-2</v>
      </c>
      <c r="Q21" s="208"/>
      <c r="R21" s="154"/>
      <c r="S21" s="154"/>
    </row>
    <row r="22" spans="1:19">
      <c r="A22" s="211" t="s">
        <v>86</v>
      </c>
      <c r="B22" s="215">
        <f>'IODA Weekly iTunes'!B22+'Orch Weekly Mgmt'!B22</f>
        <v>17002.103040000002</v>
      </c>
      <c r="C22" s="215">
        <f>'IODA Weekly iTunes'!C22+'Orch Weekly Mgmt'!C22</f>
        <v>20289.774959999999</v>
      </c>
      <c r="D22" s="215">
        <f>'IODA Weekly iTunes'!D22+'Orch Weekly Mgmt'!D22</f>
        <v>0</v>
      </c>
      <c r="E22" s="215">
        <f>'IODA Weekly iTunes'!E22+'Orch Weekly Mgmt'!E22</f>
        <v>0</v>
      </c>
      <c r="F22" s="215">
        <f>'IODA Weekly iTunes'!F22+'Orch Weekly Mgmt'!F22</f>
        <v>0</v>
      </c>
      <c r="G22" s="216">
        <f t="shared" si="6"/>
        <v>37291.877999999997</v>
      </c>
      <c r="H22" s="218">
        <f>'IODA Weekly iTunes'!H22+'Orch Weekly Mgmt'!H22</f>
        <v>74583.755999999994</v>
      </c>
      <c r="I22" s="218">
        <f>'IODA Weekly iTunes'!I22+'Orch Weekly Mgmt'!I22:I22</f>
        <v>117468.75061713622</v>
      </c>
      <c r="J22" s="219">
        <f t="shared" si="4"/>
        <v>-42884.994617136224</v>
      </c>
      <c r="K22" s="220">
        <f t="shared" si="5"/>
        <v>-0.36507577029494859</v>
      </c>
      <c r="L22" s="218">
        <f>'IODA Weekly iTunes'!M22+'Orch Weekly Mgmt'!M22</f>
        <v>260109.23657609799</v>
      </c>
      <c r="M22" s="218">
        <f>'IODA Weekly iTunes'!N22+'Orch Weekly Mgmt'!N22</f>
        <v>289021.61821515032</v>
      </c>
      <c r="N22" s="219">
        <f t="shared" si="1"/>
        <v>-28912.381639052328</v>
      </c>
      <c r="O22" s="220">
        <f t="shared" si="2"/>
        <v>-0.10003536004538487</v>
      </c>
    </row>
    <row r="23" spans="1:19" s="3" customFormat="1" ht="11">
      <c r="A23" s="240" t="s">
        <v>37</v>
      </c>
      <c r="B23" s="234">
        <f>'IODA Weekly iTunes'!B23+'Orch Weekly Mgmt'!B23</f>
        <v>7001.4069840000002</v>
      </c>
      <c r="C23" s="234">
        <f>'IODA Weekly iTunes'!C23+'Orch Weekly Mgmt'!C23</f>
        <v>9243.2177759999995</v>
      </c>
      <c r="D23" s="234">
        <f>'IODA Weekly iTunes'!D23+'Orch Weekly Mgmt'!D23</f>
        <v>0</v>
      </c>
      <c r="E23" s="234">
        <f>'IODA Weekly iTunes'!E23+'Orch Weekly Mgmt'!E23</f>
        <v>0</v>
      </c>
      <c r="F23" s="234">
        <f>'IODA Weekly iTunes'!F23+'Orch Weekly Mgmt'!F23</f>
        <v>0</v>
      </c>
      <c r="G23" s="235">
        <f t="shared" si="6"/>
        <v>16244.624759999999</v>
      </c>
      <c r="H23" s="236">
        <f>'IODA Weekly iTunes'!H23+'Orch Weekly Mgmt'!H23</f>
        <v>32489.249519999998</v>
      </c>
      <c r="I23" s="236">
        <f>'IODA Weekly iTunes'!I23+'Orch Weekly Mgmt'!I23:I23</f>
        <v>44258.146635872981</v>
      </c>
      <c r="J23" s="237">
        <f>H23-I23</f>
        <v>-11768.897115872984</v>
      </c>
      <c r="K23" s="238">
        <f t="shared" si="5"/>
        <v>-0.26591482044423942</v>
      </c>
      <c r="L23" s="236">
        <f>'IODA Weekly iTunes'!M23+'Orch Weekly Mgmt'!M23</f>
        <v>99177.145479854138</v>
      </c>
      <c r="M23" s="236">
        <f>'IODA Weekly iTunes'!N23+'Orch Weekly Mgmt'!N23</f>
        <v>108825.29958704737</v>
      </c>
      <c r="N23" s="237">
        <f t="shared" si="1"/>
        <v>-9648.1541071932297</v>
      </c>
      <c r="O23" s="238">
        <f t="shared" si="2"/>
        <v>-8.8657271276113947E-2</v>
      </c>
      <c r="Q23" s="208"/>
      <c r="R23" s="154"/>
      <c r="S23" s="154"/>
    </row>
    <row r="24" spans="1:19" s="3" customFormat="1" ht="11">
      <c r="A24" s="240" t="s">
        <v>38</v>
      </c>
      <c r="B24" s="234">
        <f>'IODA Weekly iTunes'!B24+'Orch Weekly Mgmt'!B24</f>
        <v>1633.679112</v>
      </c>
      <c r="C24" s="234">
        <f>'IODA Weekly iTunes'!C24+'Orch Weekly Mgmt'!C24</f>
        <v>1899.049152</v>
      </c>
      <c r="D24" s="234">
        <f>'IODA Weekly iTunes'!D24+'Orch Weekly Mgmt'!D24</f>
        <v>0</v>
      </c>
      <c r="E24" s="234">
        <f>'IODA Weekly iTunes'!E24+'Orch Weekly Mgmt'!E24</f>
        <v>0</v>
      </c>
      <c r="F24" s="234">
        <f>'IODA Weekly iTunes'!F24+'Orch Weekly Mgmt'!F24</f>
        <v>0</v>
      </c>
      <c r="G24" s="235">
        <f t="shared" si="6"/>
        <v>3532.7282640000003</v>
      </c>
      <c r="H24" s="236">
        <f>'IODA Weekly iTunes'!H24+'Orch Weekly Mgmt'!H24</f>
        <v>7065.4565280000006</v>
      </c>
      <c r="I24" s="236">
        <f>'IODA Weekly iTunes'!I24+'Orch Weekly Mgmt'!I24:I24</f>
        <v>10389.769027307888</v>
      </c>
      <c r="J24" s="237">
        <f>H24-I24</f>
        <v>-3324.3124993078873</v>
      </c>
      <c r="K24" s="238">
        <f t="shared" si="5"/>
        <v>-0.31996019262511516</v>
      </c>
      <c r="L24" s="236">
        <f>'IODA Weekly iTunes'!M24+'Orch Weekly Mgmt'!M24</f>
        <v>24161.163394443156</v>
      </c>
      <c r="M24" s="236">
        <f>'IODA Weekly iTunes'!N24+'Orch Weekly Mgmt'!N24</f>
        <v>25564.489156007912</v>
      </c>
      <c r="N24" s="237">
        <f t="shared" si="1"/>
        <v>-1403.3257615647562</v>
      </c>
      <c r="O24" s="238">
        <f t="shared" si="2"/>
        <v>-5.4893557739445799E-2</v>
      </c>
      <c r="Q24" s="208"/>
      <c r="R24" s="154"/>
      <c r="S24" s="154"/>
    </row>
    <row r="25" spans="1:19" s="3" customFormat="1" ht="11">
      <c r="A25" s="240" t="s">
        <v>46</v>
      </c>
      <c r="B25" s="234">
        <f>'IODA Weekly iTunes'!B25+'Orch Weekly Mgmt'!B25</f>
        <v>4323.9390480000002</v>
      </c>
      <c r="C25" s="234">
        <f>'IODA Weekly iTunes'!C25+'Orch Weekly Mgmt'!C25</f>
        <v>4870.0679040000005</v>
      </c>
      <c r="D25" s="234">
        <f>'IODA Weekly iTunes'!D25+'Orch Weekly Mgmt'!D25</f>
        <v>0</v>
      </c>
      <c r="E25" s="234">
        <f>'IODA Weekly iTunes'!E25+'Orch Weekly Mgmt'!E25</f>
        <v>0</v>
      </c>
      <c r="F25" s="234">
        <f>'IODA Weekly iTunes'!F25+'Orch Weekly Mgmt'!F25</f>
        <v>0</v>
      </c>
      <c r="G25" s="235">
        <f t="shared" si="6"/>
        <v>9194.0069519999997</v>
      </c>
      <c r="H25" s="236">
        <f>'IODA Weekly iTunes'!H25+'Orch Weekly Mgmt'!H25</f>
        <v>18388.013903999999</v>
      </c>
      <c r="I25" s="236">
        <f>'IODA Weekly iTunes'!I25+'Orch Weekly Mgmt'!I25:I25</f>
        <v>36573.671669151183</v>
      </c>
      <c r="J25" s="237">
        <f>H25-I25</f>
        <v>-18185.657765151183</v>
      </c>
      <c r="K25" s="238">
        <f t="shared" si="5"/>
        <v>-0.49723358184161343</v>
      </c>
      <c r="L25" s="236">
        <f>'IODA Weekly iTunes'!M25+'Orch Weekly Mgmt'!M25</f>
        <v>78491.451683664985</v>
      </c>
      <c r="M25" s="236">
        <f>'IODA Weekly iTunes'!N25+'Orch Weekly Mgmt'!N25</f>
        <v>90034.499267196428</v>
      </c>
      <c r="N25" s="237">
        <f t="shared" si="1"/>
        <v>-11543.047583531443</v>
      </c>
      <c r="O25" s="238">
        <f t="shared" si="2"/>
        <v>-0.12820693931195204</v>
      </c>
      <c r="Q25" s="208"/>
      <c r="R25" s="154"/>
      <c r="S25" s="154"/>
    </row>
    <row r="26" spans="1:19" s="3" customFormat="1" ht="11">
      <c r="A26" s="240" t="s">
        <v>49</v>
      </c>
      <c r="B26" s="234">
        <f>'IODA Weekly iTunes'!B26+'Orch Weekly Mgmt'!B26</f>
        <v>4043.0778960000002</v>
      </c>
      <c r="C26" s="234">
        <f>'IODA Weekly iTunes'!C26+'Orch Weekly Mgmt'!C26</f>
        <v>4277.4401280000002</v>
      </c>
      <c r="D26" s="234">
        <f>'IODA Weekly iTunes'!D26+'Orch Weekly Mgmt'!D26</f>
        <v>0</v>
      </c>
      <c r="E26" s="234">
        <f>'IODA Weekly iTunes'!E26+'Orch Weekly Mgmt'!E26</f>
        <v>0</v>
      </c>
      <c r="F26" s="234">
        <f>'IODA Weekly iTunes'!F26+'Orch Weekly Mgmt'!F26</f>
        <v>0</v>
      </c>
      <c r="G26" s="235">
        <f t="shared" si="6"/>
        <v>8320.5180240000009</v>
      </c>
      <c r="H26" s="236">
        <f>'IODA Weekly iTunes'!H26+'Orch Weekly Mgmt'!H26</f>
        <v>16641.036048000002</v>
      </c>
      <c r="I26" s="236">
        <f>'IODA Weekly iTunes'!I26+'Orch Weekly Mgmt'!I26:I26</f>
        <v>26247.163284804163</v>
      </c>
      <c r="J26" s="237">
        <f>H26-I26</f>
        <v>-9606.1272368041609</v>
      </c>
      <c r="K26" s="238">
        <f t="shared" si="5"/>
        <v>-0.36598725479662192</v>
      </c>
      <c r="L26" s="236">
        <f>'IODA Weekly iTunes'!M26+'Orch Weekly Mgmt'!M26</f>
        <v>58279.476018135691</v>
      </c>
      <c r="M26" s="236">
        <f>'IODA Weekly iTunes'!N26+'Orch Weekly Mgmt'!N26</f>
        <v>64597.330204898593</v>
      </c>
      <c r="N26" s="237">
        <f t="shared" si="1"/>
        <v>-6317.8541867629028</v>
      </c>
      <c r="O26" s="238">
        <f t="shared" si="2"/>
        <v>-9.7803642452761963E-2</v>
      </c>
      <c r="Q26" s="208"/>
      <c r="R26" s="154"/>
      <c r="S26" s="154"/>
    </row>
    <row r="27" spans="1:19">
      <c r="A27" s="211" t="s">
        <v>12</v>
      </c>
      <c r="B27" s="215">
        <f>'IODA Weekly iTunes'!B27+'Orch Weekly Mgmt'!B27</f>
        <v>8703.907056</v>
      </c>
      <c r="C27" s="215">
        <f>'IODA Weekly iTunes'!C27+'Orch Weekly Mgmt'!C27</f>
        <v>11276.864352000001</v>
      </c>
      <c r="D27" s="215">
        <f>'IODA Weekly iTunes'!D27+'Orch Weekly Mgmt'!D27</f>
        <v>0</v>
      </c>
      <c r="E27" s="215">
        <f>'IODA Weekly iTunes'!E27+'Orch Weekly Mgmt'!E27</f>
        <v>0</v>
      </c>
      <c r="F27" s="215">
        <f>'IODA Weekly iTunes'!F27+'Orch Weekly Mgmt'!F27</f>
        <v>0</v>
      </c>
      <c r="G27" s="216">
        <f t="shared" si="3"/>
        <v>19980.771408000001</v>
      </c>
      <c r="H27" s="218">
        <f>'IODA Weekly iTunes'!H27+'Orch Weekly Mgmt'!H27</f>
        <v>39961.542816000001</v>
      </c>
      <c r="I27" s="218">
        <f>'IODA Weekly iTunes'!I27+'Orch Weekly Mgmt'!I27:I27</f>
        <v>51273.322411916502</v>
      </c>
      <c r="J27" s="219">
        <f t="shared" si="4"/>
        <v>-11311.779595916501</v>
      </c>
      <c r="K27" s="220">
        <f t="shared" si="5"/>
        <v>-0.22061725403789156</v>
      </c>
      <c r="L27" s="218">
        <f>'IODA Weekly iTunes'!M27+'Orch Weekly Mgmt'!M27</f>
        <v>133323.56504781725</v>
      </c>
      <c r="M27" s="218">
        <f>'IODA Weekly iTunes'!N27+'Orch Weekly Mgmt'!N27</f>
        <v>126066.04245775423</v>
      </c>
      <c r="N27" s="219">
        <f t="shared" si="1"/>
        <v>7257.5225900630176</v>
      </c>
      <c r="O27" s="220">
        <f t="shared" si="2"/>
        <v>5.7569210935570325E-2</v>
      </c>
    </row>
    <row r="28" spans="1:19" s="3" customFormat="1" ht="11">
      <c r="A28" s="240" t="s">
        <v>42</v>
      </c>
      <c r="B28" s="234">
        <f>'IODA Weekly iTunes'!B28+'Orch Weekly Mgmt'!B28</f>
        <v>7172.2441440000002</v>
      </c>
      <c r="C28" s="234">
        <f>'IODA Weekly iTunes'!C28+'Orch Weekly Mgmt'!C28</f>
        <v>8928.6624960000008</v>
      </c>
      <c r="D28" s="234">
        <f>'IODA Weekly iTunes'!D28+'Orch Weekly Mgmt'!D28</f>
        <v>0</v>
      </c>
      <c r="E28" s="234">
        <f>'IODA Weekly iTunes'!E28+'Orch Weekly Mgmt'!E28</f>
        <v>0</v>
      </c>
      <c r="F28" s="234">
        <f>'IODA Weekly iTunes'!F28+'Orch Weekly Mgmt'!F28</f>
        <v>0</v>
      </c>
      <c r="G28" s="235">
        <f>SUM(B28:F28)</f>
        <v>16100.906640000001</v>
      </c>
      <c r="H28" s="236">
        <f>'IODA Weekly iTunes'!H28+'Orch Weekly Mgmt'!H28</f>
        <v>32201.813280000002</v>
      </c>
      <c r="I28" s="236">
        <f>'IODA Weekly iTunes'!I28+'Orch Weekly Mgmt'!I28:I28</f>
        <v>41821.670283311185</v>
      </c>
      <c r="J28" s="237">
        <f>H28-I28</f>
        <v>-9619.8570033111828</v>
      </c>
      <c r="K28" s="238">
        <f t="shared" si="5"/>
        <v>-0.23002087047560982</v>
      </c>
      <c r="L28" s="236">
        <f>'IODA Weekly iTunes'!M28+'Orch Weekly Mgmt'!M28</f>
        <v>106884.13231737784</v>
      </c>
      <c r="M28" s="236">
        <f>'IODA Weekly iTunes'!N28+'Orch Weekly Mgmt'!N28</f>
        <v>102843.89873825862</v>
      </c>
      <c r="N28" s="237">
        <f t="shared" si="1"/>
        <v>4040.2335791192163</v>
      </c>
      <c r="O28" s="238">
        <f t="shared" si="2"/>
        <v>3.9285107125331321E-2</v>
      </c>
      <c r="Q28" s="208"/>
      <c r="R28" s="154"/>
      <c r="S28" s="154"/>
    </row>
    <row r="29" spans="1:19" s="3" customFormat="1" ht="11">
      <c r="A29" s="240" t="s">
        <v>41</v>
      </c>
      <c r="B29" s="234">
        <f>'IODA Weekly iTunes'!B29+'Orch Weekly Mgmt'!B29</f>
        <v>1531.662912</v>
      </c>
      <c r="C29" s="234">
        <f>'IODA Weekly iTunes'!C29+'Orch Weekly Mgmt'!C29</f>
        <v>2348.2018560000001</v>
      </c>
      <c r="D29" s="234">
        <f>'IODA Weekly iTunes'!D29+'Orch Weekly Mgmt'!D29</f>
        <v>0</v>
      </c>
      <c r="E29" s="234">
        <f>'IODA Weekly iTunes'!E29+'Orch Weekly Mgmt'!E29</f>
        <v>0</v>
      </c>
      <c r="F29" s="234">
        <f>'IODA Weekly iTunes'!F29+'Orch Weekly Mgmt'!F29</f>
        <v>0</v>
      </c>
      <c r="G29" s="235">
        <f>SUM(B29:F29)</f>
        <v>3879.8647680000004</v>
      </c>
      <c r="H29" s="236">
        <f>'IODA Weekly iTunes'!H29+'Orch Weekly Mgmt'!H29</f>
        <v>7759.7295359999998</v>
      </c>
      <c r="I29" s="236">
        <f>'IODA Weekly iTunes'!I29+'Orch Weekly Mgmt'!I29:I29</f>
        <v>9451.6521286053121</v>
      </c>
      <c r="J29" s="237">
        <f>H29-I29</f>
        <v>-1691.9225926053123</v>
      </c>
      <c r="K29" s="238">
        <f t="shared" si="5"/>
        <v>-0.1790081320793355</v>
      </c>
      <c r="L29" s="236">
        <f>'IODA Weekly iTunes'!M29+'Orch Weekly Mgmt'!M29</f>
        <v>26439.43273043941</v>
      </c>
      <c r="M29" s="236">
        <f>'IODA Weekly iTunes'!N29+'Orch Weekly Mgmt'!N29</f>
        <v>23222.143719495602</v>
      </c>
      <c r="N29" s="237">
        <f t="shared" si="1"/>
        <v>3217.2890109438085</v>
      </c>
      <c r="O29" s="238">
        <f t="shared" si="2"/>
        <v>0.13854401427387644</v>
      </c>
      <c r="Q29" s="208"/>
      <c r="R29" s="154"/>
      <c r="S29" s="154"/>
    </row>
    <row r="30" spans="1:19">
      <c r="A30" s="211" t="s">
        <v>13</v>
      </c>
      <c r="B30" s="215">
        <f>'IODA Weekly iTunes'!B30+'Orch Weekly Mgmt'!B30</f>
        <v>33654.775049999997</v>
      </c>
      <c r="C30" s="215">
        <f>'IODA Weekly iTunes'!C30+'Orch Weekly Mgmt'!C30</f>
        <v>37471.069349999998</v>
      </c>
      <c r="D30" s="215">
        <f>'IODA Weekly iTunes'!D30+'Orch Weekly Mgmt'!D30</f>
        <v>0</v>
      </c>
      <c r="E30" s="215">
        <f>'IODA Weekly iTunes'!E30+'Orch Weekly Mgmt'!E30</f>
        <v>0</v>
      </c>
      <c r="F30" s="215">
        <f>'IODA Weekly iTunes'!F30+'Orch Weekly Mgmt'!F30</f>
        <v>0</v>
      </c>
      <c r="G30" s="216">
        <f t="shared" si="3"/>
        <v>71125.844400000002</v>
      </c>
      <c r="H30" s="218">
        <f>'IODA Weekly iTunes'!H30+'Orch Weekly Mgmt'!H30</f>
        <v>142251.6888</v>
      </c>
      <c r="I30" s="218">
        <f>'IODA Weekly iTunes'!I30+'Orch Weekly Mgmt'!I30:I30</f>
        <v>185914.98862489086</v>
      </c>
      <c r="J30" s="219">
        <f t="shared" si="4"/>
        <v>-43663.299824890855</v>
      </c>
      <c r="K30" s="220">
        <f t="shared" si="5"/>
        <v>-0.23485626494046474</v>
      </c>
      <c r="L30" s="218">
        <f>'IODA Weekly iTunes'!M30+'Orch Weekly Mgmt'!M30</f>
        <v>416869.87371619832</v>
      </c>
      <c r="M30" s="218">
        <f>'IODA Weekly iTunes'!N30+'Orch Weekly Mgmt'!N30</f>
        <v>457382.54092247848</v>
      </c>
      <c r="N30" s="219">
        <f t="shared" si="1"/>
        <v>-40512.667206280166</v>
      </c>
      <c r="O30" s="220">
        <f t="shared" si="2"/>
        <v>-8.8575018898997798E-2</v>
      </c>
    </row>
    <row r="31" spans="1:19">
      <c r="A31" s="211" t="s">
        <v>14</v>
      </c>
      <c r="B31" s="215">
        <f>'IODA Weekly iTunes'!B31+'Orch Weekly Mgmt'!B31</f>
        <v>118876.10809600001</v>
      </c>
      <c r="C31" s="215">
        <f>'IODA Weekly iTunes'!C31+'Orch Weekly Mgmt'!C31</f>
        <v>101880.29270399999</v>
      </c>
      <c r="D31" s="215">
        <f>'IODA Weekly iTunes'!D31+'Orch Weekly Mgmt'!D31</f>
        <v>0</v>
      </c>
      <c r="E31" s="215">
        <f>'IODA Weekly iTunes'!E31+'Orch Weekly Mgmt'!E31</f>
        <v>0</v>
      </c>
      <c r="F31" s="215">
        <f>'IODA Weekly iTunes'!F31+'Orch Weekly Mgmt'!F31</f>
        <v>0</v>
      </c>
      <c r="G31" s="216">
        <f t="shared" ref="G31:G62" si="7">SUM(B31:F31)</f>
        <v>220756.4008</v>
      </c>
      <c r="H31" s="218">
        <f>'IODA Weekly iTunes'!H31+'Orch Weekly Mgmt'!H31</f>
        <v>441512.80160000001</v>
      </c>
      <c r="I31" s="218">
        <f>'IODA Weekly iTunes'!I31+'Orch Weekly Mgmt'!I31:I31</f>
        <v>765326.34258854878</v>
      </c>
      <c r="J31" s="219">
        <f t="shared" si="4"/>
        <v>-323813.54098854878</v>
      </c>
      <c r="K31" s="220">
        <f t="shared" si="5"/>
        <v>-0.42310518137049924</v>
      </c>
      <c r="L31" s="218">
        <f>'IODA Weekly iTunes'!M31+'Orch Weekly Mgmt'!M31</f>
        <v>1629250.8731601443</v>
      </c>
      <c r="M31" s="218">
        <f>'IODA Weekly iTunes'!N31+'Orch Weekly Mgmt'!N31</f>
        <v>1884585.3686483006</v>
      </c>
      <c r="N31" s="219">
        <f t="shared" si="1"/>
        <v>-255334.49548815633</v>
      </c>
      <c r="O31" s="220">
        <f t="shared" si="2"/>
        <v>-0.13548576771095933</v>
      </c>
    </row>
    <row r="32" spans="1:19" s="3" customFormat="1" ht="11">
      <c r="A32" s="233" t="s">
        <v>33</v>
      </c>
      <c r="B32" s="234">
        <f>'IODA Weekly iTunes'!B32+'Orch Weekly Mgmt'!B32</f>
        <v>110982.577852</v>
      </c>
      <c r="C32" s="234">
        <f>'IODA Weekly iTunes'!C32+'Orch Weekly Mgmt'!C32</f>
        <v>93418.163079999998</v>
      </c>
      <c r="D32" s="234">
        <f>'IODA Weekly iTunes'!D32+'Orch Weekly Mgmt'!D32</f>
        <v>0</v>
      </c>
      <c r="E32" s="234">
        <f>'IODA Weekly iTunes'!E32+'Orch Weekly Mgmt'!E32</f>
        <v>0</v>
      </c>
      <c r="F32" s="234">
        <f>'IODA Weekly iTunes'!F32+'Orch Weekly Mgmt'!F32</f>
        <v>0</v>
      </c>
      <c r="G32" s="235">
        <f t="shared" si="7"/>
        <v>204400.74093199999</v>
      </c>
      <c r="H32" s="236">
        <f>'IODA Weekly iTunes'!H32+'Orch Weekly Mgmt'!H32</f>
        <v>408801.48186399997</v>
      </c>
      <c r="I32" s="236">
        <f>'IODA Weekly iTunes'!I32+'Orch Weekly Mgmt'!I32:I32</f>
        <v>714345.1528540547</v>
      </c>
      <c r="J32" s="237">
        <f>H32-I32</f>
        <v>-305543.67099005473</v>
      </c>
      <c r="K32" s="238">
        <f t="shared" si="5"/>
        <v>-0.42772554663428825</v>
      </c>
      <c r="L32" s="236">
        <f>'IODA Weekly iTunes'!M32+'Orch Weekly Mgmt'!M32</f>
        <v>1524143.8581263071</v>
      </c>
      <c r="M32" s="236">
        <f>'IODA Weekly iTunes'!N32+'Orch Weekly Mgmt'!N32</f>
        <v>1759141.024530588</v>
      </c>
      <c r="N32" s="237">
        <f t="shared" si="1"/>
        <v>-234997.16640428081</v>
      </c>
      <c r="O32" s="238">
        <f t="shared" si="2"/>
        <v>-0.13358631464295925</v>
      </c>
      <c r="Q32" s="208"/>
      <c r="R32" s="154"/>
      <c r="S32" s="154"/>
    </row>
    <row r="33" spans="1:19" s="3" customFormat="1" ht="11">
      <c r="A33" s="233" t="s">
        <v>45</v>
      </c>
      <c r="B33" s="234">
        <f>'IODA Weekly iTunes'!B33+'Orch Weekly Mgmt'!B33</f>
        <v>7893.5302439999996</v>
      </c>
      <c r="C33" s="234">
        <f>'IODA Weekly iTunes'!C33+'Orch Weekly Mgmt'!C33</f>
        <v>8462.1296239999992</v>
      </c>
      <c r="D33" s="234">
        <f>'IODA Weekly iTunes'!D33+'Orch Weekly Mgmt'!D33</f>
        <v>0</v>
      </c>
      <c r="E33" s="234">
        <f>'IODA Weekly iTunes'!E33+'Orch Weekly Mgmt'!E33</f>
        <v>0</v>
      </c>
      <c r="F33" s="234">
        <f>'IODA Weekly iTunes'!F33+'Orch Weekly Mgmt'!F33</f>
        <v>0</v>
      </c>
      <c r="G33" s="235">
        <f t="shared" si="7"/>
        <v>16355.659867999999</v>
      </c>
      <c r="H33" s="236">
        <f>'IODA Weekly iTunes'!H33+'Orch Weekly Mgmt'!H33</f>
        <v>32711.319735999998</v>
      </c>
      <c r="I33" s="236">
        <f>'IODA Weekly iTunes'!I33+'Orch Weekly Mgmt'!I33:I33</f>
        <v>50981.18973449411</v>
      </c>
      <c r="J33" s="237">
        <f>H33-I33</f>
        <v>-18269.869998494112</v>
      </c>
      <c r="K33" s="238">
        <f t="shared" si="5"/>
        <v>-0.35836492034889944</v>
      </c>
      <c r="L33" s="236">
        <f>'IODA Weekly iTunes'!M33+'Orch Weekly Mgmt'!M33</f>
        <v>105107.01503383728</v>
      </c>
      <c r="M33" s="236">
        <f>'IODA Weekly iTunes'!N33+'Orch Weekly Mgmt'!N33</f>
        <v>125444.34411771251</v>
      </c>
      <c r="N33" s="237">
        <f t="shared" si="1"/>
        <v>-20337.329083875229</v>
      </c>
      <c r="O33" s="238">
        <f t="shared" si="2"/>
        <v>-0.16212232784916475</v>
      </c>
      <c r="Q33" s="208"/>
      <c r="R33" s="154"/>
      <c r="S33" s="154"/>
    </row>
    <row r="34" spans="1:19">
      <c r="A34" s="212" t="s">
        <v>180</v>
      </c>
      <c r="B34" s="215">
        <f>'IODA Weekly iTunes'!B34+'Orch Weekly Mgmt'!B34</f>
        <v>27081.518819000001</v>
      </c>
      <c r="C34" s="215">
        <f>'IODA Weekly iTunes'!C34+'Orch Weekly Mgmt'!C34</f>
        <v>46159.450444000002</v>
      </c>
      <c r="D34" s="215">
        <f>'IODA Weekly iTunes'!D34+'Orch Weekly Mgmt'!D34</f>
        <v>0</v>
      </c>
      <c r="E34" s="215">
        <f>'IODA Weekly iTunes'!E34+'Orch Weekly Mgmt'!E34</f>
        <v>0</v>
      </c>
      <c r="F34" s="215">
        <f>'IODA Weekly iTunes'!F34+'Orch Weekly Mgmt'!F34</f>
        <v>0</v>
      </c>
      <c r="G34" s="216">
        <f t="shared" si="7"/>
        <v>73240.969263000006</v>
      </c>
      <c r="H34" s="218">
        <f>'IODA Weekly iTunes'!H34+'Orch Weekly Mgmt'!H34</f>
        <v>146481.93852600001</v>
      </c>
      <c r="I34" s="218">
        <f>'IODA Weekly iTunes'!I34+'Orch Weekly Mgmt'!I34:I34</f>
        <v>136265.82879097163</v>
      </c>
      <c r="J34" s="219">
        <f t="shared" si="4"/>
        <v>10216.109735028382</v>
      </c>
      <c r="K34" s="220">
        <f t="shared" si="5"/>
        <v>7.4971912075621233E-2</v>
      </c>
      <c r="L34" s="218">
        <f>'IODA Weekly iTunes'!M34+'Orch Weekly Mgmt'!M34</f>
        <v>425497.59156924044</v>
      </c>
      <c r="M34" s="218">
        <f>'IODA Weekly iTunes'!N34+'Orch Weekly Mgmt'!N34</f>
        <v>334569.56182268233</v>
      </c>
      <c r="N34" s="219">
        <f t="shared" si="1"/>
        <v>90928.02974655811</v>
      </c>
      <c r="O34" s="220">
        <f t="shared" si="2"/>
        <v>0.27177615695581064</v>
      </c>
    </row>
    <row r="35" spans="1:19">
      <c r="A35" s="212" t="s">
        <v>190</v>
      </c>
      <c r="B35" s="215">
        <f>'IODA Weekly iTunes'!B35+'Orch Weekly Mgmt'!B35</f>
        <v>8981.2018410000001</v>
      </c>
      <c r="C35" s="215">
        <f>'IODA Weekly iTunes'!C35+'Orch Weekly Mgmt'!C35</f>
        <v>17179.812269999999</v>
      </c>
      <c r="D35" s="215">
        <f>'IODA Weekly iTunes'!D35+'Orch Weekly Mgmt'!D35</f>
        <v>0</v>
      </c>
      <c r="E35" s="215">
        <f>'IODA Weekly iTunes'!E35+'Orch Weekly Mgmt'!E35</f>
        <v>0</v>
      </c>
      <c r="F35" s="215">
        <f>'IODA Weekly iTunes'!F35+'Orch Weekly Mgmt'!F35</f>
        <v>0</v>
      </c>
      <c r="G35" s="216">
        <f t="shared" si="7"/>
        <v>26161.014110999997</v>
      </c>
      <c r="H35" s="218">
        <f>'IODA Weekly iTunes'!H35+'Orch Weekly Mgmt'!H35</f>
        <v>52322.028221999994</v>
      </c>
      <c r="I35" s="218">
        <f>'IODA Weekly iTunes'!I35+'Orch Weekly Mgmt'!I35:I35</f>
        <v>42919.17585871058</v>
      </c>
      <c r="J35" s="219">
        <f t="shared" si="4"/>
        <v>9402.8523632894139</v>
      </c>
      <c r="K35" s="220">
        <f t="shared" si="5"/>
        <v>0.21908278001990283</v>
      </c>
      <c r="L35" s="218">
        <f>'IODA Weekly iTunes'!M35+'Orch Weekly Mgmt'!M35</f>
        <v>141694.43892355799</v>
      </c>
      <c r="M35" s="218">
        <f>'IODA Weekly iTunes'!N35+'Orch Weekly Mgmt'!N35</f>
        <v>105392.72904235793</v>
      </c>
      <c r="N35" s="219">
        <f t="shared" si="1"/>
        <v>36301.709881200062</v>
      </c>
      <c r="O35" s="220">
        <f t="shared" si="2"/>
        <v>0.34444226097049069</v>
      </c>
    </row>
    <row r="36" spans="1:19">
      <c r="A36" s="212" t="s">
        <v>88</v>
      </c>
      <c r="B36" s="215">
        <f>'IODA Weekly iTunes'!B36+'Orch Weekly Mgmt'!B36</f>
        <v>9878.7243359999993</v>
      </c>
      <c r="C36" s="215">
        <f>'IODA Weekly iTunes'!C36+'Orch Weekly Mgmt'!C36</f>
        <v>8975.4044639999993</v>
      </c>
      <c r="D36" s="215">
        <f>'IODA Weekly iTunes'!D36+'Orch Weekly Mgmt'!D36</f>
        <v>0</v>
      </c>
      <c r="E36" s="215">
        <f>'IODA Weekly iTunes'!E36+'Orch Weekly Mgmt'!E36</f>
        <v>0</v>
      </c>
      <c r="F36" s="215">
        <f>'IODA Weekly iTunes'!F36+'Orch Weekly Mgmt'!F36</f>
        <v>0</v>
      </c>
      <c r="G36" s="216">
        <f t="shared" si="7"/>
        <v>18854.128799999999</v>
      </c>
      <c r="H36" s="218">
        <f>'IODA Weekly iTunes'!H36+'Orch Weekly Mgmt'!H36</f>
        <v>37708.257599999997</v>
      </c>
      <c r="I36" s="218">
        <f>'IODA Weekly iTunes'!I36+'Orch Weekly Mgmt'!I36:I36</f>
        <v>44787.654252182852</v>
      </c>
      <c r="J36" s="219">
        <f t="shared" si="4"/>
        <v>-7079.3966521828552</v>
      </c>
      <c r="K36" s="220">
        <f t="shared" si="5"/>
        <v>-0.15806580564191572</v>
      </c>
      <c r="L36" s="218">
        <f>'IODA Weekly iTunes'!M36+'Orch Weekly Mgmt'!M36</f>
        <v>117013.54947071322</v>
      </c>
      <c r="M36" s="218">
        <f>'IODA Weekly iTunes'!N36+'Orch Weekly Mgmt'!N36</f>
        <v>110247.91775575164</v>
      </c>
      <c r="N36" s="219">
        <f t="shared" si="1"/>
        <v>6765.6317149615788</v>
      </c>
      <c r="O36" s="220">
        <f t="shared" si="2"/>
        <v>6.1367433078876592E-2</v>
      </c>
    </row>
    <row r="37" spans="1:19" s="3" customFormat="1" ht="11">
      <c r="A37" s="233" t="s">
        <v>62</v>
      </c>
      <c r="B37" s="234">
        <f>'IODA Weekly iTunes'!B37+'Orch Weekly Mgmt'!B37</f>
        <v>154.22035200000002</v>
      </c>
      <c r="C37" s="234">
        <f>'IODA Weekly iTunes'!C37+'Orch Weekly Mgmt'!C37</f>
        <v>349.65652799999998</v>
      </c>
      <c r="D37" s="234">
        <f>'IODA Weekly iTunes'!D37+'Orch Weekly Mgmt'!D37</f>
        <v>0</v>
      </c>
      <c r="E37" s="234">
        <f>'IODA Weekly iTunes'!E37+'Orch Weekly Mgmt'!E37</f>
        <v>0</v>
      </c>
      <c r="F37" s="234">
        <f>'IODA Weekly iTunes'!F37+'Orch Weekly Mgmt'!F37</f>
        <v>0</v>
      </c>
      <c r="G37" s="235">
        <f t="shared" si="7"/>
        <v>503.87688000000003</v>
      </c>
      <c r="H37" s="236">
        <f>'IODA Weekly iTunes'!H37+'Orch Weekly Mgmt'!H37</f>
        <v>1007.7537600000001</v>
      </c>
      <c r="I37" s="236">
        <f>'IODA Weekly iTunes'!I37+'Orch Weekly Mgmt'!I37:I37</f>
        <v>777.39233056181729</v>
      </c>
      <c r="J37" s="237">
        <f t="shared" ref="J37:J48" si="8">H37-I37</f>
        <v>230.36142943818277</v>
      </c>
      <c r="K37" s="238">
        <f t="shared" si="5"/>
        <v>0.29632583237823018</v>
      </c>
      <c r="L37" s="236">
        <f>'IODA Weekly iTunes'!M37+'Orch Weekly Mgmt'!M37</f>
        <v>2473.2796563108063</v>
      </c>
      <c r="M37" s="236">
        <f>'IODA Weekly iTunes'!N37+'Orch Weekly Mgmt'!N37</f>
        <v>1911.0976403546256</v>
      </c>
      <c r="N37" s="237">
        <f t="shared" si="1"/>
        <v>562.18201595618075</v>
      </c>
      <c r="O37" s="238">
        <f t="shared" si="2"/>
        <v>0.29416708183045087</v>
      </c>
      <c r="Q37" s="208"/>
      <c r="R37" s="154"/>
      <c r="S37" s="154"/>
    </row>
    <row r="38" spans="1:19" s="3" customFormat="1" ht="11">
      <c r="A38" s="233" t="s">
        <v>61</v>
      </c>
      <c r="B38" s="234">
        <f>'IODA Weekly iTunes'!B38+'Orch Weekly Mgmt'!B38</f>
        <v>251.40117599999999</v>
      </c>
      <c r="C38" s="234">
        <f>'IODA Weekly iTunes'!C38+'Orch Weekly Mgmt'!C38</f>
        <v>278.76326399999999</v>
      </c>
      <c r="D38" s="234">
        <f>'IODA Weekly iTunes'!D38+'Orch Weekly Mgmt'!D38</f>
        <v>0</v>
      </c>
      <c r="E38" s="234">
        <f>'IODA Weekly iTunes'!E38+'Orch Weekly Mgmt'!E38</f>
        <v>0</v>
      </c>
      <c r="F38" s="234">
        <f>'IODA Weekly iTunes'!F38+'Orch Weekly Mgmt'!F38</f>
        <v>0</v>
      </c>
      <c r="G38" s="235">
        <f t="shared" si="7"/>
        <v>530.16444000000001</v>
      </c>
      <c r="H38" s="236">
        <f>'IODA Weekly iTunes'!H38+'Orch Weekly Mgmt'!H38</f>
        <v>1060.32888</v>
      </c>
      <c r="I38" s="236">
        <f>'IODA Weekly iTunes'!I38+'Orch Weekly Mgmt'!I38:I38</f>
        <v>991.46748225655335</v>
      </c>
      <c r="J38" s="237">
        <f t="shared" si="8"/>
        <v>68.861397743446673</v>
      </c>
      <c r="K38" s="238">
        <f t="shared" si="5"/>
        <v>6.9454015361875496E-2</v>
      </c>
      <c r="L38" s="236">
        <f>'IODA Weekly iTunes'!M38+'Orch Weekly Mgmt'!M38</f>
        <v>2862.8240481494731</v>
      </c>
      <c r="M38" s="236">
        <f>'IODA Weekly iTunes'!N38+'Orch Weekly Mgmt'!N38</f>
        <v>2436.6701384802363</v>
      </c>
      <c r="N38" s="237">
        <f t="shared" si="1"/>
        <v>426.15390966923678</v>
      </c>
      <c r="O38" s="238">
        <f t="shared" si="2"/>
        <v>0.17489191620127587</v>
      </c>
      <c r="Q38" s="208"/>
      <c r="R38" s="154"/>
      <c r="S38" s="154"/>
    </row>
    <row r="39" spans="1:19" s="3" customFormat="1" ht="11">
      <c r="A39" s="233" t="s">
        <v>60</v>
      </c>
      <c r="B39" s="234">
        <f>'IODA Weekly iTunes'!B39+'Orch Weekly Mgmt'!B39</f>
        <v>3102.7123919999999</v>
      </c>
      <c r="C39" s="234">
        <f>'IODA Weekly iTunes'!C39+'Orch Weekly Mgmt'!C39</f>
        <v>1345.5137279999999</v>
      </c>
      <c r="D39" s="234">
        <f>'IODA Weekly iTunes'!D39+'Orch Weekly Mgmt'!D39</f>
        <v>0</v>
      </c>
      <c r="E39" s="234">
        <f>'IODA Weekly iTunes'!E39+'Orch Weekly Mgmt'!E39</f>
        <v>0</v>
      </c>
      <c r="F39" s="234">
        <f>'IODA Weekly iTunes'!F39+'Orch Weekly Mgmt'!F39</f>
        <v>0</v>
      </c>
      <c r="G39" s="235">
        <f t="shared" si="7"/>
        <v>4448.2261199999994</v>
      </c>
      <c r="H39" s="236">
        <f>'IODA Weekly iTunes'!H39+'Orch Weekly Mgmt'!H39</f>
        <v>8896.4522399999987</v>
      </c>
      <c r="I39" s="236">
        <f>'IODA Weekly iTunes'!I39+'Orch Weekly Mgmt'!I39:I39</f>
        <v>13480.079627210194</v>
      </c>
      <c r="J39" s="237">
        <f t="shared" si="8"/>
        <v>-4583.6273872101956</v>
      </c>
      <c r="K39" s="238">
        <f t="shared" si="5"/>
        <v>-0.34002969670579108</v>
      </c>
      <c r="L39" s="236">
        <f>'IODA Weekly iTunes'!M39+'Orch Weekly Mgmt'!M39</f>
        <v>33883.826595316154</v>
      </c>
      <c r="M39" s="236">
        <f>'IODA Weekly iTunes'!N39+'Orch Weekly Mgmt'!N39</f>
        <v>33229.116868356112</v>
      </c>
      <c r="N39" s="237">
        <f t="shared" si="1"/>
        <v>654.70972696004173</v>
      </c>
      <c r="O39" s="238">
        <f t="shared" si="2"/>
        <v>1.9702892783874069E-2</v>
      </c>
      <c r="Q39" s="208"/>
      <c r="R39" s="154"/>
      <c r="S39" s="154"/>
    </row>
    <row r="40" spans="1:19" s="3" customFormat="1" ht="11">
      <c r="A40" s="233" t="s">
        <v>59</v>
      </c>
      <c r="B40" s="234">
        <f>'IODA Weekly iTunes'!B40+'Orch Weekly Mgmt'!B40</f>
        <v>233.01907199999999</v>
      </c>
      <c r="C40" s="234">
        <f>'IODA Weekly iTunes'!C40+'Orch Weekly Mgmt'!C40</f>
        <v>295.72545600000001</v>
      </c>
      <c r="D40" s="234">
        <f>'IODA Weekly iTunes'!D40+'Orch Weekly Mgmt'!D40</f>
        <v>0</v>
      </c>
      <c r="E40" s="234">
        <f>'IODA Weekly iTunes'!E40+'Orch Weekly Mgmt'!E40</f>
        <v>0</v>
      </c>
      <c r="F40" s="234">
        <f>'IODA Weekly iTunes'!F40+'Orch Weekly Mgmt'!F40</f>
        <v>0</v>
      </c>
      <c r="G40" s="235">
        <f t="shared" si="7"/>
        <v>528.74452799999995</v>
      </c>
      <c r="H40" s="236">
        <f>'IODA Weekly iTunes'!H40+'Orch Weekly Mgmt'!H40</f>
        <v>1057.4890559999999</v>
      </c>
      <c r="I40" s="236">
        <f>'IODA Weekly iTunes'!I40+'Orch Weekly Mgmt'!I40:I40</f>
        <v>1055.6778779150472</v>
      </c>
      <c r="J40" s="237">
        <f t="shared" si="8"/>
        <v>1.811178084952644</v>
      </c>
      <c r="K40" s="238">
        <f t="shared" si="5"/>
        <v>1.715654105142093E-3</v>
      </c>
      <c r="L40" s="236">
        <f>'IODA Weekly iTunes'!M40+'Orch Weekly Mgmt'!M40</f>
        <v>3028.4009716599048</v>
      </c>
      <c r="M40" s="236">
        <f>'IODA Weekly iTunes'!N40+'Orch Weekly Mgmt'!N40</f>
        <v>2595.7773394110172</v>
      </c>
      <c r="N40" s="237">
        <f t="shared" si="1"/>
        <v>432.62363224888759</v>
      </c>
      <c r="O40" s="238">
        <f t="shared" si="2"/>
        <v>0.16666438437552969</v>
      </c>
      <c r="Q40" s="208"/>
      <c r="R40" s="154"/>
      <c r="S40" s="154"/>
    </row>
    <row r="41" spans="1:19" s="3" customFormat="1" ht="11">
      <c r="A41" s="233" t="s">
        <v>58</v>
      </c>
      <c r="B41" s="234">
        <f>'IODA Weekly iTunes'!B41+'Orch Weekly Mgmt'!B41</f>
        <v>702.75410399999998</v>
      </c>
      <c r="C41" s="234">
        <f>'IODA Weekly iTunes'!C41+'Orch Weekly Mgmt'!C41</f>
        <v>822.93494399999997</v>
      </c>
      <c r="D41" s="234">
        <f>'IODA Weekly iTunes'!D41+'Orch Weekly Mgmt'!D41</f>
        <v>0</v>
      </c>
      <c r="E41" s="234">
        <f>'IODA Weekly iTunes'!E41+'Orch Weekly Mgmt'!E41</f>
        <v>0</v>
      </c>
      <c r="F41" s="234">
        <f>'IODA Weekly iTunes'!F41+'Orch Weekly Mgmt'!F41</f>
        <v>0</v>
      </c>
      <c r="G41" s="235">
        <f t="shared" si="7"/>
        <v>1525.689048</v>
      </c>
      <c r="H41" s="236">
        <f>'IODA Weekly iTunes'!H41+'Orch Weekly Mgmt'!H41</f>
        <v>3051.3780959999999</v>
      </c>
      <c r="I41" s="236">
        <f>'IODA Weekly iTunes'!I41+'Orch Weekly Mgmt'!I41:I41</f>
        <v>4375.6336368317261</v>
      </c>
      <c r="J41" s="237">
        <f t="shared" si="8"/>
        <v>-1324.2555408317262</v>
      </c>
      <c r="K41" s="238">
        <f t="shared" si="5"/>
        <v>-0.30264314856821117</v>
      </c>
      <c r="L41" s="236">
        <f>'IODA Weekly iTunes'!M41+'Orch Weekly Mgmt'!M41</f>
        <v>11806.498205856131</v>
      </c>
      <c r="M41" s="236">
        <f>'IODA Weekly iTunes'!N41+'Orch Weekly Mgmt'!N41</f>
        <v>10775.745618370658</v>
      </c>
      <c r="N41" s="237">
        <f t="shared" si="1"/>
        <v>1030.7525874854728</v>
      </c>
      <c r="O41" s="238">
        <f t="shared" si="2"/>
        <v>9.5654873824065567E-2</v>
      </c>
      <c r="Q41" s="208"/>
      <c r="R41" s="154"/>
      <c r="S41" s="154"/>
    </row>
    <row r="42" spans="1:19" s="3" customFormat="1" ht="11">
      <c r="A42" s="233" t="s">
        <v>57</v>
      </c>
      <c r="B42" s="234">
        <f>'IODA Weekly iTunes'!B42+'Orch Weekly Mgmt'!B42</f>
        <v>324.99355200000002</v>
      </c>
      <c r="C42" s="234">
        <f>'IODA Weekly iTunes'!C42+'Orch Weekly Mgmt'!C42</f>
        <v>602.93812800000001</v>
      </c>
      <c r="D42" s="234">
        <f>'IODA Weekly iTunes'!D42+'Orch Weekly Mgmt'!D42</f>
        <v>0</v>
      </c>
      <c r="E42" s="234">
        <f>'IODA Weekly iTunes'!E42+'Orch Weekly Mgmt'!E42</f>
        <v>0</v>
      </c>
      <c r="F42" s="234">
        <f>'IODA Weekly iTunes'!F42+'Orch Weekly Mgmt'!F42</f>
        <v>0</v>
      </c>
      <c r="G42" s="235">
        <f t="shared" si="7"/>
        <v>927.93168000000003</v>
      </c>
      <c r="H42" s="236">
        <f>'IODA Weekly iTunes'!H42+'Orch Weekly Mgmt'!H42</f>
        <v>1855.8633600000001</v>
      </c>
      <c r="I42" s="236">
        <f>'IODA Weekly iTunes'!I42+'Orch Weekly Mgmt'!I42:I42</f>
        <v>1519.2913899082164</v>
      </c>
      <c r="J42" s="237">
        <f t="shared" si="8"/>
        <v>336.57197009178367</v>
      </c>
      <c r="K42" s="238">
        <f t="shared" si="5"/>
        <v>0.22153220397840648</v>
      </c>
      <c r="L42" s="236">
        <f>'IODA Weekly iTunes'!M42+'Orch Weekly Mgmt'!M42</f>
        <v>4733.4995812896332</v>
      </c>
      <c r="M42" s="236">
        <f>'IODA Weekly iTunes'!N42+'Orch Weekly Mgmt'!N42</f>
        <v>3732.7534173058525</v>
      </c>
      <c r="N42" s="237">
        <f t="shared" si="1"/>
        <v>1000.7461639837807</v>
      </c>
      <c r="O42" s="238">
        <f t="shared" si="2"/>
        <v>0.26809865322046317</v>
      </c>
      <c r="Q42" s="208"/>
      <c r="R42" s="154"/>
      <c r="S42" s="154"/>
    </row>
    <row r="43" spans="1:19" s="3" customFormat="1" ht="11">
      <c r="A43" s="233" t="s">
        <v>56</v>
      </c>
      <c r="B43" s="234">
        <f>'IODA Weekly iTunes'!B43+'Orch Weekly Mgmt'!B43</f>
        <v>105.866592</v>
      </c>
      <c r="C43" s="234">
        <f>'IODA Weekly iTunes'!C43+'Orch Weekly Mgmt'!C43</f>
        <v>119.91220800000001</v>
      </c>
      <c r="D43" s="234">
        <f>'IODA Weekly iTunes'!D43+'Orch Weekly Mgmt'!D43</f>
        <v>0</v>
      </c>
      <c r="E43" s="234">
        <f>'IODA Weekly iTunes'!E43+'Orch Weekly Mgmt'!E43</f>
        <v>0</v>
      </c>
      <c r="F43" s="234">
        <f>'IODA Weekly iTunes'!F43+'Orch Weekly Mgmt'!F43</f>
        <v>0</v>
      </c>
      <c r="G43" s="235">
        <f t="shared" si="7"/>
        <v>225.77879999999999</v>
      </c>
      <c r="H43" s="236">
        <f>'IODA Weekly iTunes'!H43+'Orch Weekly Mgmt'!H43</f>
        <v>451.55760000000004</v>
      </c>
      <c r="I43" s="236">
        <f>'IODA Weekly iTunes'!I43+'Orch Weekly Mgmt'!I43:I43</f>
        <v>576.70928123080159</v>
      </c>
      <c r="J43" s="237">
        <f t="shared" si="8"/>
        <v>-125.15168123080156</v>
      </c>
      <c r="K43" s="238">
        <f t="shared" si="5"/>
        <v>-0.21701000019230712</v>
      </c>
      <c r="L43" s="236">
        <f>'IODA Weekly iTunes'!M43+'Orch Weekly Mgmt'!M43</f>
        <v>1526.7672297740942</v>
      </c>
      <c r="M43" s="236">
        <f>'IODA Weekly iTunes'!N43+'Orch Weekly Mgmt'!N43</f>
        <v>1417.9043573160263</v>
      </c>
      <c r="N43" s="237">
        <f t="shared" si="1"/>
        <v>108.86287245806784</v>
      </c>
      <c r="O43" s="238">
        <f t="shared" si="2"/>
        <v>7.6777302993931193E-2</v>
      </c>
      <c r="Q43" s="208"/>
      <c r="R43" s="154"/>
      <c r="S43" s="154"/>
    </row>
    <row r="44" spans="1:19" s="3" customFormat="1" ht="11">
      <c r="A44" s="233" t="s">
        <v>55</v>
      </c>
      <c r="B44" s="234">
        <f>'IODA Weekly iTunes'!B44+'Orch Weekly Mgmt'!B44</f>
        <v>146.90332799999999</v>
      </c>
      <c r="C44" s="234">
        <f>'IODA Weekly iTunes'!C44+'Orch Weekly Mgmt'!C44</f>
        <v>87.190271999999993</v>
      </c>
      <c r="D44" s="234">
        <f>'IODA Weekly iTunes'!D44+'Orch Weekly Mgmt'!D44</f>
        <v>0</v>
      </c>
      <c r="E44" s="234">
        <f>'IODA Weekly iTunes'!E44+'Orch Weekly Mgmt'!E44</f>
        <v>0</v>
      </c>
      <c r="F44" s="234">
        <f>'IODA Weekly iTunes'!F44+'Orch Weekly Mgmt'!F44</f>
        <v>0</v>
      </c>
      <c r="G44" s="235">
        <f t="shared" si="7"/>
        <v>234.09359999999998</v>
      </c>
      <c r="H44" s="236">
        <f>'IODA Weekly iTunes'!H44+'Orch Weekly Mgmt'!H44</f>
        <v>468.18719999999996</v>
      </c>
      <c r="I44" s="236">
        <f>'IODA Weekly iTunes'!I44+'Orch Weekly Mgmt'!I44:I44</f>
        <v>680.45970928530824</v>
      </c>
      <c r="J44" s="237">
        <f t="shared" si="8"/>
        <v>-212.27250928530827</v>
      </c>
      <c r="K44" s="238">
        <f t="shared" si="5"/>
        <v>-0.31195456011386719</v>
      </c>
      <c r="L44" s="236">
        <f>'IODA Weekly iTunes'!M44+'Orch Weekly Mgmt'!M44</f>
        <v>1914.0258250734339</v>
      </c>
      <c r="M44" s="236">
        <f>'IODA Weekly iTunes'!N44+'Orch Weekly Mgmt'!N44</f>
        <v>1673.5944039662752</v>
      </c>
      <c r="N44" s="237">
        <f t="shared" si="1"/>
        <v>240.43142110715871</v>
      </c>
      <c r="O44" s="238">
        <f t="shared" si="2"/>
        <v>0.14366170234398304</v>
      </c>
      <c r="Q44" s="208"/>
      <c r="R44" s="154"/>
      <c r="S44" s="154"/>
    </row>
    <row r="45" spans="1:19" s="3" customFormat="1" ht="11">
      <c r="A45" s="233" t="s">
        <v>54</v>
      </c>
      <c r="B45" s="234">
        <f>'IODA Weekly iTunes'!B45+'Orch Weekly Mgmt'!B45</f>
        <v>3490.4762879999998</v>
      </c>
      <c r="C45" s="234">
        <f>'IODA Weekly iTunes'!C45+'Orch Weekly Mgmt'!C45</f>
        <v>3763.4319839999998</v>
      </c>
      <c r="D45" s="234">
        <f>'IODA Weekly iTunes'!D45+'Orch Weekly Mgmt'!D45</f>
        <v>0</v>
      </c>
      <c r="E45" s="234">
        <f>'IODA Weekly iTunes'!E45+'Orch Weekly Mgmt'!E45</f>
        <v>0</v>
      </c>
      <c r="F45" s="234">
        <f>'IODA Weekly iTunes'!F45+'Orch Weekly Mgmt'!F45</f>
        <v>0</v>
      </c>
      <c r="G45" s="235">
        <f t="shared" si="7"/>
        <v>7253.9082719999997</v>
      </c>
      <c r="H45" s="236">
        <f>'IODA Weekly iTunes'!H45+'Orch Weekly Mgmt'!H45</f>
        <v>14507.816543999999</v>
      </c>
      <c r="I45" s="236">
        <f>'IODA Weekly iTunes'!I45+'Orch Weekly Mgmt'!I45:I45</f>
        <v>14008.688631640392</v>
      </c>
      <c r="J45" s="237">
        <f t="shared" si="8"/>
        <v>499.12791235960685</v>
      </c>
      <c r="K45" s="238">
        <f t="shared" si="5"/>
        <v>3.5629881246147722E-2</v>
      </c>
      <c r="L45" s="236">
        <f>'IODA Weekly iTunes'!M45+'Orch Weekly Mgmt'!M45</f>
        <v>35978.40511817106</v>
      </c>
      <c r="M45" s="236">
        <f>'IODA Weekly iTunes'!N45+'Orch Weekly Mgmt'!N45</f>
        <v>34461.498372897964</v>
      </c>
      <c r="N45" s="237">
        <f t="shared" si="1"/>
        <v>1516.906745273096</v>
      </c>
      <c r="O45" s="238">
        <f t="shared" si="2"/>
        <v>4.4017434438255829E-2</v>
      </c>
      <c r="Q45" s="208"/>
      <c r="R45" s="154"/>
      <c r="S45" s="154"/>
    </row>
    <row r="46" spans="1:19" s="3" customFormat="1" ht="11">
      <c r="A46" s="233" t="s">
        <v>53</v>
      </c>
      <c r="B46" s="234">
        <f>'IODA Weekly iTunes'!B46+'Orch Weekly Mgmt'!B46</f>
        <v>411.48026399999998</v>
      </c>
      <c r="C46" s="234">
        <f>'IODA Weekly iTunes'!C46+'Orch Weekly Mgmt'!C46</f>
        <v>603.98707200000001</v>
      </c>
      <c r="D46" s="234">
        <f>'IODA Weekly iTunes'!D46+'Orch Weekly Mgmt'!D46</f>
        <v>0</v>
      </c>
      <c r="E46" s="234">
        <f>'IODA Weekly iTunes'!E46+'Orch Weekly Mgmt'!E46</f>
        <v>0</v>
      </c>
      <c r="F46" s="234">
        <f>'IODA Weekly iTunes'!F46+'Orch Weekly Mgmt'!F46</f>
        <v>0</v>
      </c>
      <c r="G46" s="235">
        <f t="shared" si="7"/>
        <v>1015.4673359999999</v>
      </c>
      <c r="H46" s="236">
        <f>'IODA Weekly iTunes'!H46+'Orch Weekly Mgmt'!H46</f>
        <v>2030.9346719999999</v>
      </c>
      <c r="I46" s="236">
        <f>'IODA Weekly iTunes'!I46+'Orch Weekly Mgmt'!I46:I46</f>
        <v>3048.2587295960166</v>
      </c>
      <c r="J46" s="237">
        <f t="shared" si="8"/>
        <v>-1017.3240575960167</v>
      </c>
      <c r="K46" s="238">
        <f t="shared" si="5"/>
        <v>-0.33373940594958679</v>
      </c>
      <c r="L46" s="236">
        <f>'IODA Weekly iTunes'!M46+'Orch Weekly Mgmt'!M46</f>
        <v>6954.5905585904802</v>
      </c>
      <c r="M46" s="236">
        <f>'IODA Weekly iTunes'!N46+'Orch Weekly Mgmt'!N46</f>
        <v>7491.1662947410205</v>
      </c>
      <c r="N46" s="237">
        <f t="shared" si="1"/>
        <v>-536.57573615054025</v>
      </c>
      <c r="O46" s="238">
        <f t="shared" si="2"/>
        <v>-7.1627796665951649E-2</v>
      </c>
      <c r="Q46" s="208"/>
      <c r="R46" s="154"/>
      <c r="S46" s="154"/>
    </row>
    <row r="47" spans="1:19" s="3" customFormat="1" ht="11">
      <c r="A47" s="233" t="s">
        <v>52</v>
      </c>
      <c r="B47" s="234">
        <f>'IODA Weekly iTunes'!B47+'Orch Weekly Mgmt'!B47</f>
        <v>760.38206400000001</v>
      </c>
      <c r="C47" s="234">
        <f>'IODA Weekly iTunes'!C47+'Orch Weekly Mgmt'!C47</f>
        <v>485.40523200000001</v>
      </c>
      <c r="D47" s="234">
        <f>'IODA Weekly iTunes'!D47+'Orch Weekly Mgmt'!D47</f>
        <v>0</v>
      </c>
      <c r="E47" s="234">
        <f>'IODA Weekly iTunes'!E47+'Orch Weekly Mgmt'!E47</f>
        <v>0</v>
      </c>
      <c r="F47" s="234">
        <f>'IODA Weekly iTunes'!F47+'Orch Weekly Mgmt'!F47</f>
        <v>0</v>
      </c>
      <c r="G47" s="235">
        <f t="shared" si="7"/>
        <v>1245.787296</v>
      </c>
      <c r="H47" s="236">
        <f>'IODA Weekly iTunes'!H47+'Orch Weekly Mgmt'!H47</f>
        <v>2491.5745919999999</v>
      </c>
      <c r="I47" s="236">
        <f>'IODA Weekly iTunes'!I47+'Orch Weekly Mgmt'!I47:I47</f>
        <v>3370.8379876422837</v>
      </c>
      <c r="J47" s="237">
        <f t="shared" si="8"/>
        <v>-879.26339564228374</v>
      </c>
      <c r="K47" s="238">
        <f t="shared" si="5"/>
        <v>-0.26084415770372882</v>
      </c>
      <c r="L47" s="236">
        <f>'IODA Weekly iTunes'!M47+'Orch Weekly Mgmt'!M47</f>
        <v>9424.6822960433892</v>
      </c>
      <c r="M47" s="236">
        <f>'IODA Weekly iTunes'!N47+'Orch Weekly Mgmt'!N47</f>
        <v>8302.8303098911983</v>
      </c>
      <c r="N47" s="237">
        <f t="shared" si="1"/>
        <v>1121.8519861521909</v>
      </c>
      <c r="O47" s="238">
        <f t="shared" si="2"/>
        <v>0.13511681490295227</v>
      </c>
      <c r="Q47" s="208"/>
      <c r="R47" s="154"/>
      <c r="S47" s="154"/>
    </row>
    <row r="48" spans="1:19" s="3" customFormat="1" ht="11">
      <c r="A48" s="233" t="s">
        <v>90</v>
      </c>
      <c r="B48" s="234">
        <f>'IODA Weekly iTunes'!B48+'Orch Weekly Mgmt'!B48</f>
        <v>194.515152</v>
      </c>
      <c r="C48" s="234">
        <f>'IODA Weekly iTunes'!C48+'Orch Weekly Mgmt'!C48</f>
        <v>219.94564800000001</v>
      </c>
      <c r="D48" s="234">
        <f>'IODA Weekly iTunes'!D48+'Orch Weekly Mgmt'!D48</f>
        <v>0</v>
      </c>
      <c r="E48" s="234">
        <f>'IODA Weekly iTunes'!E48+'Orch Weekly Mgmt'!E48</f>
        <v>0</v>
      </c>
      <c r="F48" s="234">
        <f>'IODA Weekly iTunes'!F48+'Orch Weekly Mgmt'!F48</f>
        <v>0</v>
      </c>
      <c r="G48" s="235">
        <f t="shared" si="7"/>
        <v>414.46080000000001</v>
      </c>
      <c r="H48" s="236">
        <f>'IODA Weekly iTunes'!H48+'Orch Weekly Mgmt'!H48</f>
        <v>828.92160000000001</v>
      </c>
      <c r="I48" s="236">
        <f>'IODA Weekly iTunes'!I48+'Orch Weekly Mgmt'!I48:I48</f>
        <v>903.15756810449682</v>
      </c>
      <c r="J48" s="237">
        <f t="shared" si="8"/>
        <v>-74.235968104496806</v>
      </c>
      <c r="K48" s="238">
        <f t="shared" si="5"/>
        <v>-8.2196031707180012E-2</v>
      </c>
      <c r="L48" s="236">
        <f>'IODA Weekly iTunes'!M48+'Orch Weekly Mgmt'!M48</f>
        <v>2426.7493844786641</v>
      </c>
      <c r="M48" s="236">
        <f>'IODA Weekly iTunes'!N48+'Orch Weekly Mgmt'!N48</f>
        <v>2219.7629946606467</v>
      </c>
      <c r="N48" s="237">
        <f t="shared" si="1"/>
        <v>206.98638981801741</v>
      </c>
      <c r="O48" s="238">
        <f t="shared" si="2"/>
        <v>9.3247067509412696E-2</v>
      </c>
      <c r="Q48" s="208"/>
      <c r="R48" s="154"/>
      <c r="S48" s="154"/>
    </row>
    <row r="49" spans="1:19">
      <c r="A49" s="212" t="s">
        <v>95</v>
      </c>
      <c r="B49" s="215">
        <f>'IODA Weekly iTunes'!B49+'Orch Weekly Mgmt'!B49</f>
        <v>53322.039999999994</v>
      </c>
      <c r="C49" s="215">
        <f>'IODA Weekly iTunes'!C49+'Orch Weekly Mgmt'!C49</f>
        <v>36380.920000000006</v>
      </c>
      <c r="D49" s="215">
        <f>'IODA Weekly iTunes'!D49+'Orch Weekly Mgmt'!D49</f>
        <v>0</v>
      </c>
      <c r="E49" s="215">
        <f>'IODA Weekly iTunes'!E49+'Orch Weekly Mgmt'!E49</f>
        <v>0</v>
      </c>
      <c r="F49" s="215">
        <f>'IODA Weekly iTunes'!F49+'Orch Weekly Mgmt'!F49</f>
        <v>0</v>
      </c>
      <c r="G49" s="216">
        <f t="shared" si="7"/>
        <v>89702.959999999992</v>
      </c>
      <c r="H49" s="218">
        <f>'IODA Weekly iTunes'!H49+'Orch Weekly Mgmt'!H49</f>
        <v>179405.92</v>
      </c>
      <c r="I49" s="218">
        <f>'IODA Weekly iTunes'!I49+'Orch Weekly Mgmt'!I49:I49</f>
        <v>290028.65081785369</v>
      </c>
      <c r="J49" s="219">
        <f t="shared" si="4"/>
        <v>-110622.73081785368</v>
      </c>
      <c r="K49" s="220">
        <f t="shared" si="5"/>
        <v>-0.38142000973320367</v>
      </c>
      <c r="L49" s="218">
        <f>'IODA Weekly iTunes'!M49+'Orch Weekly Mgmt'!M49</f>
        <v>741461.12000153807</v>
      </c>
      <c r="M49" s="218">
        <f>'IODA Weekly iTunes'!N49+'Orch Weekly Mgmt'!N49</f>
        <v>714535.53139619459</v>
      </c>
      <c r="N49" s="219">
        <f t="shared" si="1"/>
        <v>26925.588605343481</v>
      </c>
      <c r="O49" s="220">
        <f t="shared" si="2"/>
        <v>3.7682644770276399E-2</v>
      </c>
    </row>
    <row r="50" spans="1:19" s="3" customFormat="1" ht="11">
      <c r="A50" s="233" t="s">
        <v>126</v>
      </c>
      <c r="B50" s="234">
        <f>'IODA Weekly iTunes'!B50+'Orch Weekly Mgmt'!B50</f>
        <v>2099.67</v>
      </c>
      <c r="C50" s="234">
        <f>'IODA Weekly iTunes'!C50+'Orch Weekly Mgmt'!C50</f>
        <v>2712.3</v>
      </c>
      <c r="D50" s="234">
        <f>'IODA Weekly iTunes'!D50+'Orch Weekly Mgmt'!D50</f>
        <v>0</v>
      </c>
      <c r="E50" s="234">
        <f>'IODA Weekly iTunes'!E50+'Orch Weekly Mgmt'!E50</f>
        <v>0</v>
      </c>
      <c r="F50" s="234">
        <f>'IODA Weekly iTunes'!F50+'Orch Weekly Mgmt'!F50</f>
        <v>0</v>
      </c>
      <c r="G50" s="235">
        <f t="shared" si="7"/>
        <v>4811.97</v>
      </c>
      <c r="H50" s="236">
        <f>'IODA Weekly iTunes'!H50+'Orch Weekly Mgmt'!H50</f>
        <v>9623.94</v>
      </c>
      <c r="I50" s="236">
        <f>'IODA Weekly iTunes'!I50+'Orch Weekly Mgmt'!I50:I50</f>
        <v>13832.328664285325</v>
      </c>
      <c r="J50" s="237">
        <f t="shared" ref="J50:J81" si="9">H50-I50</f>
        <v>-4208.3886642853249</v>
      </c>
      <c r="K50" s="238">
        <f t="shared" si="5"/>
        <v>-0.3042429634535263</v>
      </c>
      <c r="L50" s="236">
        <f>'IODA Weekly iTunes'!M50+'Orch Weekly Mgmt'!M50</f>
        <v>36694.039976181972</v>
      </c>
      <c r="M50" s="236">
        <f>'IODA Weekly iTunes'!N50+'Orch Weekly Mgmt'!N50</f>
        <v>33980.075066830163</v>
      </c>
      <c r="N50" s="237">
        <f t="shared" si="1"/>
        <v>2713.9649093518092</v>
      </c>
      <c r="O50" s="238">
        <f t="shared" si="2"/>
        <v>7.9869302937504716E-2</v>
      </c>
      <c r="Q50" s="208"/>
      <c r="R50" s="154"/>
      <c r="S50" s="154"/>
    </row>
    <row r="51" spans="1:19" s="3" customFormat="1" ht="11">
      <c r="A51" s="233" t="s">
        <v>132</v>
      </c>
      <c r="B51" s="234">
        <f>'IODA Weekly iTunes'!B51+'Orch Weekly Mgmt'!B51</f>
        <v>6.71</v>
      </c>
      <c r="C51" s="234">
        <f>'IODA Weekly iTunes'!C51+'Orch Weekly Mgmt'!C51</f>
        <v>1.22</v>
      </c>
      <c r="D51" s="234">
        <f>'IODA Weekly iTunes'!D51+'Orch Weekly Mgmt'!D51</f>
        <v>0</v>
      </c>
      <c r="E51" s="234">
        <f>'IODA Weekly iTunes'!E51+'Orch Weekly Mgmt'!E51</f>
        <v>0</v>
      </c>
      <c r="F51" s="234">
        <f>'IODA Weekly iTunes'!F51+'Orch Weekly Mgmt'!F51</f>
        <v>0</v>
      </c>
      <c r="G51" s="235">
        <f t="shared" si="7"/>
        <v>7.93</v>
      </c>
      <c r="H51" s="236">
        <f>'IODA Weekly iTunes'!H51+'Orch Weekly Mgmt'!H51</f>
        <v>15.86</v>
      </c>
      <c r="I51" s="236">
        <f>'IODA Weekly iTunes'!I51+'Orch Weekly Mgmt'!I51:I51</f>
        <v>64.302233548427097</v>
      </c>
      <c r="J51" s="237">
        <f t="shared" si="9"/>
        <v>-48.442233548427097</v>
      </c>
      <c r="K51" s="238">
        <f t="shared" si="5"/>
        <v>-0.75335226904590236</v>
      </c>
      <c r="L51" s="236">
        <f>'IODA Weekly iTunes'!M51+'Orch Weekly Mgmt'!M51</f>
        <v>121.45666633605953</v>
      </c>
      <c r="M51" s="236">
        <f>'IODA Weekly iTunes'!N51+'Orch Weekly Mgmt'!N51</f>
        <v>158.11770785253668</v>
      </c>
      <c r="N51" s="237">
        <f t="shared" si="1"/>
        <v>-36.661041516477155</v>
      </c>
      <c r="O51" s="238">
        <f t="shared" si="2"/>
        <v>-0.23185917639704137</v>
      </c>
      <c r="Q51" s="208"/>
      <c r="R51" s="154"/>
      <c r="S51" s="154"/>
    </row>
    <row r="52" spans="1:19" s="3" customFormat="1" ht="11">
      <c r="A52" s="233" t="s">
        <v>134</v>
      </c>
      <c r="B52" s="234">
        <f>'IODA Weekly iTunes'!B52+'Orch Weekly Mgmt'!B52</f>
        <v>41.480000000000004</v>
      </c>
      <c r="C52" s="234">
        <f>'IODA Weekly iTunes'!C52+'Orch Weekly Mgmt'!C52</f>
        <v>17.940000000000001</v>
      </c>
      <c r="D52" s="234">
        <f>'IODA Weekly iTunes'!D52+'Orch Weekly Mgmt'!D52</f>
        <v>0</v>
      </c>
      <c r="E52" s="234">
        <f>'IODA Weekly iTunes'!E52+'Orch Weekly Mgmt'!E52</f>
        <v>0</v>
      </c>
      <c r="F52" s="234">
        <f>'IODA Weekly iTunes'!F52+'Orch Weekly Mgmt'!F52</f>
        <v>0</v>
      </c>
      <c r="G52" s="235">
        <f t="shared" si="7"/>
        <v>59.42</v>
      </c>
      <c r="H52" s="236">
        <f>'IODA Weekly iTunes'!H52+'Orch Weekly Mgmt'!H52</f>
        <v>118.84</v>
      </c>
      <c r="I52" s="236">
        <f>'IODA Weekly iTunes'!I52+'Orch Weekly Mgmt'!I52:I52</f>
        <v>193.35452928659501</v>
      </c>
      <c r="J52" s="237">
        <f t="shared" si="9"/>
        <v>-74.514529286595007</v>
      </c>
      <c r="K52" s="238">
        <f t="shared" si="5"/>
        <v>-0.385377728473832</v>
      </c>
      <c r="L52" s="236">
        <f>'IODA Weekly iTunes'!M52+'Orch Weekly Mgmt'!M52</f>
        <v>482.05999883651725</v>
      </c>
      <c r="M52" s="236">
        <f>'IODA Weekly iTunes'!N52+'Orch Weekly Mgmt'!N52</f>
        <v>475.24652338613134</v>
      </c>
      <c r="N52" s="237">
        <f t="shared" si="1"/>
        <v>6.8134754503859085</v>
      </c>
      <c r="O52" s="238">
        <f t="shared" si="2"/>
        <v>1.4336718134916375E-2</v>
      </c>
      <c r="Q52" s="208"/>
      <c r="R52" s="154"/>
      <c r="S52" s="154"/>
    </row>
    <row r="53" spans="1:19" s="3" customFormat="1" ht="11">
      <c r="A53" s="233" t="s">
        <v>136</v>
      </c>
      <c r="B53" s="234">
        <f>'IODA Weekly iTunes'!B53+'Orch Weekly Mgmt'!B53</f>
        <v>39243.550000000003</v>
      </c>
      <c r="C53" s="234">
        <f>'IODA Weekly iTunes'!C53+'Orch Weekly Mgmt'!C53</f>
        <v>19027.2</v>
      </c>
      <c r="D53" s="234">
        <f>'IODA Weekly iTunes'!D53+'Orch Weekly Mgmt'!D53</f>
        <v>0</v>
      </c>
      <c r="E53" s="234">
        <f>'IODA Weekly iTunes'!E53+'Orch Weekly Mgmt'!E53</f>
        <v>0</v>
      </c>
      <c r="F53" s="234">
        <f>'IODA Weekly iTunes'!F53+'Orch Weekly Mgmt'!F53</f>
        <v>0</v>
      </c>
      <c r="G53" s="235">
        <f t="shared" si="7"/>
        <v>58270.75</v>
      </c>
      <c r="H53" s="236">
        <f>'IODA Weekly iTunes'!H53+'Orch Weekly Mgmt'!H53</f>
        <v>116541.5</v>
      </c>
      <c r="I53" s="236">
        <f>'IODA Weekly iTunes'!I53+'Orch Weekly Mgmt'!I53:I53</f>
        <v>205073.0066379155</v>
      </c>
      <c r="J53" s="237">
        <f t="shared" si="9"/>
        <v>-88531.506637915503</v>
      </c>
      <c r="K53" s="238">
        <f t="shared" si="5"/>
        <v>-0.4317072641073138</v>
      </c>
      <c r="L53" s="236">
        <f>'IODA Weekly iTunes'!M53+'Orch Weekly Mgmt'!M53</f>
        <v>513616.12973618531</v>
      </c>
      <c r="M53" s="236">
        <f>'IODA Weekly iTunes'!N53+'Orch Weekly Mgmt'!N53</f>
        <v>505569.82255892875</v>
      </c>
      <c r="N53" s="237">
        <f t="shared" si="1"/>
        <v>8046.30717725656</v>
      </c>
      <c r="O53" s="238">
        <f t="shared" si="2"/>
        <v>1.5915323301003967E-2</v>
      </c>
      <c r="Q53" s="208"/>
      <c r="R53" s="154"/>
      <c r="S53" s="154"/>
    </row>
    <row r="54" spans="1:19" s="3" customFormat="1" ht="11">
      <c r="A54" s="233" t="s">
        <v>142</v>
      </c>
      <c r="B54" s="234">
        <f>'IODA Weekly iTunes'!B54+'Orch Weekly Mgmt'!B54</f>
        <v>3642.49</v>
      </c>
      <c r="C54" s="234">
        <f>'IODA Weekly iTunes'!C54+'Orch Weekly Mgmt'!C54</f>
        <v>5042.18</v>
      </c>
      <c r="D54" s="234">
        <f>'IODA Weekly iTunes'!D54+'Orch Weekly Mgmt'!D54</f>
        <v>0</v>
      </c>
      <c r="E54" s="234">
        <f>'IODA Weekly iTunes'!E54+'Orch Weekly Mgmt'!E54</f>
        <v>0</v>
      </c>
      <c r="F54" s="234">
        <f>'IODA Weekly iTunes'!F54+'Orch Weekly Mgmt'!F54</f>
        <v>0</v>
      </c>
      <c r="G54" s="235">
        <f t="shared" si="7"/>
        <v>8684.67</v>
      </c>
      <c r="H54" s="236">
        <f>'IODA Weekly iTunes'!H54+'Orch Weekly Mgmt'!H54</f>
        <v>17369.340000000004</v>
      </c>
      <c r="I54" s="236">
        <f>'IODA Weekly iTunes'!I54+'Orch Weekly Mgmt'!I54:I54</f>
        <v>21893.746042679497</v>
      </c>
      <c r="J54" s="237">
        <f t="shared" si="9"/>
        <v>-4524.4060426794931</v>
      </c>
      <c r="K54" s="238">
        <f t="shared" si="5"/>
        <v>-0.20665289685281138</v>
      </c>
      <c r="L54" s="236">
        <f>'IODA Weekly iTunes'!M54+'Orch Weekly Mgmt'!M54</f>
        <v>61237.149951424595</v>
      </c>
      <c r="M54" s="236">
        <f>'IODA Weekly iTunes'!N54+'Orch Weekly Mgmt'!N54</f>
        <v>53848.135456555246</v>
      </c>
      <c r="N54" s="237">
        <f t="shared" si="1"/>
        <v>7389.0144948693487</v>
      </c>
      <c r="O54" s="238">
        <f t="shared" si="2"/>
        <v>0.13721950504360206</v>
      </c>
      <c r="Q54" s="208"/>
      <c r="R54" s="154"/>
      <c r="S54" s="154"/>
    </row>
    <row r="55" spans="1:19" s="3" customFormat="1" ht="11">
      <c r="A55" s="233" t="s">
        <v>143</v>
      </c>
      <c r="B55" s="234">
        <f>'IODA Weekly iTunes'!B55+'Orch Weekly Mgmt'!B55</f>
        <v>3779.5699999999997</v>
      </c>
      <c r="C55" s="234">
        <f>'IODA Weekly iTunes'!C55+'Orch Weekly Mgmt'!C55</f>
        <v>3682.36</v>
      </c>
      <c r="D55" s="234">
        <f>'IODA Weekly iTunes'!D55+'Orch Weekly Mgmt'!D55</f>
        <v>0</v>
      </c>
      <c r="E55" s="234">
        <f>'IODA Weekly iTunes'!E55+'Orch Weekly Mgmt'!E55</f>
        <v>0</v>
      </c>
      <c r="F55" s="234">
        <f>'IODA Weekly iTunes'!F55+'Orch Weekly Mgmt'!F55</f>
        <v>0</v>
      </c>
      <c r="G55" s="235">
        <f t="shared" si="7"/>
        <v>7461.93</v>
      </c>
      <c r="H55" s="236">
        <f>'IODA Weekly iTunes'!H55+'Orch Weekly Mgmt'!H55</f>
        <v>14923.86</v>
      </c>
      <c r="I55" s="236">
        <f>'IODA Weekly iTunes'!I55+'Orch Weekly Mgmt'!I55:I55</f>
        <v>22998.464276655133</v>
      </c>
      <c r="J55" s="237">
        <f t="shared" si="9"/>
        <v>-8074.6042766551327</v>
      </c>
      <c r="K55" s="238">
        <f t="shared" si="5"/>
        <v>-0.35109319385518084</v>
      </c>
      <c r="L55" s="236">
        <f>'IODA Weekly iTunes'!M55+'Orch Weekly Mgmt'!M55</f>
        <v>59040.380132124425</v>
      </c>
      <c r="M55" s="236">
        <f>'IODA Weekly iTunes'!N55+'Orch Weekly Mgmt'!N55</f>
        <v>56626.395810846254</v>
      </c>
      <c r="N55" s="237">
        <f t="shared" si="1"/>
        <v>2413.9843212781707</v>
      </c>
      <c r="O55" s="238">
        <f t="shared" si="2"/>
        <v>4.263001885802159E-2</v>
      </c>
      <c r="Q55" s="208"/>
      <c r="R55" s="154"/>
      <c r="S55" s="154"/>
    </row>
    <row r="56" spans="1:19" s="3" customFormat="1" ht="11">
      <c r="A56" s="233" t="s">
        <v>144</v>
      </c>
      <c r="B56" s="234">
        <f>'IODA Weekly iTunes'!B56+'Orch Weekly Mgmt'!B56</f>
        <v>626.6099999999999</v>
      </c>
      <c r="C56" s="234">
        <f>'IODA Weekly iTunes'!C56+'Orch Weekly Mgmt'!C56</f>
        <v>947.8</v>
      </c>
      <c r="D56" s="234">
        <f>'IODA Weekly iTunes'!D56+'Orch Weekly Mgmt'!D56</f>
        <v>0</v>
      </c>
      <c r="E56" s="234">
        <f>'IODA Weekly iTunes'!E56+'Orch Weekly Mgmt'!E56</f>
        <v>0</v>
      </c>
      <c r="F56" s="234">
        <f>'IODA Weekly iTunes'!F56+'Orch Weekly Mgmt'!F56</f>
        <v>0</v>
      </c>
      <c r="G56" s="235">
        <f t="shared" si="7"/>
        <v>1574.4099999999999</v>
      </c>
      <c r="H56" s="236">
        <f>'IODA Weekly iTunes'!H56+'Orch Weekly Mgmt'!H56</f>
        <v>3148.8199999999997</v>
      </c>
      <c r="I56" s="236">
        <f>'IODA Weekly iTunes'!I56+'Orch Weekly Mgmt'!I56:I56</f>
        <v>4016.4514900246631</v>
      </c>
      <c r="J56" s="237">
        <f t="shared" si="9"/>
        <v>-867.63149002466344</v>
      </c>
      <c r="K56" s="238">
        <f t="shared" si="5"/>
        <v>-0.21601941220491019</v>
      </c>
      <c r="L56" s="236">
        <f>'IODA Weekly iTunes'!M56+'Orch Weekly Mgmt'!M56</f>
        <v>10700.770031578539</v>
      </c>
      <c r="M56" s="236">
        <f>'IODA Weekly iTunes'!N56+'Orch Weekly Mgmt'!N56</f>
        <v>9875.7171624844832</v>
      </c>
      <c r="N56" s="237">
        <f t="shared" si="1"/>
        <v>825.0528690940555</v>
      </c>
      <c r="O56" s="238">
        <f t="shared" si="2"/>
        <v>8.3543590355972974E-2</v>
      </c>
      <c r="Q56" s="208"/>
      <c r="R56" s="154"/>
      <c r="S56" s="154"/>
    </row>
    <row r="57" spans="1:19" s="3" customFormat="1" ht="11">
      <c r="A57" s="233" t="s">
        <v>146</v>
      </c>
      <c r="B57" s="234">
        <f>'IODA Weekly iTunes'!B57+'Orch Weekly Mgmt'!B57</f>
        <v>377.24</v>
      </c>
      <c r="C57" s="234">
        <f>'IODA Weekly iTunes'!C57+'Orch Weekly Mgmt'!C57</f>
        <v>332.56</v>
      </c>
      <c r="D57" s="234">
        <f>'IODA Weekly iTunes'!D57+'Orch Weekly Mgmt'!D57</f>
        <v>0</v>
      </c>
      <c r="E57" s="234">
        <f>'IODA Weekly iTunes'!E57+'Orch Weekly Mgmt'!E57</f>
        <v>0</v>
      </c>
      <c r="F57" s="234">
        <f>'IODA Weekly iTunes'!F57+'Orch Weekly Mgmt'!F57</f>
        <v>0</v>
      </c>
      <c r="G57" s="235">
        <f t="shared" si="7"/>
        <v>709.8</v>
      </c>
      <c r="H57" s="236">
        <f>'IODA Weekly iTunes'!H57+'Orch Weekly Mgmt'!H57</f>
        <v>1419.6000000000001</v>
      </c>
      <c r="I57" s="236">
        <f>'IODA Weekly iTunes'!I57+'Orch Weekly Mgmt'!I57:I57</f>
        <v>1707.4057582570554</v>
      </c>
      <c r="J57" s="237">
        <f t="shared" si="9"/>
        <v>-287.80575825705523</v>
      </c>
      <c r="K57" s="238">
        <f t="shared" si="5"/>
        <v>-0.16856318825517583</v>
      </c>
      <c r="L57" s="236">
        <f>'IODA Weekly iTunes'!M57+'Orch Weekly Mgmt'!M57</f>
        <v>4666.8500097155593</v>
      </c>
      <c r="M57" s="236">
        <f>'IODA Weekly iTunes'!N57+'Orch Weekly Mgmt'!N57</f>
        <v>4202.2654165814311</v>
      </c>
      <c r="N57" s="237">
        <f t="shared" si="1"/>
        <v>464.58459313412823</v>
      </c>
      <c r="O57" s="238">
        <f t="shared" si="2"/>
        <v>0.11055574721695487</v>
      </c>
      <c r="Q57" s="208"/>
      <c r="R57" s="154"/>
      <c r="S57" s="154"/>
    </row>
    <row r="58" spans="1:19" s="3" customFormat="1" ht="11">
      <c r="A58" s="233" t="s">
        <v>147</v>
      </c>
      <c r="B58" s="234">
        <f>'IODA Weekly iTunes'!B58+'Orch Weekly Mgmt'!B58</f>
        <v>837.18000000000006</v>
      </c>
      <c r="C58" s="234">
        <f>'IODA Weekly iTunes'!C58+'Orch Weekly Mgmt'!C58</f>
        <v>918.02</v>
      </c>
      <c r="D58" s="234">
        <f>'IODA Weekly iTunes'!D58+'Orch Weekly Mgmt'!D58</f>
        <v>0</v>
      </c>
      <c r="E58" s="234">
        <f>'IODA Weekly iTunes'!E58+'Orch Weekly Mgmt'!E58</f>
        <v>0</v>
      </c>
      <c r="F58" s="234">
        <f>'IODA Weekly iTunes'!F58+'Orch Weekly Mgmt'!F58</f>
        <v>0</v>
      </c>
      <c r="G58" s="235">
        <f t="shared" si="7"/>
        <v>1755.2</v>
      </c>
      <c r="H58" s="236">
        <f>'IODA Weekly iTunes'!H58+'Orch Weekly Mgmt'!H58</f>
        <v>3510.4</v>
      </c>
      <c r="I58" s="236">
        <f>'IODA Weekly iTunes'!I58+'Orch Weekly Mgmt'!I58:I58</f>
        <v>4915.6207419887942</v>
      </c>
      <c r="J58" s="237">
        <f t="shared" si="9"/>
        <v>-1405.2207419887941</v>
      </c>
      <c r="K58" s="238">
        <f t="shared" si="5"/>
        <v>-0.28586842145601749</v>
      </c>
      <c r="L58" s="236">
        <f>'IODA Weekly iTunes'!M58+'Orch Weekly Mgmt'!M58</f>
        <v>13224.360045814514</v>
      </c>
      <c r="M58" s="236">
        <f>'IODA Weekly iTunes'!N58+'Orch Weekly Mgmt'!N58</f>
        <v>12089.741650766735</v>
      </c>
      <c r="N58" s="237">
        <f t="shared" si="1"/>
        <v>1134.6183950477789</v>
      </c>
      <c r="O58" s="238">
        <f t="shared" si="2"/>
        <v>9.3849680813966857E-2</v>
      </c>
      <c r="Q58" s="208"/>
      <c r="R58" s="154"/>
      <c r="S58" s="154"/>
    </row>
    <row r="59" spans="1:19" s="3" customFormat="1" ht="11">
      <c r="A59" s="233" t="s">
        <v>148</v>
      </c>
      <c r="B59" s="234">
        <f>'IODA Weekly iTunes'!B59+'Orch Weekly Mgmt'!B59</f>
        <v>119.49000000000001</v>
      </c>
      <c r="C59" s="234">
        <f>'IODA Weekly iTunes'!C59+'Orch Weekly Mgmt'!C59</f>
        <v>274.86</v>
      </c>
      <c r="D59" s="234">
        <f>'IODA Weekly iTunes'!D59+'Orch Weekly Mgmt'!D59</f>
        <v>0</v>
      </c>
      <c r="E59" s="234">
        <f>'IODA Weekly iTunes'!E59+'Orch Weekly Mgmt'!E59</f>
        <v>0</v>
      </c>
      <c r="F59" s="234">
        <f>'IODA Weekly iTunes'!F59+'Orch Weekly Mgmt'!F59</f>
        <v>0</v>
      </c>
      <c r="G59" s="235">
        <f t="shared" si="7"/>
        <v>394.35</v>
      </c>
      <c r="H59" s="236">
        <f>'IODA Weekly iTunes'!H59+'Orch Weekly Mgmt'!H59</f>
        <v>788.7</v>
      </c>
      <c r="I59" s="236">
        <f>'IODA Weekly iTunes'!I59+'Orch Weekly Mgmt'!I59:I59</f>
        <v>760.48306300038655</v>
      </c>
      <c r="J59" s="237">
        <f t="shared" si="9"/>
        <v>28.216936999613495</v>
      </c>
      <c r="K59" s="238">
        <f t="shared" si="5"/>
        <v>3.7103965061742808E-2</v>
      </c>
      <c r="L59" s="236">
        <f>'IODA Weekly iTunes'!M59+'Orch Weekly Mgmt'!M59</f>
        <v>2103.4600049376486</v>
      </c>
      <c r="M59" s="236">
        <f>'IODA Weekly iTunes'!N59+'Orch Weekly Mgmt'!N59</f>
        <v>1869.7749832896784</v>
      </c>
      <c r="N59" s="237">
        <f t="shared" si="1"/>
        <v>233.68502164797019</v>
      </c>
      <c r="O59" s="238">
        <f t="shared" si="2"/>
        <v>0.12498029107054648</v>
      </c>
      <c r="Q59" s="208"/>
      <c r="R59" s="154"/>
      <c r="S59" s="154"/>
    </row>
    <row r="60" spans="1:19" s="3" customFormat="1" ht="11">
      <c r="A60" s="233" t="s">
        <v>153</v>
      </c>
      <c r="B60" s="234">
        <f>'IODA Weekly iTunes'!B60+'Orch Weekly Mgmt'!B60</f>
        <v>281.43</v>
      </c>
      <c r="C60" s="234">
        <f>'IODA Weekly iTunes'!C60+'Orch Weekly Mgmt'!C60</f>
        <v>416.38</v>
      </c>
      <c r="D60" s="234">
        <f>'IODA Weekly iTunes'!D60+'Orch Weekly Mgmt'!D60</f>
        <v>0</v>
      </c>
      <c r="E60" s="234">
        <f>'IODA Weekly iTunes'!E60+'Orch Weekly Mgmt'!E60</f>
        <v>0</v>
      </c>
      <c r="F60" s="234">
        <f>'IODA Weekly iTunes'!F60+'Orch Weekly Mgmt'!F60</f>
        <v>0</v>
      </c>
      <c r="G60" s="235">
        <f t="shared" si="7"/>
        <v>697.81</v>
      </c>
      <c r="H60" s="236">
        <f>'IODA Weekly iTunes'!H60+'Orch Weekly Mgmt'!H60</f>
        <v>1395.62</v>
      </c>
      <c r="I60" s="236">
        <f>'IODA Weekly iTunes'!I60+'Orch Weekly Mgmt'!I60:I60</f>
        <v>1780.2842411018698</v>
      </c>
      <c r="J60" s="237">
        <f t="shared" si="9"/>
        <v>-384.66424110186995</v>
      </c>
      <c r="K60" s="238">
        <f t="shared" si="5"/>
        <v>-0.2160690030395315</v>
      </c>
      <c r="L60" s="236">
        <f>'IODA Weekly iTunes'!M60+'Orch Weekly Mgmt'!M60</f>
        <v>4827.5600077462204</v>
      </c>
      <c r="M60" s="236">
        <f>'IODA Weekly iTunes'!N60+'Orch Weekly Mgmt'!N60</f>
        <v>4376.3125275714247</v>
      </c>
      <c r="N60" s="237">
        <f t="shared" si="1"/>
        <v>451.24748017479578</v>
      </c>
      <c r="O60" s="238">
        <f t="shared" si="2"/>
        <v>0.10311134712885998</v>
      </c>
      <c r="Q60" s="208"/>
      <c r="R60" s="154"/>
      <c r="S60" s="154"/>
    </row>
    <row r="61" spans="1:19" s="3" customFormat="1" ht="11">
      <c r="A61" s="233" t="s">
        <v>155</v>
      </c>
      <c r="B61" s="234">
        <f>'IODA Weekly iTunes'!B61+'Orch Weekly Mgmt'!B61</f>
        <v>181.62</v>
      </c>
      <c r="C61" s="234">
        <f>'IODA Weekly iTunes'!C61+'Orch Weekly Mgmt'!C61</f>
        <v>163.84</v>
      </c>
      <c r="D61" s="234">
        <f>'IODA Weekly iTunes'!D61+'Orch Weekly Mgmt'!D61</f>
        <v>0</v>
      </c>
      <c r="E61" s="234">
        <f>'IODA Weekly iTunes'!E61+'Orch Weekly Mgmt'!E61</f>
        <v>0</v>
      </c>
      <c r="F61" s="234">
        <f>'IODA Weekly iTunes'!F61+'Orch Weekly Mgmt'!F61</f>
        <v>0</v>
      </c>
      <c r="G61" s="235">
        <f t="shared" si="7"/>
        <v>345.46000000000004</v>
      </c>
      <c r="H61" s="236">
        <f>'IODA Weekly iTunes'!H61+'Orch Weekly Mgmt'!H61</f>
        <v>690.92000000000007</v>
      </c>
      <c r="I61" s="236">
        <f>'IODA Weekly iTunes'!I61+'Orch Weekly Mgmt'!I61:I61</f>
        <v>964.31746206456125</v>
      </c>
      <c r="J61" s="237">
        <f t="shared" si="9"/>
        <v>-273.39746206456118</v>
      </c>
      <c r="K61" s="238">
        <f t="shared" si="5"/>
        <v>-0.28351395968629384</v>
      </c>
      <c r="L61" s="236">
        <f>'IODA Weekly iTunes'!M61+'Orch Weekly Mgmt'!M61</f>
        <v>2427.7200055551525</v>
      </c>
      <c r="M61" s="236">
        <f>'IODA Weekly iTunes'!N61+'Orch Weekly Mgmt'!N61</f>
        <v>2370.7200628966898</v>
      </c>
      <c r="N61" s="237">
        <f t="shared" si="1"/>
        <v>56.999942658462714</v>
      </c>
      <c r="O61" s="238">
        <f t="shared" si="2"/>
        <v>2.4043303783752825E-2</v>
      </c>
      <c r="Q61" s="208"/>
      <c r="R61" s="154"/>
      <c r="S61" s="154"/>
    </row>
    <row r="62" spans="1:19" s="3" customFormat="1" ht="11">
      <c r="A62" s="233" t="s">
        <v>172</v>
      </c>
      <c r="B62" s="234">
        <f>'IODA Weekly iTunes'!B62+'Orch Weekly Mgmt'!B62</f>
        <v>109.66</v>
      </c>
      <c r="C62" s="234">
        <f>'IODA Weekly iTunes'!C62+'Orch Weekly Mgmt'!C62</f>
        <v>169.58</v>
      </c>
      <c r="D62" s="234">
        <f>'IODA Weekly iTunes'!D62+'Orch Weekly Mgmt'!D62</f>
        <v>0</v>
      </c>
      <c r="E62" s="234">
        <f>'IODA Weekly iTunes'!E62+'Orch Weekly Mgmt'!E62</f>
        <v>0</v>
      </c>
      <c r="F62" s="234">
        <f>'IODA Weekly iTunes'!F62+'Orch Weekly Mgmt'!F62</f>
        <v>0</v>
      </c>
      <c r="G62" s="235">
        <f t="shared" si="7"/>
        <v>279.24</v>
      </c>
      <c r="H62" s="236">
        <f>'IODA Weekly iTunes'!H62+'Orch Weekly Mgmt'!H62</f>
        <v>558.48</v>
      </c>
      <c r="I62" s="236">
        <f>'IODA Weekly iTunes'!I62+'Orch Weekly Mgmt'!I62:I62</f>
        <v>436.76570918140777</v>
      </c>
      <c r="J62" s="237">
        <f t="shared" si="9"/>
        <v>121.71429081859225</v>
      </c>
      <c r="K62" s="238">
        <f t="shared" si="5"/>
        <v>0.27867181021768128</v>
      </c>
      <c r="L62" s="236">
        <f>'IODA Weekly iTunes'!M62+'Orch Weekly Mgmt'!M62</f>
        <v>1419.7800035881996</v>
      </c>
      <c r="M62" s="236">
        <f>'IODA Weekly iTunes'!N62+'Orch Weekly Mgmt'!N62</f>
        <v>1073.7707800358637</v>
      </c>
      <c r="N62" s="237">
        <f t="shared" si="1"/>
        <v>346.00922355233592</v>
      </c>
      <c r="O62" s="238">
        <f t="shared" si="2"/>
        <v>0.3222375110084289</v>
      </c>
      <c r="Q62" s="208"/>
      <c r="R62" s="154"/>
      <c r="S62" s="154"/>
    </row>
    <row r="63" spans="1:19" s="3" customFormat="1" ht="11">
      <c r="A63" s="233" t="s">
        <v>175</v>
      </c>
      <c r="B63" s="234">
        <f>'IODA Weekly iTunes'!B63+'Orch Weekly Mgmt'!B63</f>
        <v>308.94</v>
      </c>
      <c r="C63" s="234">
        <f>'IODA Weekly iTunes'!C63+'Orch Weekly Mgmt'!C63</f>
        <v>334.28</v>
      </c>
      <c r="D63" s="234">
        <f>'IODA Weekly iTunes'!D63+'Orch Weekly Mgmt'!D63</f>
        <v>0</v>
      </c>
      <c r="E63" s="234">
        <f>'IODA Weekly iTunes'!E63+'Orch Weekly Mgmt'!E63</f>
        <v>0</v>
      </c>
      <c r="F63" s="234">
        <f>'IODA Weekly iTunes'!F63+'Orch Weekly Mgmt'!F63</f>
        <v>0</v>
      </c>
      <c r="G63" s="235">
        <f t="shared" ref="G63:G94" si="10">SUM(B63:F63)</f>
        <v>643.22</v>
      </c>
      <c r="H63" s="236">
        <f>'IODA Weekly iTunes'!H63+'Orch Weekly Mgmt'!H63</f>
        <v>1286.44</v>
      </c>
      <c r="I63" s="236">
        <f>'IODA Weekly iTunes'!I63+'Orch Weekly Mgmt'!I63:I63</f>
        <v>1995.4189669560265</v>
      </c>
      <c r="J63" s="237">
        <f t="shared" si="9"/>
        <v>-708.9789669560264</v>
      </c>
      <c r="K63" s="238">
        <f t="shared" si="5"/>
        <v>-0.35530331158351186</v>
      </c>
      <c r="L63" s="236">
        <f>'IODA Weekly iTunes'!M63+'Orch Weekly Mgmt'!M63</f>
        <v>5030.8300076746946</v>
      </c>
      <c r="M63" s="236">
        <f>'IODA Weekly iTunes'!N63+'Orch Weekly Mgmt'!N63</f>
        <v>4908.8739081253161</v>
      </c>
      <c r="N63" s="237">
        <f t="shared" si="1"/>
        <v>121.95609954937845</v>
      </c>
      <c r="O63" s="238">
        <f t="shared" si="2"/>
        <v>2.4844007369493243E-2</v>
      </c>
      <c r="Q63" s="208"/>
      <c r="R63" s="154"/>
      <c r="S63" s="154"/>
    </row>
    <row r="64" spans="1:19" s="3" customFormat="1" ht="11">
      <c r="A64" s="233" t="s">
        <v>177</v>
      </c>
      <c r="B64" s="234">
        <f>'IODA Weekly iTunes'!B64+'Orch Weekly Mgmt'!B64</f>
        <v>110.41</v>
      </c>
      <c r="C64" s="234">
        <f>'IODA Weekly iTunes'!C64+'Orch Weekly Mgmt'!C64</f>
        <v>224.48</v>
      </c>
      <c r="D64" s="234">
        <f>'IODA Weekly iTunes'!D64+'Orch Weekly Mgmt'!D64</f>
        <v>0</v>
      </c>
      <c r="E64" s="234">
        <f>'IODA Weekly iTunes'!E64+'Orch Weekly Mgmt'!E64</f>
        <v>0</v>
      </c>
      <c r="F64" s="234">
        <f>'IODA Weekly iTunes'!F64+'Orch Weekly Mgmt'!F64</f>
        <v>0</v>
      </c>
      <c r="G64" s="235">
        <f t="shared" si="10"/>
        <v>334.89</v>
      </c>
      <c r="H64" s="236">
        <f>'IODA Weekly iTunes'!H64+'Orch Weekly Mgmt'!H64</f>
        <v>669.78</v>
      </c>
      <c r="I64" s="236">
        <f>'IODA Weekly iTunes'!I64+'Orch Weekly Mgmt'!I64:I64</f>
        <v>990.41329597863034</v>
      </c>
      <c r="J64" s="237">
        <f t="shared" si="9"/>
        <v>-320.63329597863037</v>
      </c>
      <c r="K64" s="238">
        <f t="shared" si="5"/>
        <v>-0.3237368654888782</v>
      </c>
      <c r="L64" s="236">
        <f>'IODA Weekly iTunes'!M64+'Orch Weekly Mgmt'!M64</f>
        <v>2555.3000051665281</v>
      </c>
      <c r="M64" s="236">
        <f>'IODA Weekly iTunes'!N64+'Orch Weekly Mgmt'!N64</f>
        <v>2434.1618557239017</v>
      </c>
      <c r="N64" s="237">
        <f t="shared" si="1"/>
        <v>121.1381494426264</v>
      </c>
      <c r="O64" s="238">
        <f t="shared" si="2"/>
        <v>4.9765856431350911E-2</v>
      </c>
      <c r="Q64" s="208"/>
      <c r="R64" s="154"/>
      <c r="S64" s="154"/>
    </row>
    <row r="65" spans="1:19" s="3" customFormat="1" ht="11">
      <c r="A65" s="233" t="s">
        <v>178</v>
      </c>
      <c r="B65" s="234">
        <f>'IODA Weekly iTunes'!B65+'Orch Weekly Mgmt'!B65</f>
        <v>1391.97</v>
      </c>
      <c r="C65" s="234">
        <f>'IODA Weekly iTunes'!C65+'Orch Weekly Mgmt'!C65</f>
        <v>1962.2</v>
      </c>
      <c r="D65" s="234">
        <f>'IODA Weekly iTunes'!D65+'Orch Weekly Mgmt'!D65</f>
        <v>0</v>
      </c>
      <c r="E65" s="234">
        <f>'IODA Weekly iTunes'!E65+'Orch Weekly Mgmt'!E65</f>
        <v>0</v>
      </c>
      <c r="F65" s="234">
        <f>'IODA Weekly iTunes'!F65+'Orch Weekly Mgmt'!F65</f>
        <v>0</v>
      </c>
      <c r="G65" s="235">
        <f t="shared" si="10"/>
        <v>3354.17</v>
      </c>
      <c r="H65" s="236">
        <f>'IODA Weekly iTunes'!H65+'Orch Weekly Mgmt'!H65</f>
        <v>6708.34</v>
      </c>
      <c r="I65" s="236">
        <f>'IODA Weekly iTunes'!I65+'Orch Weekly Mgmt'!I65:I65</f>
        <v>6093.133977407706</v>
      </c>
      <c r="J65" s="237">
        <f t="shared" si="9"/>
        <v>615.20602259229418</v>
      </c>
      <c r="K65" s="238">
        <f t="shared" si="5"/>
        <v>0.10096709261167938</v>
      </c>
      <c r="L65" s="236">
        <f>'IODA Weekly iTunes'!M65+'Orch Weekly Mgmt'!M65</f>
        <v>19382.480074372288</v>
      </c>
      <c r="M65" s="236">
        <f>'IODA Weekly iTunes'!N65+'Orch Weekly Mgmt'!N65</f>
        <v>14984.429540959301</v>
      </c>
      <c r="N65" s="237">
        <f t="shared" si="1"/>
        <v>4398.0505334129866</v>
      </c>
      <c r="O65" s="238">
        <f t="shared" si="2"/>
        <v>0.2935080392210529</v>
      </c>
      <c r="Q65" s="208"/>
      <c r="R65" s="154"/>
      <c r="S65" s="154"/>
    </row>
    <row r="66" spans="1:19" s="3" customFormat="1" ht="11">
      <c r="A66" s="233" t="s">
        <v>195</v>
      </c>
      <c r="B66" s="234">
        <f>'IODA Weekly iTunes'!B66+'Orch Weekly Mgmt'!B66</f>
        <v>164.02</v>
      </c>
      <c r="C66" s="234">
        <f>'IODA Weekly iTunes'!C66+'Orch Weekly Mgmt'!C66</f>
        <v>153.72</v>
      </c>
      <c r="D66" s="234">
        <f>'IODA Weekly iTunes'!D66+'Orch Weekly Mgmt'!D66</f>
        <v>0</v>
      </c>
      <c r="E66" s="234">
        <f>'IODA Weekly iTunes'!E66+'Orch Weekly Mgmt'!E66</f>
        <v>0</v>
      </c>
      <c r="F66" s="234">
        <f>'IODA Weekly iTunes'!F66+'Orch Weekly Mgmt'!F66</f>
        <v>0</v>
      </c>
      <c r="G66" s="235">
        <f t="shared" si="10"/>
        <v>317.74</v>
      </c>
      <c r="H66" s="236">
        <f>'IODA Weekly iTunes'!H66+'Orch Weekly Mgmt'!H66</f>
        <v>635.48</v>
      </c>
      <c r="I66" s="236">
        <f>'IODA Weekly iTunes'!I66+'Orch Weekly Mgmt'!I66:I66</f>
        <v>2313.1537275220412</v>
      </c>
      <c r="J66" s="237">
        <f t="shared" si="9"/>
        <v>-1677.6737275220412</v>
      </c>
      <c r="K66" s="238">
        <f t="shared" si="5"/>
        <v>-0.72527550052596113</v>
      </c>
      <c r="L66" s="236">
        <f>'IODA Weekly iTunes'!M66+'Orch Weekly Mgmt'!M66</f>
        <v>3940.9600110459323</v>
      </c>
      <c r="M66" s="236">
        <f>'IODA Weekly iTunes'!N66+'Orch Weekly Mgmt'!N66</f>
        <v>5691.9703833605254</v>
      </c>
      <c r="N66" s="237">
        <f t="shared" si="1"/>
        <v>-1751.010372314593</v>
      </c>
      <c r="O66" s="238">
        <f t="shared" si="2"/>
        <v>-0.30762815938631094</v>
      </c>
      <c r="Q66" s="208"/>
      <c r="R66" s="154"/>
      <c r="S66" s="154"/>
    </row>
    <row r="67" spans="1:19">
      <c r="A67" s="212" t="s">
        <v>100</v>
      </c>
      <c r="B67" s="215">
        <f>'IODA Weekly iTunes'!B67+'Orch Weekly Mgmt'!B67</f>
        <v>9691.4519469999977</v>
      </c>
      <c r="C67" s="215">
        <f>'IODA Weekly iTunes'!C67+'Orch Weekly Mgmt'!C67</f>
        <v>10837.543379999999</v>
      </c>
      <c r="D67" s="215">
        <f>'IODA Weekly iTunes'!D67+'Orch Weekly Mgmt'!D67</f>
        <v>0</v>
      </c>
      <c r="E67" s="215">
        <f>'IODA Weekly iTunes'!E67+'Orch Weekly Mgmt'!E67</f>
        <v>0</v>
      </c>
      <c r="F67" s="215">
        <f>'IODA Weekly iTunes'!F67+'Orch Weekly Mgmt'!F67</f>
        <v>0</v>
      </c>
      <c r="G67" s="216">
        <f t="shared" si="10"/>
        <v>20528.995326999997</v>
      </c>
      <c r="H67" s="218">
        <f>'IODA Weekly iTunes'!H67+'Orch Weekly Mgmt'!H67</f>
        <v>41057.990653999994</v>
      </c>
      <c r="I67" s="218">
        <f>'IODA Weekly iTunes'!I67+'Orch Weekly Mgmt'!I67:I67</f>
        <v>95582.531508839107</v>
      </c>
      <c r="J67" s="219">
        <f t="shared" si="9"/>
        <v>-54524.540854839113</v>
      </c>
      <c r="K67" s="220">
        <f>J67/I67</f>
        <v>-0.5704446198916262</v>
      </c>
      <c r="L67" s="218">
        <f>'IODA Weekly iTunes'!M67+'Orch Weekly Mgmt'!M67</f>
        <v>182319.30251137255</v>
      </c>
      <c r="M67" s="218">
        <f>'IODA Weekly iTunes'!N67+'Orch Weekly Mgmt'!N67</f>
        <v>234897.116807599</v>
      </c>
      <c r="N67" s="219">
        <f t="shared" si="1"/>
        <v>-52577.814296226454</v>
      </c>
      <c r="O67" s="220">
        <f t="shared" si="2"/>
        <v>-0.22383337441852136</v>
      </c>
    </row>
    <row r="68" spans="1:19" s="3" customFormat="1" ht="11">
      <c r="A68" s="233" t="s">
        <v>137</v>
      </c>
      <c r="B68" s="234">
        <f>'IODA Weekly iTunes'!B68+'Orch Weekly Mgmt'!B68</f>
        <v>74.400000000000006</v>
      </c>
      <c r="C68" s="234">
        <f>'IODA Weekly iTunes'!C68+'Orch Weekly Mgmt'!C68</f>
        <v>32.24</v>
      </c>
      <c r="D68" s="234">
        <f>'IODA Weekly iTunes'!D68+'Orch Weekly Mgmt'!D68</f>
        <v>0</v>
      </c>
      <c r="E68" s="234">
        <f>'IODA Weekly iTunes'!E68+'Orch Weekly Mgmt'!E68</f>
        <v>0</v>
      </c>
      <c r="F68" s="234">
        <f>'IODA Weekly iTunes'!F68+'Orch Weekly Mgmt'!F68</f>
        <v>0</v>
      </c>
      <c r="G68" s="235">
        <f t="shared" si="10"/>
        <v>106.64000000000001</v>
      </c>
      <c r="H68" s="236">
        <f>'IODA Weekly iTunes'!H68+'Orch Weekly Mgmt'!H68</f>
        <v>213.28</v>
      </c>
      <c r="I68" s="236">
        <f>'IODA Weekly iTunes'!I68+'Orch Weekly Mgmt'!I68:I68</f>
        <v>196.46566889448053</v>
      </c>
      <c r="J68" s="237">
        <f t="shared" si="9"/>
        <v>16.814331105519472</v>
      </c>
      <c r="K68" s="238">
        <f t="shared" ref="K68:K80" si="11">J68/I68</f>
        <v>8.5584067690473983E-2</v>
      </c>
      <c r="L68" s="236">
        <f>'IODA Weekly iTunes'!M68+'Orch Weekly Mgmt'!M68</f>
        <v>481.17999699592605</v>
      </c>
      <c r="M68" s="236">
        <f>'IODA Weekly iTunes'!N68+'Orch Weekly Mgmt'!N68</f>
        <v>483.09424472147862</v>
      </c>
      <c r="N68" s="237">
        <f t="shared" si="1"/>
        <v>-1.9142477255525705</v>
      </c>
      <c r="O68" s="238">
        <f t="shared" si="2"/>
        <v>-3.9624726364856696E-3</v>
      </c>
      <c r="Q68" s="208"/>
      <c r="R68" s="154"/>
      <c r="S68" s="154"/>
    </row>
    <row r="69" spans="1:19" s="3" customFormat="1" ht="11">
      <c r="A69" s="233" t="s">
        <v>139</v>
      </c>
      <c r="B69" s="234">
        <f>'IODA Weekly iTunes'!B69+'Orch Weekly Mgmt'!B69</f>
        <v>1.52</v>
      </c>
      <c r="C69" s="234">
        <f>'IODA Weekly iTunes'!C69+'Orch Weekly Mgmt'!C69</f>
        <v>11.16</v>
      </c>
      <c r="D69" s="234">
        <f>'IODA Weekly iTunes'!D69+'Orch Weekly Mgmt'!D69</f>
        <v>0</v>
      </c>
      <c r="E69" s="234">
        <f>'IODA Weekly iTunes'!E69+'Orch Weekly Mgmt'!E69</f>
        <v>0</v>
      </c>
      <c r="F69" s="234">
        <f>'IODA Weekly iTunes'!F69+'Orch Weekly Mgmt'!F69</f>
        <v>0</v>
      </c>
      <c r="G69" s="235">
        <f t="shared" si="10"/>
        <v>12.68</v>
      </c>
      <c r="H69" s="236">
        <f>'IODA Weekly iTunes'!H69+'Orch Weekly Mgmt'!H69</f>
        <v>25.36</v>
      </c>
      <c r="I69" s="236">
        <f>'IODA Weekly iTunes'!I69+'Orch Weekly Mgmt'!I69:I69</f>
        <v>70.462291938122718</v>
      </c>
      <c r="J69" s="237">
        <f t="shared" si="9"/>
        <v>-45.102291938122718</v>
      </c>
      <c r="K69" s="238">
        <f t="shared" si="11"/>
        <v>-0.640091184909651</v>
      </c>
      <c r="L69" s="236">
        <f>'IODA Weekly iTunes'!M69+'Orch Weekly Mgmt'!M69</f>
        <v>193.58333111365653</v>
      </c>
      <c r="M69" s="236">
        <f>'IODA Weekly iTunes'!N69+'Orch Weekly Mgmt'!N69</f>
        <v>173.2507959505115</v>
      </c>
      <c r="N69" s="237">
        <f t="shared" ref="N69:N125" si="12">L69-M69</f>
        <v>20.332535163145025</v>
      </c>
      <c r="O69" s="238">
        <f t="shared" ref="O69:O124" si="13">N69/M69</f>
        <v>0.11735897114696629</v>
      </c>
      <c r="Q69" s="208"/>
      <c r="R69" s="154"/>
      <c r="S69" s="154"/>
    </row>
    <row r="70" spans="1:19" s="3" customFormat="1" ht="11">
      <c r="A70" s="233" t="s">
        <v>156</v>
      </c>
      <c r="B70" s="234">
        <f>'IODA Weekly iTunes'!B70+'Orch Weekly Mgmt'!B70</f>
        <v>1420.7330889999998</v>
      </c>
      <c r="C70" s="234">
        <f>'IODA Weekly iTunes'!C70+'Orch Weekly Mgmt'!C70</f>
        <v>1537.1365719999999</v>
      </c>
      <c r="D70" s="234">
        <f>'IODA Weekly iTunes'!D70+'Orch Weekly Mgmt'!D70</f>
        <v>0</v>
      </c>
      <c r="E70" s="234">
        <f>'IODA Weekly iTunes'!E70+'Orch Weekly Mgmt'!E70</f>
        <v>0</v>
      </c>
      <c r="F70" s="234">
        <f>'IODA Weekly iTunes'!F70+'Orch Weekly Mgmt'!F70</f>
        <v>0</v>
      </c>
      <c r="G70" s="235">
        <f t="shared" si="10"/>
        <v>2957.8696609999997</v>
      </c>
      <c r="H70" s="236">
        <f>'IODA Weekly iTunes'!H70+'Orch Weekly Mgmt'!H70</f>
        <v>5915.7393219999994</v>
      </c>
      <c r="I70" s="236">
        <f>'IODA Weekly iTunes'!I70+'Orch Weekly Mgmt'!I70:I70</f>
        <v>10003.010045039231</v>
      </c>
      <c r="J70" s="237">
        <f t="shared" si="9"/>
        <v>-4087.2707230392316</v>
      </c>
      <c r="K70" s="238">
        <f t="shared" si="11"/>
        <v>-0.40860408063533055</v>
      </c>
      <c r="L70" s="236">
        <f>'IODA Weekly iTunes'!M70+'Orch Weekly Mgmt'!M70</f>
        <v>18612.697341971849</v>
      </c>
      <c r="M70" s="236">
        <f>'IODA Weekly iTunes'!N70+'Orch Weekly Mgmt'!N70</f>
        <v>24620.428266164883</v>
      </c>
      <c r="N70" s="237">
        <f t="shared" si="12"/>
        <v>-6007.7309241930343</v>
      </c>
      <c r="O70" s="238">
        <f t="shared" si="13"/>
        <v>-0.24401407072391501</v>
      </c>
      <c r="Q70" s="208"/>
      <c r="R70" s="154"/>
      <c r="S70" s="154"/>
    </row>
    <row r="71" spans="1:19" s="3" customFormat="1" ht="11">
      <c r="A71" s="233" t="s">
        <v>201</v>
      </c>
      <c r="B71" s="234">
        <f>'IODA Weekly iTunes'!B71+'Orch Weekly Mgmt'!B71</f>
        <v>0.62</v>
      </c>
      <c r="C71" s="234">
        <f>'IODA Weekly iTunes'!C71+'Orch Weekly Mgmt'!C71</f>
        <v>0</v>
      </c>
      <c r="D71" s="234">
        <f>'IODA Weekly iTunes'!D71+'Orch Weekly Mgmt'!D71</f>
        <v>0</v>
      </c>
      <c r="E71" s="234">
        <f>'IODA Weekly iTunes'!E71+'Orch Weekly Mgmt'!E71</f>
        <v>0</v>
      </c>
      <c r="F71" s="234">
        <f>'IODA Weekly iTunes'!F71+'Orch Weekly Mgmt'!F71</f>
        <v>0</v>
      </c>
      <c r="G71" s="235">
        <f t="shared" si="10"/>
        <v>0.62</v>
      </c>
      <c r="H71" s="236">
        <f>'IODA Weekly iTunes'!H71+'Orch Weekly Mgmt'!H71</f>
        <v>2.48</v>
      </c>
      <c r="I71" s="236">
        <f>'IODA Weekly iTunes'!I71+'Orch Weekly Mgmt'!I71:I71</f>
        <v>37.76912367632238</v>
      </c>
      <c r="J71" s="237">
        <f t="shared" si="9"/>
        <v>-35.289123676322383</v>
      </c>
      <c r="K71" s="238">
        <f t="shared" si="11"/>
        <v>-0.93433789935786304</v>
      </c>
      <c r="L71" s="236">
        <f>'IODA Weekly iTunes'!M71+'Orch Weekly Mgmt'!M71</f>
        <v>105.22666659037264</v>
      </c>
      <c r="M71" s="236">
        <f>'IODA Weekly iTunes'!N71+'Orch Weekly Mgmt'!N71</f>
        <v>92.730507169315871</v>
      </c>
      <c r="N71" s="237">
        <f t="shared" si="12"/>
        <v>12.496159421056774</v>
      </c>
      <c r="O71" s="238">
        <f t="shared" si="13"/>
        <v>0.13475780304145366</v>
      </c>
      <c r="Q71" s="208"/>
      <c r="R71" s="154"/>
      <c r="S71" s="154"/>
    </row>
    <row r="72" spans="1:19" s="3" customFormat="1" ht="11">
      <c r="A72" s="233" t="s">
        <v>163</v>
      </c>
      <c r="B72" s="234">
        <f>'IODA Weekly iTunes'!B72+'Orch Weekly Mgmt'!B72</f>
        <v>50.22</v>
      </c>
      <c r="C72" s="234">
        <f>'IODA Weekly iTunes'!C72+'Orch Weekly Mgmt'!C72</f>
        <v>74.400000000000006</v>
      </c>
      <c r="D72" s="234">
        <f>'IODA Weekly iTunes'!D72+'Orch Weekly Mgmt'!D72</f>
        <v>0</v>
      </c>
      <c r="E72" s="234">
        <f>'IODA Weekly iTunes'!E72+'Orch Weekly Mgmt'!E72</f>
        <v>0</v>
      </c>
      <c r="F72" s="234">
        <f>'IODA Weekly iTunes'!F72+'Orch Weekly Mgmt'!F72</f>
        <v>0</v>
      </c>
      <c r="G72" s="235">
        <f t="shared" si="10"/>
        <v>124.62</v>
      </c>
      <c r="H72" s="236">
        <f>'IODA Weekly iTunes'!H72+'Orch Weekly Mgmt'!H72</f>
        <v>249.24</v>
      </c>
      <c r="I72" s="236">
        <f>'IODA Weekly iTunes'!I72+'Orch Weekly Mgmt'!I72:I72</f>
        <v>316.87682687955436</v>
      </c>
      <c r="J72" s="237">
        <f t="shared" si="9"/>
        <v>-67.636826879554349</v>
      </c>
      <c r="K72" s="238">
        <f t="shared" si="11"/>
        <v>-0.21344832168892952</v>
      </c>
      <c r="L72" s="236">
        <f>'IODA Weekly iTunes'!M72+'Orch Weekly Mgmt'!M72</f>
        <v>799.07999609947228</v>
      </c>
      <c r="M72" s="236">
        <f>'IODA Weekly iTunes'!N72+'Orch Weekly Mgmt'!N72</f>
        <v>779.67024030961682</v>
      </c>
      <c r="N72" s="237">
        <f t="shared" si="12"/>
        <v>19.409755789855467</v>
      </c>
      <c r="O72" s="238">
        <f t="shared" si="13"/>
        <v>2.4894827051687402E-2</v>
      </c>
      <c r="Q72" s="208"/>
      <c r="R72" s="154"/>
      <c r="S72" s="154"/>
    </row>
    <row r="73" spans="1:19" s="3" customFormat="1" ht="11">
      <c r="A73" s="233" t="s">
        <v>164</v>
      </c>
      <c r="B73" s="234">
        <f>'IODA Weekly iTunes'!B73+'Orch Weekly Mgmt'!B73</f>
        <v>987.5</v>
      </c>
      <c r="C73" s="234">
        <f>'IODA Weekly iTunes'!C73+'Orch Weekly Mgmt'!C73</f>
        <v>1045.04</v>
      </c>
      <c r="D73" s="234">
        <f>'IODA Weekly iTunes'!D73+'Orch Weekly Mgmt'!D73</f>
        <v>0</v>
      </c>
      <c r="E73" s="234">
        <f>'IODA Weekly iTunes'!E73+'Orch Weekly Mgmt'!E73</f>
        <v>0</v>
      </c>
      <c r="F73" s="234">
        <f>'IODA Weekly iTunes'!F73+'Orch Weekly Mgmt'!F73</f>
        <v>0</v>
      </c>
      <c r="G73" s="235">
        <f t="shared" si="10"/>
        <v>2032.54</v>
      </c>
      <c r="H73" s="236">
        <f>'IODA Weekly iTunes'!H73+'Orch Weekly Mgmt'!H73</f>
        <v>4065.08</v>
      </c>
      <c r="I73" s="236">
        <f>'IODA Weekly iTunes'!I73+'Orch Weekly Mgmt'!I73:I73</f>
        <v>5688.0541307693738</v>
      </c>
      <c r="J73" s="237">
        <f t="shared" si="9"/>
        <v>-1622.9741307693739</v>
      </c>
      <c r="K73" s="238">
        <f t="shared" si="11"/>
        <v>-0.28533028931457238</v>
      </c>
      <c r="L73" s="236">
        <f>'IODA Weekly iTunes'!M73+'Orch Weekly Mgmt'!M73</f>
        <v>12668.719918744568</v>
      </c>
      <c r="M73" s="236">
        <f>'IODA Weekly iTunes'!N73+'Orch Weekly Mgmt'!N73</f>
        <v>14000.446533696519</v>
      </c>
      <c r="N73" s="237">
        <f t="shared" si="12"/>
        <v>-1331.726614951951</v>
      </c>
      <c r="O73" s="238">
        <f t="shared" si="13"/>
        <v>-9.5120295752476769E-2</v>
      </c>
      <c r="Q73" s="208"/>
      <c r="R73" s="154"/>
      <c r="S73" s="154"/>
    </row>
    <row r="74" spans="1:19" s="3" customFormat="1" ht="11">
      <c r="A74" s="233" t="s">
        <v>168</v>
      </c>
      <c r="B74" s="234">
        <f>'IODA Weekly iTunes'!B74+'Orch Weekly Mgmt'!B74</f>
        <v>9.92</v>
      </c>
      <c r="C74" s="234">
        <f>'IODA Weekly iTunes'!C74+'Orch Weekly Mgmt'!C74</f>
        <v>39.68</v>
      </c>
      <c r="D74" s="234">
        <f>'IODA Weekly iTunes'!D74+'Orch Weekly Mgmt'!D74</f>
        <v>0</v>
      </c>
      <c r="E74" s="234">
        <f>'IODA Weekly iTunes'!E74+'Orch Weekly Mgmt'!E74</f>
        <v>0</v>
      </c>
      <c r="F74" s="234">
        <f>'IODA Weekly iTunes'!F74+'Orch Weekly Mgmt'!F74</f>
        <v>0</v>
      </c>
      <c r="G74" s="235">
        <f t="shared" si="10"/>
        <v>49.6</v>
      </c>
      <c r="H74" s="236">
        <f>'IODA Weekly iTunes'!H74+'Orch Weekly Mgmt'!H74</f>
        <v>99.2</v>
      </c>
      <c r="I74" s="236">
        <f>'IODA Weekly iTunes'!I74+'Orch Weekly Mgmt'!I74:I74</f>
        <v>56.111948696468971</v>
      </c>
      <c r="J74" s="237">
        <f t="shared" si="9"/>
        <v>43.088051303531032</v>
      </c>
      <c r="K74" s="238">
        <f t="shared" si="11"/>
        <v>0.76789440225308891</v>
      </c>
      <c r="L74" s="236">
        <f>'IODA Weekly iTunes'!M74+'Orch Weekly Mgmt'!M74</f>
        <v>214.98666579723368</v>
      </c>
      <c r="M74" s="236">
        <f>'IODA Weekly iTunes'!N74+'Orch Weekly Mgmt'!N74</f>
        <v>137.90243447354533</v>
      </c>
      <c r="N74" s="237">
        <f t="shared" si="12"/>
        <v>77.084231323688357</v>
      </c>
      <c r="O74" s="238">
        <f t="shared" si="13"/>
        <v>0.55897658092813363</v>
      </c>
      <c r="Q74" s="208"/>
      <c r="R74" s="154"/>
      <c r="S74" s="154"/>
    </row>
    <row r="75" spans="1:19" s="3" customFormat="1" ht="11">
      <c r="A75" s="233" t="s">
        <v>179</v>
      </c>
      <c r="B75" s="234">
        <f>'IODA Weekly iTunes'!B75+'Orch Weekly Mgmt'!B75</f>
        <v>1476.25</v>
      </c>
      <c r="C75" s="234">
        <f>'IODA Weekly iTunes'!C75+'Orch Weekly Mgmt'!C75</f>
        <v>2671.6</v>
      </c>
      <c r="D75" s="234">
        <f>'IODA Weekly iTunes'!D75+'Orch Weekly Mgmt'!D75</f>
        <v>0</v>
      </c>
      <c r="E75" s="234">
        <f>'IODA Weekly iTunes'!E75+'Orch Weekly Mgmt'!E75</f>
        <v>0</v>
      </c>
      <c r="F75" s="234">
        <f>'IODA Weekly iTunes'!F75+'Orch Weekly Mgmt'!F75</f>
        <v>0</v>
      </c>
      <c r="G75" s="235">
        <f t="shared" si="10"/>
        <v>4147.8500000000004</v>
      </c>
      <c r="H75" s="236">
        <f>'IODA Weekly iTunes'!H75+'Orch Weekly Mgmt'!H75</f>
        <v>8295.7000000000007</v>
      </c>
      <c r="I75" s="236">
        <f>'IODA Weekly iTunes'!I75+'Orch Weekly Mgmt'!I75:I75</f>
        <v>10804.391343633783</v>
      </c>
      <c r="J75" s="237">
        <f t="shared" si="9"/>
        <v>-2508.6913436337818</v>
      </c>
      <c r="K75" s="238">
        <f t="shared" si="11"/>
        <v>-0.23219182495754057</v>
      </c>
      <c r="L75" s="236">
        <f>'IODA Weekly iTunes'!M75+'Orch Weekly Mgmt'!M75</f>
        <v>24453.009959053998</v>
      </c>
      <c r="M75" s="236">
        <f>'IODA Weekly iTunes'!N75+'Orch Weekly Mgmt'!N75</f>
        <v>26549.525826101744</v>
      </c>
      <c r="N75" s="237">
        <f t="shared" si="12"/>
        <v>-2096.5158670477467</v>
      </c>
      <c r="O75" s="238">
        <f t="shared" si="13"/>
        <v>-7.8966226394393477E-2</v>
      </c>
      <c r="Q75" s="208"/>
      <c r="R75" s="154"/>
      <c r="S75" s="154"/>
    </row>
    <row r="76" spans="1:19" s="3" customFormat="1" ht="11">
      <c r="A76" s="233" t="s">
        <v>182</v>
      </c>
      <c r="B76" s="234">
        <f>'IODA Weekly iTunes'!B76+'Orch Weekly Mgmt'!B76</f>
        <v>1952.0326340000001</v>
      </c>
      <c r="C76" s="234">
        <f>'IODA Weekly iTunes'!C76+'Orch Weekly Mgmt'!C76</f>
        <v>2720.6604400000001</v>
      </c>
      <c r="D76" s="234">
        <f>'IODA Weekly iTunes'!D76+'Orch Weekly Mgmt'!D76</f>
        <v>0</v>
      </c>
      <c r="E76" s="234">
        <f>'IODA Weekly iTunes'!E76+'Orch Weekly Mgmt'!E76</f>
        <v>0</v>
      </c>
      <c r="F76" s="234">
        <f>'IODA Weekly iTunes'!F76+'Orch Weekly Mgmt'!F76</f>
        <v>0</v>
      </c>
      <c r="G76" s="235">
        <f t="shared" si="10"/>
        <v>4672.6930740000007</v>
      </c>
      <c r="H76" s="236">
        <f>'IODA Weekly iTunes'!H76+'Orch Weekly Mgmt'!H76</f>
        <v>9345.3861480000014</v>
      </c>
      <c r="I76" s="236">
        <f>'IODA Weekly iTunes'!I76+'Orch Weekly Mgmt'!I76:I76</f>
        <v>13294.317474885258</v>
      </c>
      <c r="J76" s="237">
        <f t="shared" si="9"/>
        <v>-3948.9313268852566</v>
      </c>
      <c r="K76" s="238">
        <f t="shared" si="11"/>
        <v>-0.29703904200763337</v>
      </c>
      <c r="L76" s="236">
        <f>'IODA Weekly iTunes'!M76+'Orch Weekly Mgmt'!M76</f>
        <v>27436.565265172969</v>
      </c>
      <c r="M76" s="236">
        <f>'IODA Weekly iTunes'!N76+'Orch Weekly Mgmt'!N76</f>
        <v>32707.532611482762</v>
      </c>
      <c r="N76" s="237">
        <f t="shared" si="12"/>
        <v>-5270.9673463097934</v>
      </c>
      <c r="O76" s="238">
        <f t="shared" si="13"/>
        <v>-0.16115453919808351</v>
      </c>
      <c r="Q76" s="208"/>
      <c r="R76" s="154"/>
      <c r="S76" s="154"/>
    </row>
    <row r="77" spans="1:19" s="3" customFormat="1" ht="11">
      <c r="A77" s="233" t="s">
        <v>184</v>
      </c>
      <c r="B77" s="234">
        <f>'IODA Weekly iTunes'!B77+'Orch Weekly Mgmt'!B77</f>
        <v>135.78</v>
      </c>
      <c r="C77" s="234">
        <f>'IODA Weekly iTunes'!C77+'Orch Weekly Mgmt'!C77</f>
        <v>276.52</v>
      </c>
      <c r="D77" s="234">
        <f>'IODA Weekly iTunes'!D77+'Orch Weekly Mgmt'!D77</f>
        <v>0</v>
      </c>
      <c r="E77" s="234">
        <f>'IODA Weekly iTunes'!E77+'Orch Weekly Mgmt'!E77</f>
        <v>0</v>
      </c>
      <c r="F77" s="234">
        <f>'IODA Weekly iTunes'!F77+'Orch Weekly Mgmt'!F77</f>
        <v>0</v>
      </c>
      <c r="G77" s="235">
        <f t="shared" si="10"/>
        <v>412.29999999999995</v>
      </c>
      <c r="H77" s="236">
        <f>'IODA Weekly iTunes'!H77+'Orch Weekly Mgmt'!H77</f>
        <v>824.6</v>
      </c>
      <c r="I77" s="236">
        <f>'IODA Weekly iTunes'!I77+'Orch Weekly Mgmt'!I77:I77</f>
        <v>489.52699710088837</v>
      </c>
      <c r="J77" s="237">
        <f t="shared" si="9"/>
        <v>335.07300289911166</v>
      </c>
      <c r="K77" s="238">
        <f t="shared" si="11"/>
        <v>0.68448319476454789</v>
      </c>
      <c r="L77" s="236">
        <f>'IODA Weekly iTunes'!M77+'Orch Weekly Mgmt'!M77</f>
        <v>1496.5299901127819</v>
      </c>
      <c r="M77" s="236">
        <f>'IODA Weekly iTunes'!N77+'Orch Weekly Mgmt'!N77</f>
        <v>1203.9262957290277</v>
      </c>
      <c r="N77" s="237">
        <f t="shared" si="12"/>
        <v>292.60369438375415</v>
      </c>
      <c r="O77" s="238">
        <f t="shared" si="13"/>
        <v>0.24304120229101764</v>
      </c>
      <c r="Q77" s="208"/>
      <c r="R77" s="154"/>
      <c r="S77" s="154"/>
    </row>
    <row r="78" spans="1:19" s="3" customFormat="1" ht="11">
      <c r="A78" s="233" t="s">
        <v>186</v>
      </c>
      <c r="B78" s="234">
        <f>'IODA Weekly iTunes'!B78+'Orch Weekly Mgmt'!B78</f>
        <v>2481.5362239999999</v>
      </c>
      <c r="C78" s="234">
        <f>'IODA Weekly iTunes'!C78+'Orch Weekly Mgmt'!C78</f>
        <v>876.72636799999998</v>
      </c>
      <c r="D78" s="234">
        <f>'IODA Weekly iTunes'!D78+'Orch Weekly Mgmt'!D78</f>
        <v>0</v>
      </c>
      <c r="E78" s="234">
        <f>'IODA Weekly iTunes'!E78+'Orch Weekly Mgmt'!E78</f>
        <v>0</v>
      </c>
      <c r="F78" s="234">
        <f>'IODA Weekly iTunes'!F78+'Orch Weekly Mgmt'!F78</f>
        <v>0</v>
      </c>
      <c r="G78" s="235">
        <f t="shared" si="10"/>
        <v>3358.262592</v>
      </c>
      <c r="H78" s="236">
        <f>'IODA Weekly iTunes'!H78+'Orch Weekly Mgmt'!H78</f>
        <v>6716.5251839999992</v>
      </c>
      <c r="I78" s="236">
        <f>'IODA Weekly iTunes'!I78+'Orch Weekly Mgmt'!I78:I78</f>
        <v>6994.3625715623384</v>
      </c>
      <c r="J78" s="237">
        <f t="shared" si="9"/>
        <v>-277.83738756233925</v>
      </c>
      <c r="K78" s="238">
        <f t="shared" si="11"/>
        <v>-3.9723046198944532E-2</v>
      </c>
      <c r="L78" s="236">
        <f>'IODA Weekly iTunes'!M78+'Orch Weekly Mgmt'!M78</f>
        <v>17030.909453952772</v>
      </c>
      <c r="M78" s="236">
        <f>'IODA Weekly iTunes'!N78+'Orch Weekly Mgmt'!N78</f>
        <v>17221.107157680603</v>
      </c>
      <c r="N78" s="237">
        <f t="shared" si="12"/>
        <v>-190.19770372783023</v>
      </c>
      <c r="O78" s="238">
        <f t="shared" si="13"/>
        <v>-1.1044452716444667E-2</v>
      </c>
      <c r="Q78" s="208"/>
      <c r="R78" s="154"/>
      <c r="S78" s="154"/>
    </row>
    <row r="79" spans="1:19" s="3" customFormat="1" ht="11">
      <c r="A79" s="233" t="s">
        <v>188</v>
      </c>
      <c r="B79" s="234">
        <f>'IODA Weekly iTunes'!B79+'Orch Weekly Mgmt'!B79</f>
        <v>1038.32</v>
      </c>
      <c r="C79" s="234">
        <f>'IODA Weekly iTunes'!C79+'Orch Weekly Mgmt'!C79</f>
        <v>1346.16</v>
      </c>
      <c r="D79" s="234">
        <f>'IODA Weekly iTunes'!D79+'Orch Weekly Mgmt'!D79</f>
        <v>0</v>
      </c>
      <c r="E79" s="234">
        <f>'IODA Weekly iTunes'!E79+'Orch Weekly Mgmt'!E79</f>
        <v>0</v>
      </c>
      <c r="F79" s="234">
        <f>'IODA Weekly iTunes'!F79+'Orch Weekly Mgmt'!F79</f>
        <v>0</v>
      </c>
      <c r="G79" s="235">
        <f t="shared" si="10"/>
        <v>2384.48</v>
      </c>
      <c r="H79" s="236">
        <f>'IODA Weekly iTunes'!H79+'Orch Weekly Mgmt'!H79</f>
        <v>4768.96</v>
      </c>
      <c r="I79" s="236">
        <f>'IODA Weekly iTunes'!I79+'Orch Weekly Mgmt'!I79:I79</f>
        <v>47063.808266954053</v>
      </c>
      <c r="J79" s="237">
        <f t="shared" si="9"/>
        <v>-42294.848266954054</v>
      </c>
      <c r="K79" s="238">
        <f t="shared" si="11"/>
        <v>-0.8986703334131052</v>
      </c>
      <c r="L79" s="236">
        <f>'IODA Weekly iTunes'!M79+'Orch Weekly Mgmt'!M79</f>
        <v>77447.470604202754</v>
      </c>
      <c r="M79" s="236">
        <f>'IODA Weekly iTunes'!N79+'Orch Weekly Mgmt'!N79</f>
        <v>115532.84649736634</v>
      </c>
      <c r="N79" s="237">
        <f t="shared" si="12"/>
        <v>-38085.375893163582</v>
      </c>
      <c r="O79" s="238">
        <f t="shared" si="13"/>
        <v>-0.32964976669238188</v>
      </c>
      <c r="Q79" s="208"/>
      <c r="R79" s="154"/>
      <c r="S79" s="154"/>
    </row>
    <row r="80" spans="1:19" s="3" customFormat="1" ht="11">
      <c r="A80" s="233" t="s">
        <v>196</v>
      </c>
      <c r="B80" s="234">
        <f>'IODA Weekly iTunes'!B80+'Orch Weekly Mgmt'!B80</f>
        <v>62.620000000000005</v>
      </c>
      <c r="C80" s="234">
        <f>'IODA Weekly iTunes'!C80+'Orch Weekly Mgmt'!C80</f>
        <v>206.22</v>
      </c>
      <c r="D80" s="234">
        <f>'IODA Weekly iTunes'!D80+'Orch Weekly Mgmt'!D80</f>
        <v>0</v>
      </c>
      <c r="E80" s="234">
        <f>'IODA Weekly iTunes'!E80+'Orch Weekly Mgmt'!E80</f>
        <v>0</v>
      </c>
      <c r="F80" s="234">
        <f>'IODA Weekly iTunes'!F80+'Orch Weekly Mgmt'!F80</f>
        <v>0</v>
      </c>
      <c r="G80" s="235">
        <f t="shared" si="10"/>
        <v>268.84000000000003</v>
      </c>
      <c r="H80" s="236">
        <f>'IODA Weekly iTunes'!H80+'Orch Weekly Mgmt'!H80</f>
        <v>537.67999999999995</v>
      </c>
      <c r="I80" s="236">
        <f>'IODA Weekly iTunes'!I80+'Orch Weekly Mgmt'!I80:I80</f>
        <v>567.37481880922792</v>
      </c>
      <c r="J80" s="237">
        <f t="shared" si="9"/>
        <v>-29.694818809227968</v>
      </c>
      <c r="K80" s="238">
        <f t="shared" si="11"/>
        <v>-5.2337216641989266E-2</v>
      </c>
      <c r="L80" s="236">
        <f>'IODA Weekly iTunes'!M80+'Orch Weekly Mgmt'!M80</f>
        <v>1463.5099881815922</v>
      </c>
      <c r="M80" s="236">
        <f>'IODA Weekly iTunes'!N80+'Orch Weekly Mgmt'!N80</f>
        <v>1394.6553967526629</v>
      </c>
      <c r="N80" s="237">
        <f t="shared" si="12"/>
        <v>68.854591428929325</v>
      </c>
      <c r="O80" s="238">
        <f t="shared" si="13"/>
        <v>4.9370325880680931E-2</v>
      </c>
      <c r="Q80" s="208"/>
      <c r="R80" s="154"/>
      <c r="S80" s="154"/>
    </row>
    <row r="81" spans="1:19">
      <c r="A81" s="212" t="s">
        <v>26</v>
      </c>
      <c r="B81" s="215">
        <f>'IODA Weekly iTunes'!B81+'Orch Weekly Mgmt'!B81</f>
        <v>15034.421335000001</v>
      </c>
      <c r="C81" s="215">
        <f>'IODA Weekly iTunes'!C81+'Orch Weekly Mgmt'!C81</f>
        <v>21318.744759999998</v>
      </c>
      <c r="D81" s="215">
        <f>'IODA Weekly iTunes'!D81+'Orch Weekly Mgmt'!D81</f>
        <v>0</v>
      </c>
      <c r="E81" s="215">
        <f>'IODA Weekly iTunes'!E81+'Orch Weekly Mgmt'!E81</f>
        <v>0</v>
      </c>
      <c r="F81" s="215">
        <f>'IODA Weekly iTunes'!F81+'Orch Weekly Mgmt'!F81</f>
        <v>0</v>
      </c>
      <c r="G81" s="216">
        <f t="shared" si="10"/>
        <v>36353.166095</v>
      </c>
      <c r="H81" s="218">
        <f>'IODA Weekly iTunes'!H81+'Orch Weekly Mgmt'!H81</f>
        <v>72706.332190000001</v>
      </c>
      <c r="I81" s="218">
        <f>'IODA Weekly iTunes'!I81+'Orch Weekly Mgmt'!I81:I81</f>
        <v>68131.099427040448</v>
      </c>
      <c r="J81" s="219">
        <f t="shared" si="9"/>
        <v>4575.2327629595529</v>
      </c>
      <c r="K81" s="220">
        <v>0</v>
      </c>
      <c r="L81" s="218">
        <f>'IODA Weekly iTunes'!M81+'Orch Weekly Mgmt'!M81</f>
        <v>213124.35631111311</v>
      </c>
      <c r="M81" s="218">
        <f>'IODA Weekly iTunes'!N81+'Orch Weekly Mgmt'!N81</f>
        <v>167464.19640756468</v>
      </c>
      <c r="N81" s="219">
        <f t="shared" si="12"/>
        <v>45660.159903548425</v>
      </c>
      <c r="O81" s="220">
        <f t="shared" si="13"/>
        <v>0.2726562506078814</v>
      </c>
    </row>
    <row r="82" spans="1:19" s="3" customFormat="1" ht="11">
      <c r="A82" s="233" t="s">
        <v>124</v>
      </c>
      <c r="B82" s="234">
        <f>'IODA Weekly iTunes'!B82+'Orch Weekly Mgmt'!B82</f>
        <v>0</v>
      </c>
      <c r="C82" s="234">
        <f>'IODA Weekly iTunes'!C82+'Orch Weekly Mgmt'!C82</f>
        <v>0</v>
      </c>
      <c r="D82" s="234">
        <f>'IODA Weekly iTunes'!D82+'Orch Weekly Mgmt'!D82</f>
        <v>0</v>
      </c>
      <c r="E82" s="234">
        <f>'IODA Weekly iTunes'!E82+'Orch Weekly Mgmt'!E82</f>
        <v>0</v>
      </c>
      <c r="F82" s="234">
        <f>'IODA Weekly iTunes'!F82+'Orch Weekly Mgmt'!F82</f>
        <v>0</v>
      </c>
      <c r="G82" s="235">
        <f t="shared" si="10"/>
        <v>0</v>
      </c>
      <c r="H82" s="236">
        <f>'IODA Weekly iTunes'!H82+'Orch Weekly Mgmt'!H82</f>
        <v>0</v>
      </c>
      <c r="I82" s="236">
        <f>'IODA Weekly iTunes'!I82+'Orch Weekly Mgmt'!I82:I82</f>
        <v>10.941559149994635</v>
      </c>
      <c r="J82" s="237">
        <f t="shared" ref="J82:J113" si="14">H82-I82</f>
        <v>-10.941559149994635</v>
      </c>
      <c r="K82" s="238">
        <f t="shared" ref="K82:K125" si="15">J82/I82</f>
        <v>-1</v>
      </c>
      <c r="L82" s="236">
        <f>'IODA Weekly iTunes'!M82+'Orch Weekly Mgmt'!M82</f>
        <v>41.339999675750725</v>
      </c>
      <c r="M82" s="236">
        <f>'IODA Weekly iTunes'!N82+'Orch Weekly Mgmt'!N82</f>
        <v>26.917830533011823</v>
      </c>
      <c r="N82" s="237">
        <f t="shared" si="12"/>
        <v>14.422169142738902</v>
      </c>
      <c r="O82" s="238">
        <f t="shared" si="13"/>
        <v>0.53578497438906392</v>
      </c>
      <c r="Q82" s="208"/>
      <c r="R82" s="154"/>
      <c r="S82" s="154"/>
    </row>
    <row r="83" spans="1:19" s="3" customFormat="1" ht="11">
      <c r="A83" s="233" t="s">
        <v>125</v>
      </c>
      <c r="B83" s="234">
        <f>'IODA Weekly iTunes'!B83+'Orch Weekly Mgmt'!B83</f>
        <v>7.3199999999999994</v>
      </c>
      <c r="C83" s="234">
        <f>'IODA Weekly iTunes'!C83+'Orch Weekly Mgmt'!C83</f>
        <v>3.66</v>
      </c>
      <c r="D83" s="234">
        <f>'IODA Weekly iTunes'!D83+'Orch Weekly Mgmt'!D83</f>
        <v>0</v>
      </c>
      <c r="E83" s="234">
        <f>'IODA Weekly iTunes'!E83+'Orch Weekly Mgmt'!E83</f>
        <v>0</v>
      </c>
      <c r="F83" s="234">
        <f>'IODA Weekly iTunes'!F83+'Orch Weekly Mgmt'!F83</f>
        <v>0</v>
      </c>
      <c r="G83" s="235">
        <f t="shared" si="10"/>
        <v>10.98</v>
      </c>
      <c r="H83" s="236">
        <f>'IODA Weekly iTunes'!H83+'Orch Weekly Mgmt'!H83</f>
        <v>21.96</v>
      </c>
      <c r="I83" s="236">
        <f>'IODA Weekly iTunes'!I83+'Orch Weekly Mgmt'!I83:I83</f>
        <v>48.813304359101522</v>
      </c>
      <c r="J83" s="237">
        <f t="shared" si="14"/>
        <v>-26.853304359101521</v>
      </c>
      <c r="K83" s="238">
        <f t="shared" si="15"/>
        <v>-0.55012265020109352</v>
      </c>
      <c r="L83" s="236">
        <f>'IODA Weekly iTunes'!M83+'Orch Weekly Mgmt'!M83</f>
        <v>101.88833423614496</v>
      </c>
      <c r="M83" s="236">
        <f>'IODA Weekly iTunes'!N83+'Orch Weekly Mgmt'!N83</f>
        <v>120.10041646763236</v>
      </c>
      <c r="N83" s="237">
        <f t="shared" si="12"/>
        <v>-18.2120822314874</v>
      </c>
      <c r="O83" s="238">
        <f t="shared" si="13"/>
        <v>-0.15164045860236999</v>
      </c>
      <c r="Q83" s="208"/>
      <c r="R83" s="154"/>
      <c r="S83" s="154"/>
    </row>
    <row r="84" spans="1:19" s="3" customFormat="1" ht="11">
      <c r="A84" s="233" t="s">
        <v>127</v>
      </c>
      <c r="B84" s="234">
        <f>'IODA Weekly iTunes'!B84+'Orch Weekly Mgmt'!B84</f>
        <v>26.67</v>
      </c>
      <c r="C84" s="234">
        <f>'IODA Weekly iTunes'!C84+'Orch Weekly Mgmt'!C84</f>
        <v>22.32</v>
      </c>
      <c r="D84" s="234">
        <f>'IODA Weekly iTunes'!D84+'Orch Weekly Mgmt'!D84</f>
        <v>0</v>
      </c>
      <c r="E84" s="234">
        <f>'IODA Weekly iTunes'!E84+'Orch Weekly Mgmt'!E84</f>
        <v>0</v>
      </c>
      <c r="F84" s="234">
        <f>'IODA Weekly iTunes'!F84+'Orch Weekly Mgmt'!F84</f>
        <v>0</v>
      </c>
      <c r="G84" s="235">
        <f t="shared" si="10"/>
        <v>48.99</v>
      </c>
      <c r="H84" s="236">
        <f>'IODA Weekly iTunes'!H84+'Orch Weekly Mgmt'!H84</f>
        <v>97.980000000000018</v>
      </c>
      <c r="I84" s="236">
        <f>'IODA Weekly iTunes'!I84+'Orch Weekly Mgmt'!I84:I84</f>
        <v>126.26888044768837</v>
      </c>
      <c r="J84" s="237">
        <f t="shared" si="14"/>
        <v>-28.288880447688356</v>
      </c>
      <c r="K84" s="238">
        <f t="shared" si="15"/>
        <v>-0.22403683589645895</v>
      </c>
      <c r="L84" s="236">
        <f>'IODA Weekly iTunes'!M84+'Orch Weekly Mgmt'!M84</f>
        <v>373.5300031411648</v>
      </c>
      <c r="M84" s="236">
        <f>'IODA Weekly iTunes'!N84+'Orch Weekly Mgmt'!N84</f>
        <v>310.33442191538984</v>
      </c>
      <c r="N84" s="237">
        <f t="shared" si="12"/>
        <v>63.195581225774959</v>
      </c>
      <c r="O84" s="238">
        <f t="shared" si="13"/>
        <v>0.20363703399619884</v>
      </c>
      <c r="Q84" s="208"/>
      <c r="R84" s="154"/>
      <c r="S84" s="154"/>
    </row>
    <row r="85" spans="1:19" s="3" customFormat="1" ht="11">
      <c r="A85" s="233" t="s">
        <v>128</v>
      </c>
      <c r="B85" s="234">
        <f>'IODA Weekly iTunes'!B85+'Orch Weekly Mgmt'!B85</f>
        <v>124.5</v>
      </c>
      <c r="C85" s="234">
        <f>'IODA Weekly iTunes'!C85+'Orch Weekly Mgmt'!C85</f>
        <v>226.32</v>
      </c>
      <c r="D85" s="234">
        <f>'IODA Weekly iTunes'!D85+'Orch Weekly Mgmt'!D85</f>
        <v>0</v>
      </c>
      <c r="E85" s="234">
        <f>'IODA Weekly iTunes'!E85+'Orch Weekly Mgmt'!E85</f>
        <v>0</v>
      </c>
      <c r="F85" s="234">
        <f>'IODA Weekly iTunes'!F85+'Orch Weekly Mgmt'!F85</f>
        <v>0</v>
      </c>
      <c r="G85" s="235">
        <f t="shared" si="10"/>
        <v>350.82</v>
      </c>
      <c r="H85" s="236">
        <f>'IODA Weekly iTunes'!H85+'Orch Weekly Mgmt'!H85</f>
        <v>701.64</v>
      </c>
      <c r="I85" s="236">
        <f>'IODA Weekly iTunes'!I85+'Orch Weekly Mgmt'!I85:I85</f>
        <v>695.21682912831307</v>
      </c>
      <c r="J85" s="237">
        <f t="shared" si="14"/>
        <v>6.4231708716869207</v>
      </c>
      <c r="K85" s="238">
        <f t="shared" si="15"/>
        <v>9.2390900256838077E-3</v>
      </c>
      <c r="L85" s="236">
        <f>'IODA Weekly iTunes'!M85+'Orch Weekly Mgmt'!M85</f>
        <v>2173.6800209724906</v>
      </c>
      <c r="M85" s="236">
        <f>'IODA Weekly iTunes'!N85+'Orch Weekly Mgmt'!N85</f>
        <v>1707.6773346386381</v>
      </c>
      <c r="N85" s="237">
        <f t="shared" si="12"/>
        <v>466.00268633385258</v>
      </c>
      <c r="O85" s="238">
        <f t="shared" si="13"/>
        <v>0.27288684863435486</v>
      </c>
      <c r="Q85" s="208"/>
      <c r="R85" s="154"/>
      <c r="S85" s="154"/>
    </row>
    <row r="86" spans="1:19" s="3" customFormat="1" ht="11">
      <c r="A86" s="233" t="s">
        <v>129</v>
      </c>
      <c r="B86" s="234">
        <f>'IODA Weekly iTunes'!B86+'Orch Weekly Mgmt'!B86</f>
        <v>11.86</v>
      </c>
      <c r="C86" s="234">
        <f>'IODA Weekly iTunes'!C86+'Orch Weekly Mgmt'!C86</f>
        <v>43.42</v>
      </c>
      <c r="D86" s="234">
        <f>'IODA Weekly iTunes'!D86+'Orch Weekly Mgmt'!D86</f>
        <v>0</v>
      </c>
      <c r="E86" s="234">
        <f>'IODA Weekly iTunes'!E86+'Orch Weekly Mgmt'!E86</f>
        <v>0</v>
      </c>
      <c r="F86" s="234">
        <f>'IODA Weekly iTunes'!F86+'Orch Weekly Mgmt'!F86</f>
        <v>0</v>
      </c>
      <c r="G86" s="235">
        <f t="shared" si="10"/>
        <v>55.28</v>
      </c>
      <c r="H86" s="236">
        <f>'IODA Weekly iTunes'!H86+'Orch Weekly Mgmt'!H86</f>
        <v>110.56</v>
      </c>
      <c r="I86" s="236">
        <f>'IODA Weekly iTunes'!I86+'Orch Weekly Mgmt'!I86:I86</f>
        <v>153.19289020184374</v>
      </c>
      <c r="J86" s="237">
        <f t="shared" si="14"/>
        <v>-42.632890201843736</v>
      </c>
      <c r="K86" s="238">
        <f t="shared" si="15"/>
        <v>-0.27829548842424434</v>
      </c>
      <c r="L86" s="236">
        <f>'IODA Weekly iTunes'!M86+'Orch Weekly Mgmt'!M86</f>
        <v>384.46000092983252</v>
      </c>
      <c r="M86" s="236">
        <f>'IODA Weekly iTunes'!N86+'Orch Weekly Mgmt'!N86</f>
        <v>376.82282548509966</v>
      </c>
      <c r="N86" s="237">
        <f t="shared" si="12"/>
        <v>7.6371754447328613</v>
      </c>
      <c r="O86" s="238">
        <f t="shared" si="13"/>
        <v>2.0267284591641201E-2</v>
      </c>
      <c r="Q86" s="208"/>
      <c r="R86" s="154"/>
      <c r="S86" s="154"/>
    </row>
    <row r="87" spans="1:19" s="3" customFormat="1" ht="11">
      <c r="A87" s="233" t="s">
        <v>130</v>
      </c>
      <c r="B87" s="234">
        <f>'IODA Weekly iTunes'!B87+'Orch Weekly Mgmt'!B87</f>
        <v>22.39</v>
      </c>
      <c r="C87" s="234">
        <f>'IODA Weekly iTunes'!C87+'Orch Weekly Mgmt'!C87</f>
        <v>29.28</v>
      </c>
      <c r="D87" s="234">
        <f>'IODA Weekly iTunes'!D87+'Orch Weekly Mgmt'!D87</f>
        <v>0</v>
      </c>
      <c r="E87" s="234">
        <f>'IODA Weekly iTunes'!E87+'Orch Weekly Mgmt'!E87</f>
        <v>0</v>
      </c>
      <c r="F87" s="234">
        <f>'IODA Weekly iTunes'!F87+'Orch Weekly Mgmt'!F87</f>
        <v>0</v>
      </c>
      <c r="G87" s="235">
        <f t="shared" si="10"/>
        <v>51.67</v>
      </c>
      <c r="H87" s="236">
        <f>'IODA Weekly iTunes'!H87+'Orch Weekly Mgmt'!H87</f>
        <v>103.34</v>
      </c>
      <c r="I87" s="236">
        <f>'IODA Weekly iTunes'!I87+'Orch Weekly Mgmt'!I87:I87</f>
        <v>119.40999472279941</v>
      </c>
      <c r="J87" s="237">
        <f t="shared" si="14"/>
        <v>-16.069994722799407</v>
      </c>
      <c r="K87" s="238">
        <f t="shared" si="15"/>
        <v>-0.13457830527590753</v>
      </c>
      <c r="L87" s="236">
        <f>'IODA Weekly iTunes'!M87+'Orch Weekly Mgmt'!M87</f>
        <v>327.68000289440158</v>
      </c>
      <c r="M87" s="236">
        <f>'IODA Weekly iTunes'!N87+'Orch Weekly Mgmt'!N87</f>
        <v>293.52150809937331</v>
      </c>
      <c r="N87" s="237">
        <f t="shared" si="12"/>
        <v>34.158494795028275</v>
      </c>
      <c r="O87" s="238">
        <f t="shared" si="13"/>
        <v>0.11637475909759816</v>
      </c>
      <c r="Q87" s="208"/>
      <c r="R87" s="154"/>
      <c r="S87" s="154"/>
    </row>
    <row r="88" spans="1:19" s="3" customFormat="1" ht="11">
      <c r="A88" s="233" t="s">
        <v>131</v>
      </c>
      <c r="B88" s="234">
        <f>'IODA Weekly iTunes'!B88+'Orch Weekly Mgmt'!B88</f>
        <v>74.099999999999994</v>
      </c>
      <c r="C88" s="234">
        <f>'IODA Weekly iTunes'!C88+'Orch Weekly Mgmt'!C88</f>
        <v>120</v>
      </c>
      <c r="D88" s="234">
        <f>'IODA Weekly iTunes'!D88+'Orch Weekly Mgmt'!D88</f>
        <v>0</v>
      </c>
      <c r="E88" s="234">
        <f>'IODA Weekly iTunes'!E88+'Orch Weekly Mgmt'!E88</f>
        <v>0</v>
      </c>
      <c r="F88" s="234">
        <f>'IODA Weekly iTunes'!F88+'Orch Weekly Mgmt'!F88</f>
        <v>0</v>
      </c>
      <c r="G88" s="235">
        <f t="shared" si="10"/>
        <v>194.1</v>
      </c>
      <c r="H88" s="236">
        <f>'IODA Weekly iTunes'!H88+'Orch Weekly Mgmt'!H88</f>
        <v>388.2</v>
      </c>
      <c r="I88" s="236">
        <f>'IODA Weekly iTunes'!I88+'Orch Weekly Mgmt'!I88:I88</f>
        <v>291.89926759222794</v>
      </c>
      <c r="J88" s="237">
        <f t="shared" si="14"/>
        <v>96.300732407772045</v>
      </c>
      <c r="K88" s="238">
        <f t="shared" si="15"/>
        <v>0.32991083945541266</v>
      </c>
      <c r="L88" s="236">
        <f>'IODA Weekly iTunes'!M88+'Orch Weekly Mgmt'!M88</f>
        <v>1278.2700149536126</v>
      </c>
      <c r="M88" s="236">
        <f>'IODA Weekly iTunes'!N88+'Orch Weekly Mgmt'!N88</f>
        <v>716.89310416489479</v>
      </c>
      <c r="N88" s="237">
        <f t="shared" si="12"/>
        <v>561.37691078871785</v>
      </c>
      <c r="O88" s="238">
        <f t="shared" si="13"/>
        <v>0.78306920170847927</v>
      </c>
      <c r="Q88" s="208"/>
      <c r="R88" s="154"/>
      <c r="S88" s="154"/>
    </row>
    <row r="89" spans="1:19" s="3" customFormat="1" ht="11">
      <c r="A89" s="233" t="s">
        <v>133</v>
      </c>
      <c r="B89" s="234">
        <f>'IODA Weekly iTunes'!B89+'Orch Weekly Mgmt'!B89</f>
        <v>64.41</v>
      </c>
      <c r="C89" s="234">
        <f>'IODA Weekly iTunes'!C89+'Orch Weekly Mgmt'!C89</f>
        <v>84.18</v>
      </c>
      <c r="D89" s="234">
        <f>'IODA Weekly iTunes'!D89+'Orch Weekly Mgmt'!D89</f>
        <v>0</v>
      </c>
      <c r="E89" s="234">
        <f>'IODA Weekly iTunes'!E89+'Orch Weekly Mgmt'!E89</f>
        <v>0</v>
      </c>
      <c r="F89" s="234">
        <f>'IODA Weekly iTunes'!F89+'Orch Weekly Mgmt'!F89</f>
        <v>0</v>
      </c>
      <c r="G89" s="235">
        <f t="shared" si="10"/>
        <v>148.59</v>
      </c>
      <c r="H89" s="236">
        <f>'IODA Weekly iTunes'!H89+'Orch Weekly Mgmt'!H89</f>
        <v>297.18</v>
      </c>
      <c r="I89" s="236">
        <f>'IODA Weekly iTunes'!I89+'Orch Weekly Mgmt'!I89:I89</f>
        <v>175.55689737181771</v>
      </c>
      <c r="J89" s="237">
        <f t="shared" si="14"/>
        <v>121.62310262818229</v>
      </c>
      <c r="K89" s="238">
        <f t="shared" si="15"/>
        <v>0.69278452996690143</v>
      </c>
      <c r="L89" s="236">
        <f>'IODA Weekly iTunes'!M89+'Orch Weekly Mgmt'!M89</f>
        <v>632.85000055313105</v>
      </c>
      <c r="M89" s="236">
        <f>'IODA Weekly iTunes'!N89+'Orch Weekly Mgmt'!N89</f>
        <v>431.63609940162144</v>
      </c>
      <c r="N89" s="237">
        <f t="shared" si="12"/>
        <v>201.21390115150962</v>
      </c>
      <c r="O89" s="238">
        <f t="shared" si="13"/>
        <v>0.46616559975046834</v>
      </c>
      <c r="Q89" s="208"/>
      <c r="R89" s="154"/>
      <c r="S89" s="154"/>
    </row>
    <row r="90" spans="1:19" s="3" customFormat="1" ht="11">
      <c r="A90" s="233" t="s">
        <v>135</v>
      </c>
      <c r="B90" s="234">
        <f>'IODA Weekly iTunes'!B90+'Orch Weekly Mgmt'!B90</f>
        <v>14.030000000000001</v>
      </c>
      <c r="C90" s="234">
        <f>'IODA Weekly iTunes'!C90+'Orch Weekly Mgmt'!C90</f>
        <v>128.46</v>
      </c>
      <c r="D90" s="234">
        <f>'IODA Weekly iTunes'!D90+'Orch Weekly Mgmt'!D90</f>
        <v>0</v>
      </c>
      <c r="E90" s="234">
        <f>'IODA Weekly iTunes'!E90+'Orch Weekly Mgmt'!E90</f>
        <v>0</v>
      </c>
      <c r="F90" s="234">
        <f>'IODA Weekly iTunes'!F90+'Orch Weekly Mgmt'!F90</f>
        <v>0</v>
      </c>
      <c r="G90" s="235">
        <f t="shared" si="10"/>
        <v>142.49</v>
      </c>
      <c r="H90" s="236">
        <f>'IODA Weekly iTunes'!H90+'Orch Weekly Mgmt'!H90</f>
        <v>284.98</v>
      </c>
      <c r="I90" s="236">
        <f>'IODA Weekly iTunes'!I90+'Orch Weekly Mgmt'!I90:I90</f>
        <v>239.70048670740286</v>
      </c>
      <c r="J90" s="237">
        <f t="shared" si="14"/>
        <v>45.279513292597159</v>
      </c>
      <c r="K90" s="238">
        <f t="shared" si="15"/>
        <v>0.18890038111549132</v>
      </c>
      <c r="L90" s="236">
        <f>'IODA Weekly iTunes'!M90+'Orch Weekly Mgmt'!M90</f>
        <v>815.0899981069565</v>
      </c>
      <c r="M90" s="236">
        <f>'IODA Weekly iTunes'!N90+'Orch Weekly Mgmt'!N90</f>
        <v>589.30758723059705</v>
      </c>
      <c r="N90" s="237">
        <f t="shared" si="12"/>
        <v>225.78241087635945</v>
      </c>
      <c r="O90" s="238">
        <f t="shared" si="13"/>
        <v>0.38313168838942918</v>
      </c>
      <c r="Q90" s="208"/>
      <c r="R90" s="154"/>
      <c r="S90" s="154"/>
    </row>
    <row r="91" spans="1:19" s="3" customFormat="1" ht="11">
      <c r="A91" s="233" t="s">
        <v>138</v>
      </c>
      <c r="B91" s="234">
        <f>'IODA Weekly iTunes'!B91+'Orch Weekly Mgmt'!B91</f>
        <v>0</v>
      </c>
      <c r="C91" s="234">
        <f>'IODA Weekly iTunes'!C91+'Orch Weekly Mgmt'!C91</f>
        <v>21.96</v>
      </c>
      <c r="D91" s="234">
        <f>'IODA Weekly iTunes'!D91+'Orch Weekly Mgmt'!D91</f>
        <v>0</v>
      </c>
      <c r="E91" s="234">
        <f>'IODA Weekly iTunes'!E91+'Orch Weekly Mgmt'!E91</f>
        <v>0</v>
      </c>
      <c r="F91" s="234">
        <f>'IODA Weekly iTunes'!F91+'Orch Weekly Mgmt'!F91</f>
        <v>0</v>
      </c>
      <c r="G91" s="235">
        <f t="shared" si="10"/>
        <v>21.96</v>
      </c>
      <c r="H91" s="236">
        <f>'IODA Weekly iTunes'!H91+'Orch Weekly Mgmt'!H91</f>
        <v>87.84</v>
      </c>
      <c r="I91" s="236">
        <f>'IODA Weekly iTunes'!I91+'Orch Weekly Mgmt'!I91:I91</f>
        <v>82.691265777639757</v>
      </c>
      <c r="J91" s="237">
        <f t="shared" si="14"/>
        <v>5.1487342223602468</v>
      </c>
      <c r="K91" s="238">
        <f t="shared" si="15"/>
        <v>6.226454721597087E-2</v>
      </c>
      <c r="L91" s="236">
        <f>'IODA Weekly iTunes'!M91+'Orch Weekly Mgmt'!M91</f>
        <v>262.76333491643271</v>
      </c>
      <c r="M91" s="236">
        <f>'IODA Weekly iTunes'!N91+'Orch Weekly Mgmt'!N91</f>
        <v>203.4308099627612</v>
      </c>
      <c r="N91" s="237">
        <f t="shared" si="12"/>
        <v>59.332524953671509</v>
      </c>
      <c r="O91" s="238">
        <f t="shared" si="13"/>
        <v>0.29165948346040876</v>
      </c>
      <c r="Q91" s="208"/>
      <c r="R91" s="154"/>
      <c r="S91" s="154"/>
    </row>
    <row r="92" spans="1:19" s="3" customFormat="1" ht="11">
      <c r="A92" s="233" t="s">
        <v>140</v>
      </c>
      <c r="B92" s="234">
        <f>'IODA Weekly iTunes'!B92+'Orch Weekly Mgmt'!B92</f>
        <v>4.88</v>
      </c>
      <c r="C92" s="234">
        <f>'IODA Weekly iTunes'!C92+'Orch Weekly Mgmt'!C92</f>
        <v>3.66</v>
      </c>
      <c r="D92" s="234">
        <f>'IODA Weekly iTunes'!D92+'Orch Weekly Mgmt'!D92</f>
        <v>0</v>
      </c>
      <c r="E92" s="234">
        <f>'IODA Weekly iTunes'!E92+'Orch Weekly Mgmt'!E92</f>
        <v>0</v>
      </c>
      <c r="F92" s="234">
        <f>'IODA Weekly iTunes'!F92+'Orch Weekly Mgmt'!F92</f>
        <v>0</v>
      </c>
      <c r="G92" s="235">
        <f t="shared" si="10"/>
        <v>8.5399999999999991</v>
      </c>
      <c r="H92" s="236">
        <f>'IODA Weekly iTunes'!H92+'Orch Weekly Mgmt'!H92</f>
        <v>17.079999999999998</v>
      </c>
      <c r="I92" s="236">
        <f>'IODA Weekly iTunes'!I92+'Orch Weekly Mgmt'!I92:I92</f>
        <v>9.1917434192078513</v>
      </c>
      <c r="J92" s="237">
        <f t="shared" si="14"/>
        <v>7.888256580792147</v>
      </c>
      <c r="K92" s="238">
        <f t="shared" si="15"/>
        <v>0.85818937942808249</v>
      </c>
      <c r="L92" s="236">
        <f>'IODA Weekly iTunes'!M92+'Orch Weekly Mgmt'!M92</f>
        <v>101.05666635115939</v>
      </c>
      <c r="M92" s="236">
        <f>'IODA Weekly iTunes'!N92+'Orch Weekly Mgmt'!N92</f>
        <v>22.584497323901886</v>
      </c>
      <c r="N92" s="237">
        <f t="shared" si="12"/>
        <v>78.472169027257507</v>
      </c>
      <c r="O92" s="238">
        <f t="shared" si="13"/>
        <v>3.4746033042855435</v>
      </c>
      <c r="Q92" s="208"/>
      <c r="R92" s="154"/>
      <c r="S92" s="154"/>
    </row>
    <row r="93" spans="1:19" s="3" customFormat="1" ht="11">
      <c r="A93" s="233" t="s">
        <v>141</v>
      </c>
      <c r="B93" s="234">
        <f>'IODA Weekly iTunes'!B93+'Orch Weekly Mgmt'!B93</f>
        <v>12.2</v>
      </c>
      <c r="C93" s="234">
        <f>'IODA Weekly iTunes'!C93+'Orch Weekly Mgmt'!C93</f>
        <v>27.56</v>
      </c>
      <c r="D93" s="234">
        <f>'IODA Weekly iTunes'!D93+'Orch Weekly Mgmt'!D93</f>
        <v>0</v>
      </c>
      <c r="E93" s="234">
        <f>'IODA Weekly iTunes'!E93+'Orch Weekly Mgmt'!E93</f>
        <v>0</v>
      </c>
      <c r="F93" s="234">
        <f>'IODA Weekly iTunes'!F93+'Orch Weekly Mgmt'!F93</f>
        <v>0</v>
      </c>
      <c r="G93" s="235">
        <f t="shared" si="10"/>
        <v>39.76</v>
      </c>
      <c r="H93" s="236">
        <f>'IODA Weekly iTunes'!H93+'Orch Weekly Mgmt'!H93</f>
        <v>79.52</v>
      </c>
      <c r="I93" s="236">
        <f>'IODA Weekly iTunes'!I93+'Orch Weekly Mgmt'!I93:I93</f>
        <v>158.54788054330129</v>
      </c>
      <c r="J93" s="237">
        <f t="shared" si="14"/>
        <v>-79.027880543301293</v>
      </c>
      <c r="K93" s="238">
        <f t="shared" si="15"/>
        <v>-0.49844804151587413</v>
      </c>
      <c r="L93" s="236">
        <f>'IODA Weekly iTunes'!M93+'Orch Weekly Mgmt'!M93</f>
        <v>354.47000088214872</v>
      </c>
      <c r="M93" s="236">
        <f>'IODA Weekly iTunes'!N93+'Orch Weekly Mgmt'!N93</f>
        <v>389.98088947710772</v>
      </c>
      <c r="N93" s="237">
        <f t="shared" si="12"/>
        <v>-35.510888594958999</v>
      </c>
      <c r="O93" s="238">
        <f t="shared" si="13"/>
        <v>-9.1058022465081656E-2</v>
      </c>
      <c r="Q93" s="208"/>
      <c r="R93" s="154"/>
      <c r="S93" s="154"/>
    </row>
    <row r="94" spans="1:19" s="3" customFormat="1" ht="11">
      <c r="A94" s="233" t="s">
        <v>145</v>
      </c>
      <c r="B94" s="234">
        <f>'IODA Weekly iTunes'!B94+'Orch Weekly Mgmt'!B94</f>
        <v>7.32</v>
      </c>
      <c r="C94" s="234">
        <f>'IODA Weekly iTunes'!C94+'Orch Weekly Mgmt'!C94</f>
        <v>1.22</v>
      </c>
      <c r="D94" s="234">
        <f>'IODA Weekly iTunes'!D94+'Orch Weekly Mgmt'!D94</f>
        <v>0</v>
      </c>
      <c r="E94" s="234">
        <f>'IODA Weekly iTunes'!E94+'Orch Weekly Mgmt'!E94</f>
        <v>0</v>
      </c>
      <c r="F94" s="234">
        <f>'IODA Weekly iTunes'!F94+'Orch Weekly Mgmt'!F94</f>
        <v>0</v>
      </c>
      <c r="G94" s="235">
        <f t="shared" si="10"/>
        <v>8.5400000000000009</v>
      </c>
      <c r="H94" s="236">
        <f>'IODA Weekly iTunes'!H94+'Orch Weekly Mgmt'!H94</f>
        <v>17.080000000000002</v>
      </c>
      <c r="I94" s="236">
        <f>'IODA Weekly iTunes'!I94+'Orch Weekly Mgmt'!I94:I94</f>
        <v>13.833531047255292</v>
      </c>
      <c r="J94" s="237">
        <f t="shared" si="14"/>
        <v>3.2464689527447099</v>
      </c>
      <c r="K94" s="238">
        <f t="shared" si="15"/>
        <v>0.23468114841068299</v>
      </c>
      <c r="L94" s="236">
        <f>'IODA Weekly iTunes'!M94+'Orch Weekly Mgmt'!M94</f>
        <v>76.370000637372357</v>
      </c>
      <c r="M94" s="236">
        <f>'IODA Weekly iTunes'!N94+'Orch Weekly Mgmt'!N94</f>
        <v>33.96163624009634</v>
      </c>
      <c r="N94" s="237">
        <f t="shared" si="12"/>
        <v>42.408364397276017</v>
      </c>
      <c r="O94" s="238">
        <f t="shared" si="13"/>
        <v>1.2487138163033253</v>
      </c>
      <c r="Q94" s="208"/>
      <c r="R94" s="154"/>
      <c r="S94" s="154"/>
    </row>
    <row r="95" spans="1:19" s="3" customFormat="1" ht="11">
      <c r="A95" s="233" t="s">
        <v>149</v>
      </c>
      <c r="B95" s="234">
        <f>'IODA Weekly iTunes'!B95+'Orch Weekly Mgmt'!B95</f>
        <v>4.2699999999999996</v>
      </c>
      <c r="C95" s="234">
        <f>'IODA Weekly iTunes'!C95+'Orch Weekly Mgmt'!C95</f>
        <v>1.22</v>
      </c>
      <c r="D95" s="234">
        <f>'IODA Weekly iTunes'!D95+'Orch Weekly Mgmt'!D95</f>
        <v>0</v>
      </c>
      <c r="E95" s="234">
        <f>'IODA Weekly iTunes'!E95+'Orch Weekly Mgmt'!E95</f>
        <v>0</v>
      </c>
      <c r="F95" s="234">
        <f>'IODA Weekly iTunes'!F95+'Orch Weekly Mgmt'!F95</f>
        <v>0</v>
      </c>
      <c r="G95" s="235">
        <f t="shared" ref="G95:G125" si="16">SUM(B95:F95)</f>
        <v>5.4899999999999993</v>
      </c>
      <c r="H95" s="236">
        <f>'IODA Weekly iTunes'!H95+'Orch Weekly Mgmt'!H95</f>
        <v>12.2</v>
      </c>
      <c r="I95" s="236">
        <f>'IODA Weekly iTunes'!I95+'Orch Weekly Mgmt'!I95:I95</f>
        <v>19.964512409970542</v>
      </c>
      <c r="J95" s="237">
        <f t="shared" si="14"/>
        <v>-7.7645124099705427</v>
      </c>
      <c r="K95" s="238">
        <f t="shared" si="15"/>
        <v>-0.38891570455248597</v>
      </c>
      <c r="L95" s="236">
        <f>'IODA Weekly iTunes'!M95+'Orch Weekly Mgmt'!M95</f>
        <v>46.56333318551382</v>
      </c>
      <c r="M95" s="236">
        <f>'IODA Weekly iTunes'!N95+'Orch Weekly Mgmt'!N95</f>
        <v>49.032871990989129</v>
      </c>
      <c r="N95" s="237">
        <f t="shared" si="12"/>
        <v>-2.4695388054753096</v>
      </c>
      <c r="O95" s="238">
        <f t="shared" si="13"/>
        <v>-5.0364963445933615E-2</v>
      </c>
      <c r="Q95" s="208"/>
      <c r="R95" s="154"/>
      <c r="S95" s="154"/>
    </row>
    <row r="96" spans="1:19" s="3" customFormat="1" ht="11">
      <c r="A96" s="233" t="s">
        <v>150</v>
      </c>
      <c r="B96" s="234">
        <f>'IODA Weekly iTunes'!B96+'Orch Weekly Mgmt'!B96</f>
        <v>3.66</v>
      </c>
      <c r="C96" s="234">
        <f>'IODA Weekly iTunes'!C96+'Orch Weekly Mgmt'!C96</f>
        <v>0</v>
      </c>
      <c r="D96" s="234">
        <f>'IODA Weekly iTunes'!D96+'Orch Weekly Mgmt'!D96</f>
        <v>0</v>
      </c>
      <c r="E96" s="234">
        <f>'IODA Weekly iTunes'!E96+'Orch Weekly Mgmt'!E96</f>
        <v>0</v>
      </c>
      <c r="F96" s="234">
        <f>'IODA Weekly iTunes'!F96+'Orch Weekly Mgmt'!F96</f>
        <v>0</v>
      </c>
      <c r="G96" s="235">
        <f t="shared" si="16"/>
        <v>3.66</v>
      </c>
      <c r="H96" s="236">
        <f>'IODA Weekly iTunes'!H96+'Orch Weekly Mgmt'!H96</f>
        <v>14.64</v>
      </c>
      <c r="I96" s="236">
        <f>'IODA Weekly iTunes'!I96+'Orch Weekly Mgmt'!I96:I96</f>
        <v>0.18696325315496123</v>
      </c>
      <c r="J96" s="237">
        <f t="shared" si="14"/>
        <v>14.45303674684504</v>
      </c>
      <c r="K96" s="238">
        <f t="shared" si="15"/>
        <v>77.304157383621757</v>
      </c>
      <c r="L96" s="236">
        <f>'IODA Weekly iTunes'!M96+'Orch Weekly Mgmt'!M96</f>
        <v>14.64</v>
      </c>
      <c r="M96" s="236">
        <f>'IODA Weekly iTunes'!N96+'Orch Weekly Mgmt'!N96</f>
        <v>0.45878772102197313</v>
      </c>
      <c r="N96" s="237">
        <f t="shared" si="12"/>
        <v>14.181212278978027</v>
      </c>
      <c r="O96" s="238">
        <f t="shared" si="13"/>
        <v>30.910182703644839</v>
      </c>
      <c r="Q96" s="208"/>
      <c r="R96" s="154"/>
      <c r="S96" s="154"/>
    </row>
    <row r="97" spans="1:19" s="3" customFormat="1" ht="11">
      <c r="A97" s="233" t="s">
        <v>151</v>
      </c>
      <c r="B97" s="234">
        <f>'IODA Weekly iTunes'!B97+'Orch Weekly Mgmt'!B97</f>
        <v>56.12</v>
      </c>
      <c r="C97" s="234">
        <f>'IODA Weekly iTunes'!C97+'Orch Weekly Mgmt'!C97</f>
        <v>26.84</v>
      </c>
      <c r="D97" s="234">
        <f>'IODA Weekly iTunes'!D97+'Orch Weekly Mgmt'!D97</f>
        <v>0</v>
      </c>
      <c r="E97" s="234">
        <f>'IODA Weekly iTunes'!E97+'Orch Weekly Mgmt'!E97</f>
        <v>0</v>
      </c>
      <c r="F97" s="234">
        <f>'IODA Weekly iTunes'!F97+'Orch Weekly Mgmt'!F97</f>
        <v>0</v>
      </c>
      <c r="G97" s="235">
        <f t="shared" si="16"/>
        <v>82.96</v>
      </c>
      <c r="H97" s="236">
        <f>'IODA Weekly iTunes'!H97+'Orch Weekly Mgmt'!H97</f>
        <v>165.92</v>
      </c>
      <c r="I97" s="236">
        <f>'IODA Weekly iTunes'!I97+'Orch Weekly Mgmt'!I97:I97</f>
        <v>226.82577776621713</v>
      </c>
      <c r="J97" s="237">
        <f t="shared" si="14"/>
        <v>-60.905777766217142</v>
      </c>
      <c r="K97" s="238">
        <f t="shared" si="15"/>
        <v>-0.26851347481762411</v>
      </c>
      <c r="L97" s="236">
        <f>'IODA Weekly iTunes'!M97+'Orch Weekly Mgmt'!M97</f>
        <v>554.35499809503563</v>
      </c>
      <c r="M97" s="236">
        <f>'IODA Weekly iTunes'!N97+'Orch Weekly Mgmt'!N97</f>
        <v>557.8265147535709</v>
      </c>
      <c r="N97" s="237">
        <f t="shared" si="12"/>
        <v>-3.471516658535279</v>
      </c>
      <c r="O97" s="238">
        <f t="shared" si="13"/>
        <v>-6.2232908739895216E-3</v>
      </c>
      <c r="Q97" s="208"/>
      <c r="R97" s="154"/>
      <c r="S97" s="154"/>
    </row>
    <row r="98" spans="1:19" s="3" customFormat="1" ht="11">
      <c r="A98" s="233" t="s">
        <v>152</v>
      </c>
      <c r="B98" s="234">
        <f>'IODA Weekly iTunes'!B98+'Orch Weekly Mgmt'!B98</f>
        <v>0.61</v>
      </c>
      <c r="C98" s="234">
        <f>'IODA Weekly iTunes'!C98+'Orch Weekly Mgmt'!C98</f>
        <v>14.64</v>
      </c>
      <c r="D98" s="234">
        <f>'IODA Weekly iTunes'!D98+'Orch Weekly Mgmt'!D98</f>
        <v>0</v>
      </c>
      <c r="E98" s="234">
        <f>'IODA Weekly iTunes'!E98+'Orch Weekly Mgmt'!E98</f>
        <v>0</v>
      </c>
      <c r="F98" s="234">
        <f>'IODA Weekly iTunes'!F98+'Orch Weekly Mgmt'!F98</f>
        <v>0</v>
      </c>
      <c r="G98" s="235">
        <f t="shared" si="16"/>
        <v>15.25</v>
      </c>
      <c r="H98" s="236">
        <f>'IODA Weekly iTunes'!H98+'Orch Weekly Mgmt'!H98</f>
        <v>45.14</v>
      </c>
      <c r="I98" s="236">
        <f>'IODA Weekly iTunes'!I98+'Orch Weekly Mgmt'!I98:I98</f>
        <v>14.01433722299465</v>
      </c>
      <c r="J98" s="237">
        <f t="shared" si="14"/>
        <v>31.125662777005353</v>
      </c>
      <c r="K98" s="238">
        <f t="shared" si="15"/>
        <v>2.2209871420772243</v>
      </c>
      <c r="L98" s="236">
        <f>'IODA Weekly iTunes'!M98+'Orch Weekly Mgmt'!M98</f>
        <v>106.34333298047383</v>
      </c>
      <c r="M98" s="236">
        <f>'IODA Weekly iTunes'!N98+'Orch Weekly Mgmt'!N98</f>
        <v>34.494939513743951</v>
      </c>
      <c r="N98" s="237">
        <f t="shared" si="12"/>
        <v>71.848393466729874</v>
      </c>
      <c r="O98" s="238">
        <f t="shared" si="13"/>
        <v>2.0828676460819144</v>
      </c>
      <c r="Q98" s="208"/>
      <c r="R98" s="154"/>
      <c r="S98" s="154"/>
    </row>
    <row r="99" spans="1:19" s="3" customFormat="1" ht="11">
      <c r="A99" s="233" t="s">
        <v>154</v>
      </c>
      <c r="B99" s="234">
        <f>'IODA Weekly iTunes'!B99+'Orch Weekly Mgmt'!B99</f>
        <v>0</v>
      </c>
      <c r="C99" s="234">
        <f>'IODA Weekly iTunes'!C99+'Orch Weekly Mgmt'!C99</f>
        <v>0</v>
      </c>
      <c r="D99" s="234">
        <f>'IODA Weekly iTunes'!D99+'Orch Weekly Mgmt'!D99</f>
        <v>0</v>
      </c>
      <c r="E99" s="234">
        <f>'IODA Weekly iTunes'!E99+'Orch Weekly Mgmt'!E99</f>
        <v>0</v>
      </c>
      <c r="F99" s="234">
        <f>'IODA Weekly iTunes'!F99+'Orch Weekly Mgmt'!F99</f>
        <v>0</v>
      </c>
      <c r="G99" s="235">
        <f t="shared" si="16"/>
        <v>0</v>
      </c>
      <c r="H99" s="236">
        <f>'IODA Weekly iTunes'!H99+'Orch Weekly Mgmt'!H99</f>
        <v>0</v>
      </c>
      <c r="I99" s="236">
        <f>'IODA Weekly iTunes'!I99+'Orch Weekly Mgmt'!I99:I99</f>
        <v>8.6371673518874176E-2</v>
      </c>
      <c r="J99" s="237">
        <f t="shared" si="14"/>
        <v>-8.6371673518874176E-2</v>
      </c>
      <c r="K99" s="238">
        <f t="shared" si="15"/>
        <v>-1</v>
      </c>
      <c r="L99" s="236">
        <f>'IODA Weekly iTunes'!M99+'Orch Weekly Mgmt'!M99</f>
        <v>0</v>
      </c>
      <c r="M99" s="236">
        <f>'IODA Weekly iTunes'!N99+'Orch Weekly Mgmt'!N99</f>
        <v>0.21326258500816708</v>
      </c>
      <c r="N99" s="237">
        <f t="shared" si="12"/>
        <v>-0.21326258500816708</v>
      </c>
      <c r="O99" s="238">
        <f t="shared" si="13"/>
        <v>-1</v>
      </c>
      <c r="Q99" s="208"/>
      <c r="R99" s="154"/>
      <c r="S99" s="154"/>
    </row>
    <row r="100" spans="1:19" s="3" customFormat="1" ht="11">
      <c r="A100" s="233" t="s">
        <v>157</v>
      </c>
      <c r="B100" s="234">
        <f>'IODA Weekly iTunes'!B100+'Orch Weekly Mgmt'!B100</f>
        <v>1879.5853179999999</v>
      </c>
      <c r="C100" s="234">
        <f>'IODA Weekly iTunes'!C100+'Orch Weekly Mgmt'!C100</f>
        <v>2775.4058479999999</v>
      </c>
      <c r="D100" s="234">
        <f>'IODA Weekly iTunes'!D100+'Orch Weekly Mgmt'!D100</f>
        <v>0</v>
      </c>
      <c r="E100" s="234">
        <f>'IODA Weekly iTunes'!E100+'Orch Weekly Mgmt'!E100</f>
        <v>0</v>
      </c>
      <c r="F100" s="234">
        <f>'IODA Weekly iTunes'!F100+'Orch Weekly Mgmt'!F100</f>
        <v>0</v>
      </c>
      <c r="G100" s="235">
        <f t="shared" si="16"/>
        <v>4654.9911659999998</v>
      </c>
      <c r="H100" s="236">
        <f>'IODA Weekly iTunes'!H100+'Orch Weekly Mgmt'!H100</f>
        <v>9309.9823319999996</v>
      </c>
      <c r="I100" s="236">
        <f>'IODA Weekly iTunes'!I100+'Orch Weekly Mgmt'!I100:I100</f>
        <v>8663.0545104361991</v>
      </c>
      <c r="J100" s="237">
        <f t="shared" si="14"/>
        <v>646.92782156380053</v>
      </c>
      <c r="K100" s="238">
        <f t="shared" si="15"/>
        <v>7.4676642145615063E-2</v>
      </c>
      <c r="L100" s="236">
        <f>'IODA Weekly iTunes'!M100+'Orch Weekly Mgmt'!M100</f>
        <v>26420.124509976671</v>
      </c>
      <c r="M100" s="236">
        <f>'IODA Weekly iTunes'!N100+'Orch Weekly Mgmt'!N100</f>
        <v>21292.383954368543</v>
      </c>
      <c r="N100" s="237">
        <f t="shared" si="12"/>
        <v>5127.7405556081285</v>
      </c>
      <c r="O100" s="238">
        <f t="shared" si="13"/>
        <v>0.24082510284415914</v>
      </c>
      <c r="Q100" s="208"/>
      <c r="R100" s="154"/>
      <c r="S100" s="154"/>
    </row>
    <row r="101" spans="1:19" s="3" customFormat="1" ht="11">
      <c r="A101" s="233" t="s">
        <v>158</v>
      </c>
      <c r="B101" s="234">
        <f>'IODA Weekly iTunes'!B101+'Orch Weekly Mgmt'!B101</f>
        <v>1458.74</v>
      </c>
      <c r="C101" s="234">
        <f>'IODA Weekly iTunes'!C101+'Orch Weekly Mgmt'!C101</f>
        <v>1759.7159999999999</v>
      </c>
      <c r="D101" s="234">
        <f>'IODA Weekly iTunes'!D101+'Orch Weekly Mgmt'!D101</f>
        <v>0</v>
      </c>
      <c r="E101" s="234">
        <f>'IODA Weekly iTunes'!E101+'Orch Weekly Mgmt'!E101</f>
        <v>0</v>
      </c>
      <c r="F101" s="234">
        <f>'IODA Weekly iTunes'!F101+'Orch Weekly Mgmt'!F101</f>
        <v>0</v>
      </c>
      <c r="G101" s="235">
        <f t="shared" si="16"/>
        <v>3218.4560000000001</v>
      </c>
      <c r="H101" s="236">
        <f>'IODA Weekly iTunes'!H101+'Orch Weekly Mgmt'!H101</f>
        <v>6436.9120000000003</v>
      </c>
      <c r="I101" s="236">
        <f>'IODA Weekly iTunes'!I101+'Orch Weekly Mgmt'!I101:I101</f>
        <v>6884.8258016214022</v>
      </c>
      <c r="J101" s="237">
        <f t="shared" si="14"/>
        <v>-447.91380162140194</v>
      </c>
      <c r="K101" s="238">
        <f t="shared" si="15"/>
        <v>-6.5058116868536686E-2</v>
      </c>
      <c r="L101" s="236">
        <f>'IODA Weekly iTunes'!M101+'Orch Weekly Mgmt'!M101</f>
        <v>19596.529202997208</v>
      </c>
      <c r="M101" s="236">
        <f>'IODA Weekly iTunes'!N101+'Orch Weekly Mgmt'!N101</f>
        <v>16937.701044092857</v>
      </c>
      <c r="N101" s="237">
        <f t="shared" si="12"/>
        <v>2658.8281589043509</v>
      </c>
      <c r="O101" s="238">
        <f t="shared" si="13"/>
        <v>0.15697692101087332</v>
      </c>
      <c r="Q101" s="208"/>
      <c r="R101" s="154"/>
      <c r="S101" s="154"/>
    </row>
    <row r="102" spans="1:19" s="3" customFormat="1" ht="11">
      <c r="A102" s="233" t="s">
        <v>159</v>
      </c>
      <c r="B102" s="234">
        <f>'IODA Weekly iTunes'!B102+'Orch Weekly Mgmt'!B102</f>
        <v>1433.032017</v>
      </c>
      <c r="C102" s="234">
        <f>'IODA Weekly iTunes'!C102+'Orch Weekly Mgmt'!C102</f>
        <v>2075.558912</v>
      </c>
      <c r="D102" s="234">
        <f>'IODA Weekly iTunes'!D102+'Orch Weekly Mgmt'!D102</f>
        <v>0</v>
      </c>
      <c r="E102" s="234">
        <f>'IODA Weekly iTunes'!E102+'Orch Weekly Mgmt'!E102</f>
        <v>0</v>
      </c>
      <c r="F102" s="234">
        <f>'IODA Weekly iTunes'!F102+'Orch Weekly Mgmt'!F102</f>
        <v>0</v>
      </c>
      <c r="G102" s="235">
        <f t="shared" si="16"/>
        <v>3508.590929</v>
      </c>
      <c r="H102" s="236">
        <f>'IODA Weekly iTunes'!H102+'Orch Weekly Mgmt'!H102</f>
        <v>7017.1818579999999</v>
      </c>
      <c r="I102" s="236">
        <f>'IODA Weekly iTunes'!I102+'Orch Weekly Mgmt'!I102:I102</f>
        <v>14041.516307708762</v>
      </c>
      <c r="J102" s="237">
        <f t="shared" si="14"/>
        <v>-7024.3344497087619</v>
      </c>
      <c r="K102" s="238">
        <f t="shared" si="15"/>
        <v>-0.50025469442017578</v>
      </c>
      <c r="L102" s="236">
        <f>'IODA Weekly iTunes'!M102+'Orch Weekly Mgmt'!M102</f>
        <v>33953.217220184044</v>
      </c>
      <c r="M102" s="236">
        <f>'IODA Weekly iTunes'!N102+'Orch Weekly Mgmt'!N102</f>
        <v>34495.274670763109</v>
      </c>
      <c r="N102" s="237">
        <f t="shared" si="12"/>
        <v>-542.05745057906461</v>
      </c>
      <c r="O102" s="238">
        <f t="shared" si="13"/>
        <v>-1.5713962441310608E-2</v>
      </c>
      <c r="Q102" s="208"/>
      <c r="R102" s="154"/>
      <c r="S102" s="154"/>
    </row>
    <row r="103" spans="1:19" s="3" customFormat="1" ht="11">
      <c r="A103" s="233" t="s">
        <v>160</v>
      </c>
      <c r="B103" s="234">
        <f>'IODA Weekly iTunes'!B103+'Orch Weekly Mgmt'!B103</f>
        <v>358.5</v>
      </c>
      <c r="C103" s="234">
        <f>'IODA Weekly iTunes'!C103+'Orch Weekly Mgmt'!C103</f>
        <v>921.12</v>
      </c>
      <c r="D103" s="234">
        <f>'IODA Weekly iTunes'!D103+'Orch Weekly Mgmt'!D103</f>
        <v>0</v>
      </c>
      <c r="E103" s="234">
        <f>'IODA Weekly iTunes'!E103+'Orch Weekly Mgmt'!E103</f>
        <v>0</v>
      </c>
      <c r="F103" s="234">
        <f>'IODA Weekly iTunes'!F103+'Orch Weekly Mgmt'!F103</f>
        <v>0</v>
      </c>
      <c r="G103" s="235">
        <f t="shared" si="16"/>
        <v>1279.6199999999999</v>
      </c>
      <c r="H103" s="236">
        <f>'IODA Weekly iTunes'!H103+'Orch Weekly Mgmt'!H103</f>
        <v>2559.2399999999998</v>
      </c>
      <c r="I103" s="236">
        <f>'IODA Weekly iTunes'!I103+'Orch Weekly Mgmt'!I103:I103</f>
        <v>1984.8312090200989</v>
      </c>
      <c r="J103" s="237">
        <f t="shared" si="14"/>
        <v>574.40879097990091</v>
      </c>
      <c r="K103" s="238">
        <f t="shared" si="15"/>
        <v>0.28939931434445937</v>
      </c>
      <c r="L103" s="236">
        <f>'IODA Weekly iTunes'!M103+'Orch Weekly Mgmt'!M103</f>
        <v>5918.4500363969801</v>
      </c>
      <c r="M103" s="236">
        <f>'IODA Weekly iTunes'!N103+'Orch Weekly Mgmt'!N103</f>
        <v>4875.887597100138</v>
      </c>
      <c r="N103" s="237">
        <f t="shared" si="12"/>
        <v>1042.5624392968421</v>
      </c>
      <c r="O103" s="238">
        <f t="shared" si="13"/>
        <v>0.21382003143733064</v>
      </c>
      <c r="Q103" s="208"/>
      <c r="R103" s="154"/>
      <c r="S103" s="154"/>
    </row>
    <row r="104" spans="1:19" s="3" customFormat="1" ht="11">
      <c r="A104" s="233" t="s">
        <v>161</v>
      </c>
      <c r="B104" s="234">
        <f>'IODA Weekly iTunes'!B104+'Orch Weekly Mgmt'!B104</f>
        <v>205.57</v>
      </c>
      <c r="C104" s="234">
        <f>'IODA Weekly iTunes'!C104+'Orch Weekly Mgmt'!C104</f>
        <v>319.64</v>
      </c>
      <c r="D104" s="234">
        <f>'IODA Weekly iTunes'!D104+'Orch Weekly Mgmt'!D104</f>
        <v>0</v>
      </c>
      <c r="E104" s="234">
        <f>'IODA Weekly iTunes'!E104+'Orch Weekly Mgmt'!E104</f>
        <v>0</v>
      </c>
      <c r="F104" s="234">
        <f>'IODA Weekly iTunes'!F104+'Orch Weekly Mgmt'!F104</f>
        <v>0</v>
      </c>
      <c r="G104" s="235">
        <f t="shared" si="16"/>
        <v>525.21</v>
      </c>
      <c r="H104" s="236">
        <f>'IODA Weekly iTunes'!H104+'Orch Weekly Mgmt'!H104</f>
        <v>1050.42</v>
      </c>
      <c r="I104" s="236">
        <f>'IODA Weekly iTunes'!I104+'Orch Weekly Mgmt'!I104:I104</f>
        <v>957.02467430636671</v>
      </c>
      <c r="J104" s="237">
        <f t="shared" si="14"/>
        <v>93.395325693633367</v>
      </c>
      <c r="K104" s="238">
        <f t="shared" si="15"/>
        <v>9.758925574340549E-2</v>
      </c>
      <c r="L104" s="236">
        <f>'IODA Weekly iTunes'!M104+'Orch Weekly Mgmt'!M104</f>
        <v>3163.2000037860867</v>
      </c>
      <c r="M104" s="236">
        <f>'IODA Weekly iTunes'!N104+'Orch Weekly Mgmt'!N104</f>
        <v>2353.8205335228813</v>
      </c>
      <c r="N104" s="237">
        <f t="shared" si="12"/>
        <v>809.37947026320535</v>
      </c>
      <c r="O104" s="238">
        <f t="shared" si="13"/>
        <v>0.34385776601746065</v>
      </c>
      <c r="Q104" s="208"/>
      <c r="R104" s="154"/>
      <c r="S104" s="154"/>
    </row>
    <row r="105" spans="1:19" s="3" customFormat="1" ht="11">
      <c r="A105" s="233" t="s">
        <v>162</v>
      </c>
      <c r="B105" s="234">
        <f>'IODA Weekly iTunes'!B105+'Orch Weekly Mgmt'!B105</f>
        <v>3.6</v>
      </c>
      <c r="C105" s="234">
        <f>'IODA Weekly iTunes'!C105+'Orch Weekly Mgmt'!C105</f>
        <v>14.4</v>
      </c>
      <c r="D105" s="234">
        <f>'IODA Weekly iTunes'!D105+'Orch Weekly Mgmt'!D105</f>
        <v>0</v>
      </c>
      <c r="E105" s="234">
        <f>'IODA Weekly iTunes'!E105+'Orch Weekly Mgmt'!E105</f>
        <v>0</v>
      </c>
      <c r="F105" s="234">
        <f>'IODA Weekly iTunes'!F105+'Orch Weekly Mgmt'!F105</f>
        <v>0</v>
      </c>
      <c r="G105" s="235">
        <f t="shared" si="16"/>
        <v>18</v>
      </c>
      <c r="H105" s="236">
        <f>'IODA Weekly iTunes'!H105+'Orch Weekly Mgmt'!H105</f>
        <v>50.400000000000006</v>
      </c>
      <c r="I105" s="236">
        <f>'IODA Weekly iTunes'!I105+'Orch Weekly Mgmt'!I105:I105</f>
        <v>21.221750704735722</v>
      </c>
      <c r="J105" s="237">
        <f t="shared" si="14"/>
        <v>29.178249295264283</v>
      </c>
      <c r="K105" s="238">
        <f t="shared" si="15"/>
        <v>1.3749218762028448</v>
      </c>
      <c r="L105" s="236">
        <f>'IODA Weekly iTunes'!M105+'Orch Weekly Mgmt'!M105</f>
        <v>87.180001044273425</v>
      </c>
      <c r="M105" s="236">
        <f>'IODA Weekly iTunes'!N105+'Orch Weekly Mgmt'!N105</f>
        <v>52.189073540055197</v>
      </c>
      <c r="N105" s="237">
        <f t="shared" si="12"/>
        <v>34.990927504218227</v>
      </c>
      <c r="O105" s="238">
        <f t="shared" si="13"/>
        <v>0.67046462277899288</v>
      </c>
      <c r="Q105" s="208"/>
      <c r="R105" s="154"/>
      <c r="S105" s="154"/>
    </row>
    <row r="106" spans="1:19" s="3" customFormat="1" ht="11">
      <c r="A106" s="233" t="s">
        <v>165</v>
      </c>
      <c r="B106" s="234">
        <f>'IODA Weekly iTunes'!B106+'Orch Weekly Mgmt'!B106</f>
        <v>56.75</v>
      </c>
      <c r="C106" s="234">
        <f>'IODA Weekly iTunes'!C106+'Orch Weekly Mgmt'!C106</f>
        <v>111.02</v>
      </c>
      <c r="D106" s="234">
        <f>'IODA Weekly iTunes'!D106+'Orch Weekly Mgmt'!D106</f>
        <v>0</v>
      </c>
      <c r="E106" s="234">
        <f>'IODA Weekly iTunes'!E106+'Orch Weekly Mgmt'!E106</f>
        <v>0</v>
      </c>
      <c r="F106" s="234">
        <f>'IODA Weekly iTunes'!F106+'Orch Weekly Mgmt'!F106</f>
        <v>0</v>
      </c>
      <c r="G106" s="235">
        <f t="shared" si="16"/>
        <v>167.76999999999998</v>
      </c>
      <c r="H106" s="236">
        <f>'IODA Weekly iTunes'!H106+'Orch Weekly Mgmt'!H106</f>
        <v>335.53999999999996</v>
      </c>
      <c r="I106" s="236">
        <f>'IODA Weekly iTunes'!I106+'Orch Weekly Mgmt'!I106:I106</f>
        <v>166.2301081312599</v>
      </c>
      <c r="J106" s="237">
        <f t="shared" si="14"/>
        <v>169.30989186874007</v>
      </c>
      <c r="K106" s="238">
        <f t="shared" si="15"/>
        <v>1.0185272317518335</v>
      </c>
      <c r="L106" s="236">
        <f>'IODA Weekly iTunes'!M106+'Orch Weekly Mgmt'!M106</f>
        <v>754.45000211238835</v>
      </c>
      <c r="M106" s="236">
        <f>'IODA Weekly iTunes'!N106+'Orch Weekly Mgmt'!N106</f>
        <v>408.81298776235042</v>
      </c>
      <c r="N106" s="237">
        <f t="shared" si="12"/>
        <v>345.63701435003793</v>
      </c>
      <c r="O106" s="238">
        <f t="shared" si="13"/>
        <v>0.84546485727347365</v>
      </c>
      <c r="Q106" s="208"/>
      <c r="R106" s="154"/>
      <c r="S106" s="154"/>
    </row>
    <row r="107" spans="1:19" s="3" customFormat="1" ht="11">
      <c r="A107" s="233" t="s">
        <v>166</v>
      </c>
      <c r="B107" s="234">
        <f>'IODA Weekly iTunes'!B107+'Orch Weekly Mgmt'!B107</f>
        <v>0</v>
      </c>
      <c r="C107" s="234">
        <f>'IODA Weekly iTunes'!C107+'Orch Weekly Mgmt'!C107</f>
        <v>2.44</v>
      </c>
      <c r="D107" s="234">
        <f>'IODA Weekly iTunes'!D107+'Orch Weekly Mgmt'!D107</f>
        <v>0</v>
      </c>
      <c r="E107" s="234">
        <f>'IODA Weekly iTunes'!E107+'Orch Weekly Mgmt'!E107</f>
        <v>0</v>
      </c>
      <c r="F107" s="234">
        <f>'IODA Weekly iTunes'!F107+'Orch Weekly Mgmt'!F107</f>
        <v>0</v>
      </c>
      <c r="G107" s="235">
        <f t="shared" si="16"/>
        <v>2.44</v>
      </c>
      <c r="H107" s="236">
        <f>'IODA Weekly iTunes'!H107+'Orch Weekly Mgmt'!H107</f>
        <v>9.76</v>
      </c>
      <c r="I107" s="236">
        <f>'IODA Weekly iTunes'!I107+'Orch Weekly Mgmt'!I107:I107</f>
        <v>0.8637167014303625</v>
      </c>
      <c r="J107" s="237">
        <f t="shared" si="14"/>
        <v>8.896283298569637</v>
      </c>
      <c r="K107" s="238">
        <f t="shared" si="15"/>
        <v>10.300001474831854</v>
      </c>
      <c r="L107" s="236">
        <f>'IODA Weekly iTunes'!M107+'Orch Weekly Mgmt'!M107</f>
        <v>14.64000011444092</v>
      </c>
      <c r="M107" s="236">
        <f>'IODA Weekly iTunes'!N107+'Orch Weekly Mgmt'!N107</f>
        <v>2.1326257667279629</v>
      </c>
      <c r="N107" s="237">
        <f t="shared" si="12"/>
        <v>12.507374347712958</v>
      </c>
      <c r="O107" s="238">
        <f t="shared" si="13"/>
        <v>5.8647769068750986</v>
      </c>
      <c r="Q107" s="208"/>
      <c r="R107" s="154"/>
      <c r="S107" s="154"/>
    </row>
    <row r="108" spans="1:19" s="3" customFormat="1" ht="11">
      <c r="A108" s="233" t="s">
        <v>167</v>
      </c>
      <c r="B108" s="234">
        <f>'IODA Weekly iTunes'!B108+'Orch Weekly Mgmt'!B108</f>
        <v>6.6</v>
      </c>
      <c r="C108" s="234">
        <f>'IODA Weekly iTunes'!C108+'Orch Weekly Mgmt'!C108</f>
        <v>27.6</v>
      </c>
      <c r="D108" s="234">
        <f>'IODA Weekly iTunes'!D108+'Orch Weekly Mgmt'!D108</f>
        <v>0</v>
      </c>
      <c r="E108" s="234">
        <f>'IODA Weekly iTunes'!E108+'Orch Weekly Mgmt'!E108</f>
        <v>0</v>
      </c>
      <c r="F108" s="234">
        <f>'IODA Weekly iTunes'!F108+'Orch Weekly Mgmt'!F108</f>
        <v>0</v>
      </c>
      <c r="G108" s="235">
        <f t="shared" si="16"/>
        <v>34.200000000000003</v>
      </c>
      <c r="H108" s="236">
        <f>'IODA Weekly iTunes'!H108+'Orch Weekly Mgmt'!H108</f>
        <v>68.400000000000006</v>
      </c>
      <c r="I108" s="236">
        <f>'IODA Weekly iTunes'!I108+'Orch Weekly Mgmt'!I108:I108</f>
        <v>104.17200904243765</v>
      </c>
      <c r="J108" s="237">
        <f t="shared" si="14"/>
        <v>-35.772009042437645</v>
      </c>
      <c r="K108" s="238">
        <f t="shared" si="15"/>
        <v>-0.34339367524211639</v>
      </c>
      <c r="L108" s="236">
        <f>'IODA Weekly iTunes'!M108+'Orch Weekly Mgmt'!M108</f>
        <v>305.05500221649788</v>
      </c>
      <c r="M108" s="236">
        <f>'IODA Weekly iTunes'!N108+'Orch Weekly Mgmt'!N108</f>
        <v>255.94884553234073</v>
      </c>
      <c r="N108" s="237">
        <f t="shared" si="12"/>
        <v>49.106156684157156</v>
      </c>
      <c r="O108" s="238">
        <f t="shared" si="13"/>
        <v>0.1918592622757202</v>
      </c>
      <c r="Q108" s="208"/>
      <c r="R108" s="154"/>
      <c r="S108" s="154"/>
    </row>
    <row r="109" spans="1:19" s="3" customFormat="1" ht="11">
      <c r="A109" s="233" t="s">
        <v>169</v>
      </c>
      <c r="B109" s="234">
        <f>'IODA Weekly iTunes'!B109+'Orch Weekly Mgmt'!B109</f>
        <v>63.870000000000005</v>
      </c>
      <c r="C109" s="234">
        <f>'IODA Weekly iTunes'!C109+'Orch Weekly Mgmt'!C109</f>
        <v>95.16</v>
      </c>
      <c r="D109" s="234">
        <f>'IODA Weekly iTunes'!D109+'Orch Weekly Mgmt'!D109</f>
        <v>0</v>
      </c>
      <c r="E109" s="234">
        <f>'IODA Weekly iTunes'!E109+'Orch Weekly Mgmt'!E109</f>
        <v>0</v>
      </c>
      <c r="F109" s="234">
        <f>'IODA Weekly iTunes'!F109+'Orch Weekly Mgmt'!F109</f>
        <v>0</v>
      </c>
      <c r="G109" s="235">
        <f t="shared" si="16"/>
        <v>159.03</v>
      </c>
      <c r="H109" s="236">
        <f>'IODA Weekly iTunes'!H109+'Orch Weekly Mgmt'!H109</f>
        <v>318.06</v>
      </c>
      <c r="I109" s="236">
        <f>'IODA Weekly iTunes'!I109+'Orch Weekly Mgmt'!I109:I109</f>
        <v>299.62221597995494</v>
      </c>
      <c r="J109" s="237">
        <f t="shared" si="14"/>
        <v>18.437784020045058</v>
      </c>
      <c r="K109" s="238">
        <f t="shared" si="15"/>
        <v>6.1536772097295238E-2</v>
      </c>
      <c r="L109" s="236">
        <f>'IODA Weekly iTunes'!M109+'Orch Weekly Mgmt'!M109</f>
        <v>927.3799989199639</v>
      </c>
      <c r="M109" s="236">
        <f>'IODA Weekly iTunes'!N109+'Orch Weekly Mgmt'!N109</f>
        <v>737.25944020330962</v>
      </c>
      <c r="N109" s="237">
        <f t="shared" si="12"/>
        <v>190.12055871665427</v>
      </c>
      <c r="O109" s="238">
        <f t="shared" si="13"/>
        <v>0.25787470237644683</v>
      </c>
      <c r="Q109" s="208"/>
      <c r="R109" s="154"/>
      <c r="S109" s="154"/>
    </row>
    <row r="110" spans="1:19" s="3" customFormat="1" ht="11">
      <c r="A110" s="233" t="s">
        <v>170</v>
      </c>
      <c r="B110" s="234">
        <f>'IODA Weekly iTunes'!B110+'Orch Weekly Mgmt'!B110</f>
        <v>70.33</v>
      </c>
      <c r="C110" s="234">
        <f>'IODA Weekly iTunes'!C110+'Orch Weekly Mgmt'!C110</f>
        <v>206.18</v>
      </c>
      <c r="D110" s="234">
        <f>'IODA Weekly iTunes'!D110+'Orch Weekly Mgmt'!D110</f>
        <v>0</v>
      </c>
      <c r="E110" s="234">
        <f>'IODA Weekly iTunes'!E110+'Orch Weekly Mgmt'!E110</f>
        <v>0</v>
      </c>
      <c r="F110" s="234">
        <f>'IODA Weekly iTunes'!F110+'Orch Weekly Mgmt'!F110</f>
        <v>0</v>
      </c>
      <c r="G110" s="235">
        <f t="shared" si="16"/>
        <v>276.51</v>
      </c>
      <c r="H110" s="236">
        <f>'IODA Weekly iTunes'!H110+'Orch Weekly Mgmt'!H110</f>
        <v>553.02</v>
      </c>
      <c r="I110" s="236">
        <f>'IODA Weekly iTunes'!I110+'Orch Weekly Mgmt'!I110:I110</f>
        <v>345.7021181156241</v>
      </c>
      <c r="J110" s="237">
        <f t="shared" si="14"/>
        <v>207.31788188437588</v>
      </c>
      <c r="K110" s="238">
        <f t="shared" si="15"/>
        <v>0.59970093042657036</v>
      </c>
      <c r="L110" s="236">
        <f>'IODA Weekly iTunes'!M110+'Orch Weekly Mgmt'!M110</f>
        <v>1249.8400020194053</v>
      </c>
      <c r="M110" s="236">
        <f>'IODA Weekly iTunes'!N110+'Orch Weekly Mgmt'!N110</f>
        <v>849.26629927665681</v>
      </c>
      <c r="N110" s="237">
        <f t="shared" si="12"/>
        <v>400.57370274274854</v>
      </c>
      <c r="O110" s="238">
        <f t="shared" si="13"/>
        <v>0.47167031481636329</v>
      </c>
      <c r="Q110" s="208"/>
      <c r="R110" s="154"/>
      <c r="S110" s="154"/>
    </row>
    <row r="111" spans="1:19" s="3" customFormat="1" ht="11">
      <c r="A111" s="233" t="s">
        <v>171</v>
      </c>
      <c r="B111" s="234">
        <f>'IODA Weekly iTunes'!B111+'Orch Weekly Mgmt'!B111</f>
        <v>0</v>
      </c>
      <c r="C111" s="234">
        <f>'IODA Weekly iTunes'!C111+'Orch Weekly Mgmt'!C111</f>
        <v>0</v>
      </c>
      <c r="D111" s="234">
        <f>'IODA Weekly iTunes'!D111+'Orch Weekly Mgmt'!D111</f>
        <v>0</v>
      </c>
      <c r="E111" s="234">
        <f>'IODA Weekly iTunes'!E111+'Orch Weekly Mgmt'!E111</f>
        <v>0</v>
      </c>
      <c r="F111" s="234">
        <f>'IODA Weekly iTunes'!F111+'Orch Weekly Mgmt'!F111</f>
        <v>0</v>
      </c>
      <c r="G111" s="235">
        <f t="shared" si="16"/>
        <v>0</v>
      </c>
      <c r="H111" s="236">
        <f>'IODA Weekly iTunes'!H111+'Orch Weekly Mgmt'!H111</f>
        <v>0</v>
      </c>
      <c r="I111" s="236">
        <f>'IODA Weekly iTunes'!I111+'Orch Weekly Mgmt'!I111:I111</f>
        <v>1.0379287088258957</v>
      </c>
      <c r="J111" s="237">
        <f t="shared" si="14"/>
        <v>-1.0379287088258957</v>
      </c>
      <c r="K111" s="238">
        <f t="shared" si="15"/>
        <v>-1</v>
      </c>
      <c r="L111" s="236">
        <f>'IODA Weekly iTunes'!M111+'Orch Weekly Mgmt'!M111</f>
        <v>2.4800000190734881</v>
      </c>
      <c r="M111" s="236">
        <f>'IODA Weekly iTunes'!N111+'Orch Weekly Mgmt'!N111</f>
        <v>2.5483028088109569</v>
      </c>
      <c r="N111" s="237">
        <f t="shared" si="12"/>
        <v>-6.8302789737468839E-2</v>
      </c>
      <c r="O111" s="238">
        <f t="shared" si="13"/>
        <v>-2.6803247047920122E-2</v>
      </c>
      <c r="Q111" s="208"/>
      <c r="R111" s="154"/>
      <c r="S111" s="154"/>
    </row>
    <row r="112" spans="1:19" s="3" customFormat="1" ht="11">
      <c r="A112" s="233" t="s">
        <v>173</v>
      </c>
      <c r="B112" s="234">
        <f>'IODA Weekly iTunes'!B112+'Orch Weekly Mgmt'!B112</f>
        <v>0</v>
      </c>
      <c r="C112" s="234">
        <f>'IODA Weekly iTunes'!C112+'Orch Weekly Mgmt'!C112</f>
        <v>6.1</v>
      </c>
      <c r="D112" s="234">
        <f>'IODA Weekly iTunes'!D112+'Orch Weekly Mgmt'!D112</f>
        <v>0</v>
      </c>
      <c r="E112" s="234">
        <f>'IODA Weekly iTunes'!E112+'Orch Weekly Mgmt'!E112</f>
        <v>0</v>
      </c>
      <c r="F112" s="234">
        <f>'IODA Weekly iTunes'!F112+'Orch Weekly Mgmt'!F112</f>
        <v>0</v>
      </c>
      <c r="G112" s="235">
        <f t="shared" si="16"/>
        <v>6.1</v>
      </c>
      <c r="H112" s="236">
        <f>'IODA Weekly iTunes'!H112+'Orch Weekly Mgmt'!H112</f>
        <v>24.4</v>
      </c>
      <c r="I112" s="236">
        <f>'IODA Weekly iTunes'!I112+'Orch Weekly Mgmt'!I112:I112</f>
        <v>22.314279265840415</v>
      </c>
      <c r="J112" s="237">
        <f t="shared" si="14"/>
        <v>2.0857207341595831</v>
      </c>
      <c r="K112" s="238">
        <f t="shared" si="15"/>
        <v>9.3470226365432618E-2</v>
      </c>
      <c r="L112" s="236">
        <f>'IODA Weekly iTunes'!M112+'Orch Weekly Mgmt'!M112</f>
        <v>141.82499977350233</v>
      </c>
      <c r="M112" s="236">
        <f>'IODA Weekly iTunes'!N112+'Orch Weekly Mgmt'!N112</f>
        <v>54.933006269387434</v>
      </c>
      <c r="N112" s="237">
        <f t="shared" si="12"/>
        <v>86.891993504114893</v>
      </c>
      <c r="O112" s="238">
        <f t="shared" si="13"/>
        <v>1.5817811440721619</v>
      </c>
      <c r="Q112" s="208"/>
      <c r="R112" s="154"/>
      <c r="S112" s="154"/>
    </row>
    <row r="113" spans="1:19" s="3" customFormat="1" ht="11">
      <c r="A113" s="233" t="s">
        <v>174</v>
      </c>
      <c r="B113" s="234">
        <f>'IODA Weekly iTunes'!B113+'Orch Weekly Mgmt'!B113</f>
        <v>734.38</v>
      </c>
      <c r="C113" s="234">
        <f>'IODA Weekly iTunes'!C113+'Orch Weekly Mgmt'!C113</f>
        <v>1124.04</v>
      </c>
      <c r="D113" s="234">
        <f>'IODA Weekly iTunes'!D113+'Orch Weekly Mgmt'!D113</f>
        <v>0</v>
      </c>
      <c r="E113" s="234">
        <f>'IODA Weekly iTunes'!E113+'Orch Weekly Mgmt'!E113</f>
        <v>0</v>
      </c>
      <c r="F113" s="234">
        <f>'IODA Weekly iTunes'!F113+'Orch Weekly Mgmt'!F113</f>
        <v>0</v>
      </c>
      <c r="G113" s="235">
        <f t="shared" si="16"/>
        <v>1858.42</v>
      </c>
      <c r="H113" s="236">
        <f>'IODA Weekly iTunes'!H113+'Orch Weekly Mgmt'!H113</f>
        <v>3716.8399999999997</v>
      </c>
      <c r="I113" s="236">
        <f>'IODA Weekly iTunes'!I113+'Orch Weekly Mgmt'!I113:I113</f>
        <v>3390.87588335902</v>
      </c>
      <c r="J113" s="237">
        <f t="shared" si="14"/>
        <v>325.96411664097968</v>
      </c>
      <c r="K113" s="238">
        <f t="shared" si="15"/>
        <v>9.6129769373356669E-2</v>
      </c>
      <c r="L113" s="236">
        <f>'IODA Weekly iTunes'!M113+'Orch Weekly Mgmt'!M113</f>
        <v>12286.26999309301</v>
      </c>
      <c r="M113" s="236">
        <f>'IODA Weekly iTunes'!N113+'Orch Weekly Mgmt'!N113</f>
        <v>8332.5565895521104</v>
      </c>
      <c r="N113" s="237">
        <f t="shared" si="12"/>
        <v>3953.7134035408999</v>
      </c>
      <c r="O113" s="238">
        <f t="shared" si="13"/>
        <v>0.47448983526836375</v>
      </c>
      <c r="Q113" s="208"/>
      <c r="R113" s="154"/>
      <c r="S113" s="154"/>
    </row>
    <row r="114" spans="1:19" s="3" customFormat="1" ht="11">
      <c r="A114" s="233" t="s">
        <v>176</v>
      </c>
      <c r="B114" s="234">
        <f>'IODA Weekly iTunes'!B114+'Orch Weekly Mgmt'!B114</f>
        <v>7.32</v>
      </c>
      <c r="C114" s="234">
        <f>'IODA Weekly iTunes'!C114+'Orch Weekly Mgmt'!C114</f>
        <v>17.079999999999998</v>
      </c>
      <c r="D114" s="234">
        <f>'IODA Weekly iTunes'!D114+'Orch Weekly Mgmt'!D114</f>
        <v>0</v>
      </c>
      <c r="E114" s="234">
        <f>'IODA Weekly iTunes'!E114+'Orch Weekly Mgmt'!E114</f>
        <v>0</v>
      </c>
      <c r="F114" s="234">
        <f>'IODA Weekly iTunes'!F114+'Orch Weekly Mgmt'!F114</f>
        <v>0</v>
      </c>
      <c r="G114" s="235">
        <f t="shared" si="16"/>
        <v>24.4</v>
      </c>
      <c r="H114" s="236">
        <f>'IODA Weekly iTunes'!H114+'Orch Weekly Mgmt'!H114</f>
        <v>48.8</v>
      </c>
      <c r="I114" s="236">
        <f>'IODA Weekly iTunes'!I114+'Orch Weekly Mgmt'!I114:I114</f>
        <v>83.880834215153655</v>
      </c>
      <c r="J114" s="237">
        <f t="shared" ref="J114:J125" si="17">H114-I114</f>
        <v>-35.080834215153658</v>
      </c>
      <c r="K114" s="238">
        <f t="shared" si="15"/>
        <v>-0.41822228573897591</v>
      </c>
      <c r="L114" s="236">
        <f>'IODA Weekly iTunes'!M114+'Orch Weekly Mgmt'!M114</f>
        <v>263.33499925136567</v>
      </c>
      <c r="M114" s="236">
        <f>'IODA Weekly iTunes'!N114+'Orch Weekly Mgmt'!N114</f>
        <v>206.05486678876309</v>
      </c>
      <c r="N114" s="237">
        <f t="shared" si="12"/>
        <v>57.28013246260258</v>
      </c>
      <c r="O114" s="238">
        <f t="shared" si="13"/>
        <v>0.27798485595258104</v>
      </c>
      <c r="Q114" s="208"/>
      <c r="R114" s="154"/>
      <c r="S114" s="154"/>
    </row>
    <row r="115" spans="1:19" s="3" customFormat="1" ht="11">
      <c r="A115" s="233" t="s">
        <v>181</v>
      </c>
      <c r="B115" s="234">
        <f>'IODA Weekly iTunes'!B115+'Orch Weekly Mgmt'!B115</f>
        <v>19.52</v>
      </c>
      <c r="C115" s="234">
        <f>'IODA Weekly iTunes'!C115+'Orch Weekly Mgmt'!C115</f>
        <v>3.66</v>
      </c>
      <c r="D115" s="234">
        <f>'IODA Weekly iTunes'!D115+'Orch Weekly Mgmt'!D115</f>
        <v>0</v>
      </c>
      <c r="E115" s="234">
        <f>'IODA Weekly iTunes'!E115+'Orch Weekly Mgmt'!E115</f>
        <v>0</v>
      </c>
      <c r="F115" s="234">
        <f>'IODA Weekly iTunes'!F115+'Orch Weekly Mgmt'!F115</f>
        <v>0</v>
      </c>
      <c r="G115" s="235">
        <f t="shared" si="16"/>
        <v>23.18</v>
      </c>
      <c r="H115" s="236">
        <f>'IODA Weekly iTunes'!H115+'Orch Weekly Mgmt'!H115</f>
        <v>46.36</v>
      </c>
      <c r="I115" s="236">
        <f>'IODA Weekly iTunes'!I115+'Orch Weekly Mgmt'!I115:I115</f>
        <v>37.813534341603621</v>
      </c>
      <c r="J115" s="237">
        <f t="shared" si="17"/>
        <v>8.5464656583963787</v>
      </c>
      <c r="K115" s="238">
        <f t="shared" si="15"/>
        <v>0.22601604973469228</v>
      </c>
      <c r="L115" s="236">
        <f>'IODA Weekly iTunes'!M115+'Orch Weekly Mgmt'!M115</f>
        <v>133.80166780511541</v>
      </c>
      <c r="M115" s="236">
        <f>'IODA Weekly iTunes'!N115+'Orch Weekly Mgmt'!N115</f>
        <v>93.011377857623415</v>
      </c>
      <c r="N115" s="237">
        <f t="shared" si="12"/>
        <v>40.790289947491999</v>
      </c>
      <c r="O115" s="238">
        <f t="shared" si="13"/>
        <v>0.4385516147275173</v>
      </c>
      <c r="Q115" s="208"/>
      <c r="R115" s="154"/>
      <c r="S115" s="154"/>
    </row>
    <row r="116" spans="1:19" s="3" customFormat="1" ht="11">
      <c r="A116" s="233" t="s">
        <v>183</v>
      </c>
      <c r="B116" s="234">
        <f>'IODA Weekly iTunes'!B116+'Orch Weekly Mgmt'!B116</f>
        <v>7593.6139999999996</v>
      </c>
      <c r="C116" s="234">
        <f>'IODA Weekly iTunes'!C116+'Orch Weekly Mgmt'!C116</f>
        <v>9809.4240000000009</v>
      </c>
      <c r="D116" s="234">
        <f>'IODA Weekly iTunes'!D116+'Orch Weekly Mgmt'!D116</f>
        <v>0</v>
      </c>
      <c r="E116" s="234">
        <f>'IODA Weekly iTunes'!E116+'Orch Weekly Mgmt'!E116</f>
        <v>0</v>
      </c>
      <c r="F116" s="234">
        <f>'IODA Weekly iTunes'!F116+'Orch Weekly Mgmt'!F116</f>
        <v>0</v>
      </c>
      <c r="G116" s="235">
        <f t="shared" si="16"/>
        <v>17403.038</v>
      </c>
      <c r="H116" s="236">
        <f>'IODA Weekly iTunes'!H116+'Orch Weekly Mgmt'!H116</f>
        <v>34806.076000000001</v>
      </c>
      <c r="I116" s="236">
        <f>'IODA Weekly iTunes'!I116+'Orch Weekly Mgmt'!I116:I116</f>
        <v>25688.182982847615</v>
      </c>
      <c r="J116" s="237">
        <f t="shared" si="17"/>
        <v>9117.8930171523862</v>
      </c>
      <c r="K116" s="238">
        <f t="shared" si="15"/>
        <v>0.35494503535888622</v>
      </c>
      <c r="L116" s="236">
        <f>'IODA Weekly iTunes'!M116+'Orch Weekly Mgmt'!M116</f>
        <v>90667.765311981173</v>
      </c>
      <c r="M116" s="236">
        <f>'IODA Weekly iTunes'!N116+'Orch Weekly Mgmt'!N116</f>
        <v>63151.658500937825</v>
      </c>
      <c r="N116" s="237">
        <f t="shared" si="12"/>
        <v>27516.106811043348</v>
      </c>
      <c r="O116" s="238">
        <f t="shared" si="13"/>
        <v>0.43571471382077359</v>
      </c>
      <c r="Q116" s="208"/>
      <c r="R116" s="154"/>
      <c r="S116" s="154"/>
    </row>
    <row r="117" spans="1:19" s="3" customFormat="1" ht="11">
      <c r="A117" s="233" t="s">
        <v>185</v>
      </c>
      <c r="B117" s="234">
        <f>'IODA Weekly iTunes'!B117+'Orch Weekly Mgmt'!B117</f>
        <v>0</v>
      </c>
      <c r="C117" s="234">
        <f>'IODA Weekly iTunes'!C117+'Orch Weekly Mgmt'!C117</f>
        <v>0</v>
      </c>
      <c r="D117" s="234">
        <f>'IODA Weekly iTunes'!D117+'Orch Weekly Mgmt'!D117</f>
        <v>0</v>
      </c>
      <c r="E117" s="234">
        <f>'IODA Weekly iTunes'!E117+'Orch Weekly Mgmt'!E117</f>
        <v>0</v>
      </c>
      <c r="F117" s="234">
        <f>'IODA Weekly iTunes'!F117+'Orch Weekly Mgmt'!F117</f>
        <v>0</v>
      </c>
      <c r="G117" s="235">
        <f t="shared" si="16"/>
        <v>0</v>
      </c>
      <c r="H117" s="236">
        <f>'IODA Weekly iTunes'!H117+'Orch Weekly Mgmt'!H117</f>
        <v>0</v>
      </c>
      <c r="I117" s="236">
        <f>'IODA Weekly iTunes'!I117+'Orch Weekly Mgmt'!I117:I117</f>
        <v>4.7625573691911018</v>
      </c>
      <c r="J117" s="237">
        <f t="shared" si="17"/>
        <v>-4.7625573691911018</v>
      </c>
      <c r="K117" s="238">
        <f t="shared" si="15"/>
        <v>-1</v>
      </c>
      <c r="L117" s="236">
        <f>'IODA Weekly iTunes'!M117+'Orch Weekly Mgmt'!M117</f>
        <v>40.870000004768364</v>
      </c>
      <c r="M117" s="236">
        <f>'IODA Weekly iTunes'!N117+'Orch Weekly Mgmt'!N117</f>
        <v>11.722329905835199</v>
      </c>
      <c r="N117" s="237">
        <f t="shared" si="12"/>
        <v>29.147670098933165</v>
      </c>
      <c r="O117" s="238">
        <f t="shared" si="13"/>
        <v>2.4865082567266676</v>
      </c>
      <c r="Q117" s="208"/>
      <c r="R117" s="154"/>
      <c r="S117" s="154"/>
    </row>
    <row r="118" spans="1:19" s="3" customFormat="1" ht="11">
      <c r="A118" s="233" t="s">
        <v>187</v>
      </c>
      <c r="B118" s="234">
        <f>'IODA Weekly iTunes'!B118+'Orch Weekly Mgmt'!B118</f>
        <v>3.5999999999999996</v>
      </c>
      <c r="C118" s="234">
        <f>'IODA Weekly iTunes'!C118+'Orch Weekly Mgmt'!C118</f>
        <v>4.8</v>
      </c>
      <c r="D118" s="234">
        <f>'IODA Weekly iTunes'!D118+'Orch Weekly Mgmt'!D118</f>
        <v>0</v>
      </c>
      <c r="E118" s="234">
        <f>'IODA Weekly iTunes'!E118+'Orch Weekly Mgmt'!E118</f>
        <v>0</v>
      </c>
      <c r="F118" s="234">
        <f>'IODA Weekly iTunes'!F118+'Orch Weekly Mgmt'!F118</f>
        <v>0</v>
      </c>
      <c r="G118" s="235">
        <f t="shared" si="16"/>
        <v>8.3999999999999986</v>
      </c>
      <c r="H118" s="236">
        <f>'IODA Weekly iTunes'!H118+'Orch Weekly Mgmt'!H118</f>
        <v>16.799999999999997</v>
      </c>
      <c r="I118" s="236">
        <f>'IODA Weekly iTunes'!I118+'Orch Weekly Mgmt'!I118:I118</f>
        <v>12.599331493122808</v>
      </c>
      <c r="J118" s="237">
        <f t="shared" si="17"/>
        <v>4.2006685068771894</v>
      </c>
      <c r="K118" s="238">
        <f t="shared" si="15"/>
        <v>0.3334040785552847</v>
      </c>
      <c r="L118" s="236">
        <f>'IODA Weekly iTunes'!M118+'Orch Weekly Mgmt'!M118</f>
        <v>56.400000530481336</v>
      </c>
      <c r="M118" s="236">
        <f>'IODA Weekly iTunes'!N118+'Orch Weekly Mgmt'!N118</f>
        <v>31.012270738177726</v>
      </c>
      <c r="N118" s="237">
        <f t="shared" si="12"/>
        <v>25.38772979230361</v>
      </c>
      <c r="O118" s="238">
        <f t="shared" si="13"/>
        <v>0.81863498505609222</v>
      </c>
      <c r="Q118" s="208"/>
      <c r="R118" s="154"/>
      <c r="S118" s="154"/>
    </row>
    <row r="119" spans="1:19" s="3" customFormat="1" ht="11">
      <c r="A119" s="233" t="s">
        <v>189</v>
      </c>
      <c r="B119" s="234">
        <f>'IODA Weekly iTunes'!B119+'Orch Weekly Mgmt'!B119</f>
        <v>94.75</v>
      </c>
      <c r="C119" s="234">
        <f>'IODA Weekly iTunes'!C119+'Orch Weekly Mgmt'!C119</f>
        <v>84.18</v>
      </c>
      <c r="D119" s="234">
        <f>'IODA Weekly iTunes'!D119+'Orch Weekly Mgmt'!D119</f>
        <v>0</v>
      </c>
      <c r="E119" s="234">
        <f>'IODA Weekly iTunes'!E119+'Orch Weekly Mgmt'!E119</f>
        <v>0</v>
      </c>
      <c r="F119" s="234">
        <f>'IODA Weekly iTunes'!F119+'Orch Weekly Mgmt'!F119</f>
        <v>0</v>
      </c>
      <c r="G119" s="235">
        <f t="shared" si="16"/>
        <v>178.93</v>
      </c>
      <c r="H119" s="236">
        <f>'IODA Weekly iTunes'!H119+'Orch Weekly Mgmt'!H119</f>
        <v>357.86</v>
      </c>
      <c r="I119" s="236">
        <f>'IODA Weekly iTunes'!I119+'Orch Weekly Mgmt'!I119:I119</f>
        <v>544.46042286662532</v>
      </c>
      <c r="J119" s="237">
        <f t="shared" si="17"/>
        <v>-186.60042286662531</v>
      </c>
      <c r="K119" s="238">
        <f t="shared" si="15"/>
        <v>-0.34272541222401431</v>
      </c>
      <c r="L119" s="236">
        <f>'IODA Weekly iTunes'!M119+'Orch Weekly Mgmt'!M119</f>
        <v>1321.0900058007239</v>
      </c>
      <c r="M119" s="236">
        <f>'IODA Weekly iTunes'!N119+'Orch Weekly Mgmt'!N119</f>
        <v>1339.4006043572763</v>
      </c>
      <c r="N119" s="237">
        <f t="shared" si="12"/>
        <v>-18.31059855655235</v>
      </c>
      <c r="O119" s="238">
        <f t="shared" si="13"/>
        <v>-1.3670740850037812E-2</v>
      </c>
      <c r="Q119" s="208"/>
      <c r="R119" s="154"/>
      <c r="S119" s="154"/>
    </row>
    <row r="120" spans="1:19" s="3" customFormat="1" ht="11">
      <c r="A120" s="233" t="s">
        <v>191</v>
      </c>
      <c r="B120" s="234">
        <f>'IODA Weekly iTunes'!B120+'Orch Weekly Mgmt'!B120</f>
        <v>4.47</v>
      </c>
      <c r="C120" s="234">
        <f>'IODA Weekly iTunes'!C120+'Orch Weekly Mgmt'!C120</f>
        <v>50.4</v>
      </c>
      <c r="D120" s="234">
        <f>'IODA Weekly iTunes'!D120+'Orch Weekly Mgmt'!D120</f>
        <v>0</v>
      </c>
      <c r="E120" s="234">
        <f>'IODA Weekly iTunes'!E120+'Orch Weekly Mgmt'!E120</f>
        <v>0</v>
      </c>
      <c r="F120" s="234">
        <f>'IODA Weekly iTunes'!F120+'Orch Weekly Mgmt'!F120</f>
        <v>0</v>
      </c>
      <c r="G120" s="235">
        <f t="shared" si="16"/>
        <v>54.87</v>
      </c>
      <c r="H120" s="236">
        <f>'IODA Weekly iTunes'!H120+'Orch Weekly Mgmt'!H120</f>
        <v>109.74</v>
      </c>
      <c r="I120" s="236">
        <f>'IODA Weekly iTunes'!I120+'Orch Weekly Mgmt'!I120:I120</f>
        <v>13.966580610223467</v>
      </c>
      <c r="J120" s="237">
        <f t="shared" si="17"/>
        <v>95.773419389776535</v>
      </c>
      <c r="K120" s="238">
        <f t="shared" si="15"/>
        <v>6.8573276496661517</v>
      </c>
      <c r="L120" s="236">
        <f>'IODA Weekly iTunes'!M120+'Orch Weekly Mgmt'!M120</f>
        <v>165.69000126957891</v>
      </c>
      <c r="M120" s="236">
        <f>'IODA Weekly iTunes'!N120+'Orch Weekly Mgmt'!N120</f>
        <v>34.298953824296539</v>
      </c>
      <c r="N120" s="237">
        <f t="shared" si="12"/>
        <v>131.39104744528237</v>
      </c>
      <c r="O120" s="238">
        <f t="shared" si="13"/>
        <v>3.8307596237004806</v>
      </c>
      <c r="Q120" s="208"/>
      <c r="R120" s="154"/>
      <c r="S120" s="154"/>
    </row>
    <row r="121" spans="1:19" s="3" customFormat="1" ht="11">
      <c r="A121" s="233" t="s">
        <v>192</v>
      </c>
      <c r="B121" s="234">
        <f>'IODA Weekly iTunes'!B121+'Orch Weekly Mgmt'!B121</f>
        <v>3.05</v>
      </c>
      <c r="C121" s="234">
        <f>'IODA Weekly iTunes'!C121+'Orch Weekly Mgmt'!C121</f>
        <v>19.52</v>
      </c>
      <c r="D121" s="234">
        <f>'IODA Weekly iTunes'!D121+'Orch Weekly Mgmt'!D121</f>
        <v>0</v>
      </c>
      <c r="E121" s="234">
        <f>'IODA Weekly iTunes'!E121+'Orch Weekly Mgmt'!E121</f>
        <v>0</v>
      </c>
      <c r="F121" s="234">
        <f>'IODA Weekly iTunes'!F121+'Orch Weekly Mgmt'!F121</f>
        <v>0</v>
      </c>
      <c r="G121" s="235">
        <f t="shared" si="16"/>
        <v>22.57</v>
      </c>
      <c r="H121" s="236">
        <f>'IODA Weekly iTunes'!H121+'Orch Weekly Mgmt'!H121</f>
        <v>45.14</v>
      </c>
      <c r="I121" s="236">
        <f>'IODA Weekly iTunes'!I121+'Orch Weekly Mgmt'!I121:I121</f>
        <v>69.475623076301233</v>
      </c>
      <c r="J121" s="237">
        <f t="shared" si="17"/>
        <v>-24.335623076301232</v>
      </c>
      <c r="K121" s="238">
        <f t="shared" si="15"/>
        <v>-0.35027570820883125</v>
      </c>
      <c r="L121" s="236">
        <f>'IODA Weekly iTunes'!M121+'Orch Weekly Mgmt'!M121</f>
        <v>174.18000002145766</v>
      </c>
      <c r="M121" s="236">
        <f>'IODA Weekly iTunes'!N121+'Orch Weekly Mgmt'!N121</f>
        <v>170.72386608883687</v>
      </c>
      <c r="N121" s="237">
        <f t="shared" si="12"/>
        <v>3.4561339326207872</v>
      </c>
      <c r="O121" s="238">
        <f t="shared" si="13"/>
        <v>2.0243999926889973E-2</v>
      </c>
      <c r="Q121" s="208"/>
      <c r="R121" s="154"/>
      <c r="S121" s="154"/>
    </row>
    <row r="122" spans="1:19" s="3" customFormat="1" ht="11">
      <c r="A122" s="233" t="s">
        <v>193</v>
      </c>
      <c r="B122" s="234">
        <f>'IODA Weekly iTunes'!B122+'Orch Weekly Mgmt'!B122</f>
        <v>570.72</v>
      </c>
      <c r="C122" s="234">
        <f>'IODA Weekly iTunes'!C122+'Orch Weekly Mgmt'!C122</f>
        <v>1062.5999999999999</v>
      </c>
      <c r="D122" s="234">
        <f>'IODA Weekly iTunes'!D122+'Orch Weekly Mgmt'!D122</f>
        <v>0</v>
      </c>
      <c r="E122" s="234">
        <f>'IODA Weekly iTunes'!E122+'Orch Weekly Mgmt'!E122</f>
        <v>0</v>
      </c>
      <c r="F122" s="234">
        <f>'IODA Weekly iTunes'!F122+'Orch Weekly Mgmt'!F122</f>
        <v>0</v>
      </c>
      <c r="G122" s="235">
        <f t="shared" si="16"/>
        <v>1633.32</v>
      </c>
      <c r="H122" s="236">
        <f>'IODA Weekly iTunes'!H122+'Orch Weekly Mgmt'!H122</f>
        <v>3266.64</v>
      </c>
      <c r="I122" s="236">
        <f>'IODA Weekly iTunes'!I122+'Orch Weekly Mgmt'!I122:I122</f>
        <v>2241.1886528785644</v>
      </c>
      <c r="J122" s="237">
        <f t="shared" si="17"/>
        <v>1025.4513471214354</v>
      </c>
      <c r="K122" s="238">
        <f t="shared" si="15"/>
        <v>0.45754798276546427</v>
      </c>
      <c r="L122" s="236">
        <f>'IODA Weekly iTunes'!M122+'Orch Weekly Mgmt'!M122</f>
        <v>7774.7699764811987</v>
      </c>
      <c r="M122" s="236">
        <f>'IODA Weekly iTunes'!N122+'Orch Weekly Mgmt'!N122</f>
        <v>5504.5468149290309</v>
      </c>
      <c r="N122" s="237">
        <f t="shared" si="12"/>
        <v>2270.2231615521678</v>
      </c>
      <c r="O122" s="238">
        <f t="shared" si="13"/>
        <v>0.4124268968691544</v>
      </c>
      <c r="Q122" s="208"/>
      <c r="R122" s="154"/>
      <c r="S122" s="154"/>
    </row>
    <row r="123" spans="1:19" s="3" customFormat="1" ht="11">
      <c r="A123" s="233" t="s">
        <v>194</v>
      </c>
      <c r="B123" s="234">
        <f>'IODA Weekly iTunes'!B123+'Orch Weekly Mgmt'!B123</f>
        <v>0</v>
      </c>
      <c r="C123" s="234">
        <f>'IODA Weekly iTunes'!C123+'Orch Weekly Mgmt'!C123</f>
        <v>27.6</v>
      </c>
      <c r="D123" s="234">
        <f>'IODA Weekly iTunes'!D123+'Orch Weekly Mgmt'!D123</f>
        <v>0</v>
      </c>
      <c r="E123" s="234">
        <f>'IODA Weekly iTunes'!E123+'Orch Weekly Mgmt'!E123</f>
        <v>0</v>
      </c>
      <c r="F123" s="234">
        <f>'IODA Weekly iTunes'!F123+'Orch Weekly Mgmt'!F123</f>
        <v>0</v>
      </c>
      <c r="G123" s="235">
        <f t="shared" si="16"/>
        <v>27.6</v>
      </c>
      <c r="H123" s="236">
        <f>'IODA Weekly iTunes'!H123+'Orch Weekly Mgmt'!H123</f>
        <v>110.4</v>
      </c>
      <c r="I123" s="236">
        <f>'IODA Weekly iTunes'!I123+'Orch Weekly Mgmt'!I123:I123</f>
        <v>34.852890805772006</v>
      </c>
      <c r="J123" s="237">
        <f t="shared" si="17"/>
        <v>75.547109194228</v>
      </c>
      <c r="K123" s="238">
        <f t="shared" si="15"/>
        <v>2.1675995146352856</v>
      </c>
      <c r="L123" s="236">
        <f>'IODA Weekly iTunes'!M123+'Orch Weekly Mgmt'!M123</f>
        <v>167.0900013287862</v>
      </c>
      <c r="M123" s="236">
        <f>'IODA Weekly iTunes'!N123+'Orch Weekly Mgmt'!N123</f>
        <v>85.581480292574525</v>
      </c>
      <c r="N123" s="237">
        <f t="shared" si="12"/>
        <v>81.508521036211675</v>
      </c>
      <c r="O123" s="238">
        <f t="shared" si="13"/>
        <v>0.95240840375232161</v>
      </c>
      <c r="Q123" s="208"/>
      <c r="R123" s="154"/>
      <c r="S123" s="154"/>
    </row>
    <row r="124" spans="1:19" s="3" customFormat="1" ht="11">
      <c r="A124" s="233" t="s">
        <v>197</v>
      </c>
      <c r="B124" s="234">
        <f>'IODA Weekly iTunes'!B124+'Orch Weekly Mgmt'!B124</f>
        <v>18.48</v>
      </c>
      <c r="C124" s="234">
        <f>'IODA Weekly iTunes'!C124+'Orch Weekly Mgmt'!C124</f>
        <v>31.72</v>
      </c>
      <c r="D124" s="234">
        <f>'IODA Weekly iTunes'!D124+'Orch Weekly Mgmt'!D124</f>
        <v>0</v>
      </c>
      <c r="E124" s="234">
        <f>'IODA Weekly iTunes'!E124+'Orch Weekly Mgmt'!E124</f>
        <v>0</v>
      </c>
      <c r="F124" s="234">
        <f>'IODA Weekly iTunes'!F124+'Orch Weekly Mgmt'!F124</f>
        <v>0</v>
      </c>
      <c r="G124" s="235">
        <f t="shared" si="16"/>
        <v>50.2</v>
      </c>
      <c r="H124" s="236">
        <f>'IODA Weekly iTunes'!H124+'Orch Weekly Mgmt'!H124</f>
        <v>100.4</v>
      </c>
      <c r="I124" s="236">
        <f>'IODA Weekly iTunes'!I124+'Orch Weekly Mgmt'!I124:I124</f>
        <v>57.204571567920965</v>
      </c>
      <c r="J124" s="237">
        <f t="shared" si="17"/>
        <v>43.195428432079041</v>
      </c>
      <c r="K124" s="238">
        <f t="shared" si="15"/>
        <v>0.75510448287846388</v>
      </c>
      <c r="L124" s="236">
        <f>'IODA Weekly iTunes'!M124+'Orch Weekly Mgmt'!M124</f>
        <v>238.80666546424217</v>
      </c>
      <c r="M124" s="236">
        <f>'IODA Weekly iTunes'!N124+'Orch Weekly Mgmt'!N124</f>
        <v>140.66428976502522</v>
      </c>
      <c r="N124" s="237">
        <f t="shared" si="12"/>
        <v>98.142375699216956</v>
      </c>
      <c r="O124" s="238">
        <f t="shared" si="13"/>
        <v>0.69770640340316914</v>
      </c>
      <c r="Q124" s="208"/>
      <c r="R124" s="154"/>
      <c r="S124" s="154"/>
    </row>
    <row r="125" spans="1:19" s="3" customFormat="1" ht="11">
      <c r="A125" s="233" t="s">
        <v>198</v>
      </c>
      <c r="B125" s="234">
        <f>'IODA Weekly iTunes'!B125+'Orch Weekly Mgmt'!B125</f>
        <v>13.6</v>
      </c>
      <c r="C125" s="234">
        <f>'IODA Weekly iTunes'!C125+'Orch Weekly Mgmt'!C125</f>
        <v>14.64</v>
      </c>
      <c r="D125" s="234">
        <f>'IODA Weekly iTunes'!D125+'Orch Weekly Mgmt'!D125</f>
        <v>0</v>
      </c>
      <c r="E125" s="234">
        <f>'IODA Weekly iTunes'!E125+'Orch Weekly Mgmt'!E125</f>
        <v>0</v>
      </c>
      <c r="F125" s="234">
        <f>'IODA Weekly iTunes'!F125+'Orch Weekly Mgmt'!F125</f>
        <v>0</v>
      </c>
      <c r="G125" s="235">
        <f t="shared" si="16"/>
        <v>28.240000000000002</v>
      </c>
      <c r="H125" s="236">
        <f>'IODA Weekly iTunes'!H125+'Orch Weekly Mgmt'!H125</f>
        <v>56.480000000000004</v>
      </c>
      <c r="I125" s="236">
        <f>'IODA Weekly iTunes'!I125+'Orch Weekly Mgmt'!I125:I125</f>
        <v>73.076439071944108</v>
      </c>
      <c r="J125" s="237">
        <f t="shared" si="17"/>
        <v>-16.596439071944104</v>
      </c>
      <c r="K125" s="238">
        <f t="shared" si="15"/>
        <v>-0.22711067045295993</v>
      </c>
      <c r="L125" s="236">
        <f>'IODA Weekly iTunes'!M125+'Orch Weekly Mgmt'!M125</f>
        <v>293.18000076293941</v>
      </c>
      <c r="M125" s="236">
        <f>'IODA Weekly iTunes'!N125+'Orch Weekly Mgmt'!N125</f>
        <v>179.61074401564463</v>
      </c>
      <c r="N125" s="237">
        <f t="shared" si="12"/>
        <v>113.56925674729479</v>
      </c>
      <c r="O125" s="238">
        <f>N125/M125</f>
        <v>0.63230770168961925</v>
      </c>
      <c r="Q125" s="208"/>
      <c r="R125" s="154"/>
      <c r="S125" s="154"/>
    </row>
    <row r="126" spans="1:19">
      <c r="A126" s="212"/>
      <c r="B126" s="221"/>
      <c r="C126" s="221"/>
      <c r="D126" s="221"/>
      <c r="E126" s="222"/>
      <c r="F126" s="222"/>
      <c r="G126" s="222"/>
      <c r="H126" s="217"/>
      <c r="I126" s="232"/>
      <c r="J126" s="223"/>
      <c r="K126" s="220"/>
      <c r="L126" s="80"/>
      <c r="M126" s="93"/>
      <c r="N126" s="223"/>
      <c r="O126" s="96"/>
    </row>
    <row r="127" spans="1:19">
      <c r="A127" s="211" t="s">
        <v>98</v>
      </c>
      <c r="B127" s="215">
        <f>'Summary - OLD'!D10</f>
        <v>48129.274401000002</v>
      </c>
      <c r="C127" s="215">
        <f>'Summary - OLD'!E10</f>
        <v>42672.101362999994</v>
      </c>
      <c r="D127" s="215">
        <f>'Summary - OLD'!F10</f>
        <v>0</v>
      </c>
      <c r="E127" s="215">
        <f>'Summary - OLD'!G10</f>
        <v>0</v>
      </c>
      <c r="F127" s="215">
        <f>'Summary - OLD'!H10</f>
        <v>0</v>
      </c>
      <c r="G127" s="216">
        <f>SUM(B127:F127)</f>
        <v>90801.375763999997</v>
      </c>
      <c r="H127" s="217">
        <f>'Orch Weekly Mgmt'!H127</f>
        <v>181602.75152799999</v>
      </c>
      <c r="I127" s="218">
        <f>'Orch Weekly Mgmt'!I127:I127</f>
        <v>0</v>
      </c>
      <c r="J127" s="219">
        <f>H127-I127</f>
        <v>181602.75152799999</v>
      </c>
      <c r="K127" s="220" t="e">
        <f>J127/I127</f>
        <v>#DIV/0!</v>
      </c>
      <c r="L127" s="248">
        <f>'Orch Weekly Mgmt'!M127</f>
        <v>555851.00959600997</v>
      </c>
      <c r="M127" s="248">
        <f>'Orch Weekly Mgmt'!N127</f>
        <v>283557.13507100154</v>
      </c>
      <c r="N127" s="219">
        <f>L127-M127</f>
        <v>272293.87452500843</v>
      </c>
      <c r="O127" s="159">
        <f>N127/M127</f>
        <v>0.96027869112454944</v>
      </c>
    </row>
    <row r="128" spans="1:19" ht="13" thickBot="1">
      <c r="A128" s="28"/>
      <c r="B128" s="33"/>
      <c r="C128" s="33" t="s">
        <v>91</v>
      </c>
      <c r="D128" s="29"/>
      <c r="E128" s="29"/>
      <c r="F128" s="29"/>
      <c r="G128" s="29"/>
      <c r="H128" s="53"/>
      <c r="I128" s="74"/>
      <c r="J128" s="92"/>
      <c r="K128" s="110"/>
      <c r="L128" s="28"/>
      <c r="M128" s="29"/>
      <c r="N128" s="29"/>
      <c r="O128" s="78"/>
    </row>
    <row r="129" spans="1:15" ht="13" thickBot="1">
      <c r="A129" s="30" t="s">
        <v>15</v>
      </c>
      <c r="B129" s="35">
        <f>SUM(B4,B8:B9,B14,B18,B22,B27,B30:B31,B34:B36,B49,B67,B81,B127)</f>
        <v>1541337.6723980005</v>
      </c>
      <c r="C129" s="35">
        <f t="shared" ref="C129:F129" si="18">SUM(C4,C8:C9,C14,C18,C22,C27,C30:C31,C34:C36,C49,C67,C81,C127)</f>
        <v>1672162.5604249998</v>
      </c>
      <c r="D129" s="35">
        <f t="shared" si="18"/>
        <v>0</v>
      </c>
      <c r="E129" s="35">
        <f>SUM(E4,E8:E9,E14,E18,E22,E27,E30:E31,E34:E36,E49,E67,E81,E127)</f>
        <v>0</v>
      </c>
      <c r="F129" s="35">
        <f t="shared" si="18"/>
        <v>0</v>
      </c>
      <c r="G129" s="35">
        <f>SUM(G4,G8:G9,G14,G18,G22,G27,G30:G31,G34:G36,G49,G67,G81,G127)</f>
        <v>3213500.2328230003</v>
      </c>
      <c r="H129" s="35">
        <f>SUM(H4,H8:H9,H14,H18,H22,H27,H30:H31,H34:H36,H49,H67,H81,H127)</f>
        <v>6427000.4656460006</v>
      </c>
      <c r="I129" s="35">
        <f>SUM(I4,I8:I9,I14,I18,I22,I27,I30:I31,I34:I36,I49,I67,I81,I127)</f>
        <v>8930399.3244599961</v>
      </c>
      <c r="J129" s="51">
        <f>H129-I129</f>
        <v>-2503398.8588139955</v>
      </c>
      <c r="K129" s="111">
        <f>J129/I129</f>
        <v>-0.28032328318816485</v>
      </c>
      <c r="L129" s="35">
        <f>SUM(L4,L8:L9,L14,L18,L22,L27,L30:L31,L34:L36,L49,L67,L81,L127)</f>
        <v>21216507.01959908</v>
      </c>
      <c r="M129" s="35">
        <f>SUM(M4,M8:M9,M14,M18,M22,M27,M30:M31,M34:M36,M49,M67,M81,M127)</f>
        <v>22055300.684221514</v>
      </c>
      <c r="N129" s="79">
        <f>L129-M129</f>
        <v>-838793.66462243348</v>
      </c>
      <c r="O129" s="36">
        <f>N129/M129</f>
        <v>-3.8031386496694249E-2</v>
      </c>
    </row>
    <row r="131" spans="1:15">
      <c r="C131" s="104"/>
    </row>
    <row r="133" spans="1:15">
      <c r="L133" s="104"/>
      <c r="M133" s="104"/>
    </row>
  </sheetData>
  <mergeCells count="2">
    <mergeCell ref="A1:K1"/>
    <mergeCell ref="L1:O1"/>
  </mergeCells>
  <pageMargins left="0" right="0" top="0" bottom="0" header="0.3" footer="0.3"/>
  <pageSetup scale="52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3"/>
  <sheetViews>
    <sheetView workbookViewId="0">
      <selection activeCell="D2" sqref="D2"/>
    </sheetView>
  </sheetViews>
  <sheetFormatPr baseColWidth="10" defaultColWidth="8.83203125" defaultRowHeight="12" x14ac:dyDescent="0"/>
  <cols>
    <col min="1" max="1" width="11.5" bestFit="1" customWidth="1"/>
    <col min="2" max="2" width="49.5" bestFit="1" customWidth="1"/>
    <col min="3" max="3" width="13.33203125" bestFit="1" customWidth="1"/>
    <col min="4" max="5" width="12.33203125" style="73" bestFit="1" customWidth="1"/>
  </cols>
  <sheetData>
    <row r="1" spans="1:5">
      <c r="A1" s="563" t="s">
        <v>481</v>
      </c>
      <c r="B1" s="563" t="s">
        <v>67</v>
      </c>
      <c r="C1" s="563" t="s">
        <v>1103</v>
      </c>
      <c r="D1" s="563" t="s">
        <v>341</v>
      </c>
      <c r="E1" s="568" t="s">
        <v>1104</v>
      </c>
    </row>
    <row r="2" spans="1:5">
      <c r="A2" s="570">
        <v>8244</v>
      </c>
      <c r="B2" s="564" t="s">
        <v>559</v>
      </c>
      <c r="C2" s="157" t="s">
        <v>641</v>
      </c>
      <c r="D2" s="565">
        <v>2</v>
      </c>
      <c r="E2" s="307">
        <v>0</v>
      </c>
    </row>
    <row r="3" spans="1:5">
      <c r="A3" s="570">
        <v>10440</v>
      </c>
      <c r="B3" s="564" t="s">
        <v>680</v>
      </c>
      <c r="C3" s="157" t="s">
        <v>885</v>
      </c>
      <c r="D3" s="565">
        <v>4</v>
      </c>
      <c r="E3" s="307">
        <v>0</v>
      </c>
    </row>
    <row r="4" spans="1:5">
      <c r="A4" s="570">
        <v>15142</v>
      </c>
      <c r="B4" s="564" t="s">
        <v>480</v>
      </c>
      <c r="C4" s="157" t="s">
        <v>1105</v>
      </c>
      <c r="D4" s="565">
        <v>1</v>
      </c>
      <c r="E4" s="307">
        <v>112.499987</v>
      </c>
    </row>
    <row r="5" spans="1:5">
      <c r="A5" s="570">
        <v>15185</v>
      </c>
      <c r="B5" s="564" t="s">
        <v>610</v>
      </c>
      <c r="C5" s="157" t="s">
        <v>636</v>
      </c>
      <c r="D5" s="565">
        <v>3</v>
      </c>
      <c r="E5" s="307">
        <v>0</v>
      </c>
    </row>
    <row r="6" spans="1:5">
      <c r="A6" s="570">
        <v>16841</v>
      </c>
      <c r="B6" s="564" t="s">
        <v>683</v>
      </c>
      <c r="C6" s="157" t="s">
        <v>886</v>
      </c>
      <c r="D6" s="565">
        <v>184</v>
      </c>
      <c r="E6" s="307">
        <v>2621.0875460000011</v>
      </c>
    </row>
    <row r="7" spans="1:5">
      <c r="A7" s="570">
        <v>16915</v>
      </c>
      <c r="B7" s="564" t="s">
        <v>442</v>
      </c>
      <c r="C7" s="157" t="s">
        <v>659</v>
      </c>
      <c r="D7" s="565">
        <v>71</v>
      </c>
      <c r="E7" s="307">
        <v>276.86812600000002</v>
      </c>
    </row>
    <row r="8" spans="1:5">
      <c r="A8" s="570">
        <v>17048</v>
      </c>
      <c r="B8" s="564" t="s">
        <v>459</v>
      </c>
      <c r="C8" s="157" t="s">
        <v>657</v>
      </c>
      <c r="D8" s="565">
        <v>55</v>
      </c>
      <c r="E8" s="307">
        <v>483002.34654199996</v>
      </c>
    </row>
    <row r="9" spans="1:5">
      <c r="A9" s="570">
        <v>17166</v>
      </c>
      <c r="B9" s="564" t="s">
        <v>842</v>
      </c>
      <c r="C9" s="157" t="s">
        <v>844</v>
      </c>
      <c r="D9" s="565">
        <v>1</v>
      </c>
      <c r="E9" s="307">
        <v>0</v>
      </c>
    </row>
    <row r="10" spans="1:5">
      <c r="A10" s="570">
        <v>17174</v>
      </c>
      <c r="B10" s="564" t="s">
        <v>684</v>
      </c>
      <c r="C10" s="157" t="s">
        <v>648</v>
      </c>
      <c r="D10" s="565">
        <v>3</v>
      </c>
      <c r="E10" s="307">
        <v>0</v>
      </c>
    </row>
    <row r="11" spans="1:5">
      <c r="A11" s="570">
        <v>17301</v>
      </c>
      <c r="B11" s="564" t="s">
        <v>685</v>
      </c>
      <c r="C11" s="157" t="s">
        <v>657</v>
      </c>
      <c r="D11" s="565">
        <v>10</v>
      </c>
      <c r="E11" s="307">
        <v>1695</v>
      </c>
    </row>
    <row r="12" spans="1:5">
      <c r="A12" s="570">
        <v>17685</v>
      </c>
      <c r="B12" s="564" t="s">
        <v>686</v>
      </c>
      <c r="C12" s="157" t="s">
        <v>636</v>
      </c>
      <c r="D12" s="565">
        <v>57</v>
      </c>
      <c r="E12" s="307">
        <v>1524.8296799999998</v>
      </c>
    </row>
    <row r="13" spans="1:5">
      <c r="A13" s="570">
        <v>17960</v>
      </c>
      <c r="B13" s="564" t="s">
        <v>687</v>
      </c>
      <c r="C13" s="157" t="s">
        <v>639</v>
      </c>
      <c r="D13" s="565">
        <v>614</v>
      </c>
      <c r="E13" s="307">
        <v>14883.186685000001</v>
      </c>
    </row>
    <row r="14" spans="1:5">
      <c r="A14" s="570">
        <v>17965</v>
      </c>
      <c r="B14" s="564" t="s">
        <v>688</v>
      </c>
      <c r="C14" s="157" t="s">
        <v>652</v>
      </c>
      <c r="D14" s="565">
        <v>1</v>
      </c>
      <c r="E14" s="307">
        <v>0</v>
      </c>
    </row>
    <row r="15" spans="1:5">
      <c r="A15" s="570">
        <v>18000</v>
      </c>
      <c r="B15" s="564" t="s">
        <v>324</v>
      </c>
      <c r="C15" s="157" t="s">
        <v>887</v>
      </c>
      <c r="D15" s="565">
        <v>1</v>
      </c>
      <c r="E15" s="307">
        <v>0</v>
      </c>
    </row>
    <row r="16" spans="1:5">
      <c r="A16" s="570">
        <v>18076</v>
      </c>
      <c r="B16" s="564" t="s">
        <v>346</v>
      </c>
      <c r="C16" s="157" t="s">
        <v>653</v>
      </c>
      <c r="D16" s="565">
        <v>1</v>
      </c>
      <c r="E16" s="307">
        <v>0</v>
      </c>
    </row>
    <row r="17" spans="1:5">
      <c r="A17" s="570">
        <v>18080</v>
      </c>
      <c r="B17" s="564" t="s">
        <v>347</v>
      </c>
      <c r="C17" s="157" t="s">
        <v>676</v>
      </c>
      <c r="D17" s="565">
        <v>7</v>
      </c>
      <c r="E17" s="307">
        <v>0</v>
      </c>
    </row>
    <row r="18" spans="1:5">
      <c r="A18" s="570">
        <v>18134</v>
      </c>
      <c r="B18" s="564" t="s">
        <v>348</v>
      </c>
      <c r="C18" s="157" t="s">
        <v>636</v>
      </c>
      <c r="D18" s="565">
        <v>1</v>
      </c>
      <c r="E18" s="307">
        <v>0</v>
      </c>
    </row>
    <row r="19" spans="1:5">
      <c r="A19" s="570">
        <v>18141</v>
      </c>
      <c r="B19" s="564" t="s">
        <v>349</v>
      </c>
      <c r="C19" s="157" t="s">
        <v>636</v>
      </c>
      <c r="D19" s="565">
        <v>1</v>
      </c>
      <c r="E19" s="307">
        <v>0</v>
      </c>
    </row>
    <row r="20" spans="1:5">
      <c r="A20" s="570">
        <v>18155</v>
      </c>
      <c r="B20" s="564" t="s">
        <v>350</v>
      </c>
      <c r="C20" s="157" t="s">
        <v>636</v>
      </c>
      <c r="D20" s="565">
        <v>1</v>
      </c>
      <c r="E20" s="307">
        <v>0</v>
      </c>
    </row>
    <row r="21" spans="1:5">
      <c r="A21" s="570">
        <v>18193</v>
      </c>
      <c r="B21" s="564" t="s">
        <v>351</v>
      </c>
      <c r="C21" s="157" t="s">
        <v>636</v>
      </c>
      <c r="D21" s="565">
        <v>1</v>
      </c>
      <c r="E21" s="307">
        <v>0</v>
      </c>
    </row>
    <row r="22" spans="1:5">
      <c r="A22" s="570">
        <v>18198</v>
      </c>
      <c r="B22" s="564" t="s">
        <v>983</v>
      </c>
      <c r="C22" s="157" t="s">
        <v>636</v>
      </c>
      <c r="D22" s="565">
        <v>1</v>
      </c>
      <c r="E22" s="307">
        <v>0</v>
      </c>
    </row>
    <row r="23" spans="1:5">
      <c r="A23" s="570">
        <v>18223</v>
      </c>
      <c r="B23" s="564" t="s">
        <v>352</v>
      </c>
      <c r="C23" s="157" t="s">
        <v>636</v>
      </c>
      <c r="D23" s="565">
        <v>33</v>
      </c>
      <c r="E23" s="307">
        <v>0</v>
      </c>
    </row>
    <row r="24" spans="1:5">
      <c r="A24" s="570">
        <v>18230</v>
      </c>
      <c r="B24" s="564" t="s">
        <v>947</v>
      </c>
      <c r="C24" s="157" t="s">
        <v>640</v>
      </c>
      <c r="D24" s="565">
        <v>25</v>
      </c>
      <c r="E24" s="307">
        <v>0</v>
      </c>
    </row>
    <row r="25" spans="1:5">
      <c r="A25" s="570">
        <v>18252</v>
      </c>
      <c r="B25" s="564" t="s">
        <v>1090</v>
      </c>
      <c r="C25" s="157" t="s">
        <v>643</v>
      </c>
      <c r="D25" s="565">
        <v>3</v>
      </c>
      <c r="E25" s="307">
        <v>0</v>
      </c>
    </row>
    <row r="26" spans="1:5">
      <c r="A26" s="570">
        <v>18317</v>
      </c>
      <c r="B26" s="564" t="s">
        <v>1028</v>
      </c>
      <c r="C26" s="157" t="s">
        <v>676</v>
      </c>
      <c r="D26" s="565">
        <v>1</v>
      </c>
      <c r="E26" s="307">
        <v>891.56193499999995</v>
      </c>
    </row>
    <row r="27" spans="1:5">
      <c r="A27" s="570">
        <v>18334</v>
      </c>
      <c r="B27" s="564" t="s">
        <v>353</v>
      </c>
      <c r="C27" s="157" t="s">
        <v>640</v>
      </c>
      <c r="D27" s="565">
        <v>6</v>
      </c>
      <c r="E27" s="307">
        <v>57.628419999999998</v>
      </c>
    </row>
    <row r="28" spans="1:5">
      <c r="A28" s="570">
        <v>18407</v>
      </c>
      <c r="B28" s="564" t="s">
        <v>327</v>
      </c>
      <c r="C28" s="157" t="s">
        <v>885</v>
      </c>
      <c r="D28" s="565">
        <v>1</v>
      </c>
      <c r="E28" s="307">
        <v>0</v>
      </c>
    </row>
    <row r="29" spans="1:5">
      <c r="A29" s="570">
        <v>18430</v>
      </c>
      <c r="B29" s="564" t="s">
        <v>354</v>
      </c>
      <c r="C29" s="157" t="s">
        <v>676</v>
      </c>
      <c r="D29" s="565">
        <v>7</v>
      </c>
      <c r="E29" s="307">
        <v>0</v>
      </c>
    </row>
    <row r="30" spans="1:5">
      <c r="A30" s="570">
        <v>18503</v>
      </c>
      <c r="B30" s="564" t="s">
        <v>355</v>
      </c>
      <c r="C30" s="157" t="s">
        <v>675</v>
      </c>
      <c r="D30" s="565">
        <v>1</v>
      </c>
      <c r="E30" s="307">
        <v>0</v>
      </c>
    </row>
    <row r="31" spans="1:5">
      <c r="A31" s="570">
        <v>18518</v>
      </c>
      <c r="B31" s="564" t="s">
        <v>356</v>
      </c>
      <c r="C31" s="157" t="s">
        <v>656</v>
      </c>
      <c r="D31" s="565">
        <v>57</v>
      </c>
      <c r="E31" s="307">
        <v>4503</v>
      </c>
    </row>
    <row r="32" spans="1:5">
      <c r="A32" s="570">
        <v>18563</v>
      </c>
      <c r="B32" s="564" t="s">
        <v>357</v>
      </c>
      <c r="C32" s="157" t="s">
        <v>676</v>
      </c>
      <c r="D32" s="565">
        <v>1</v>
      </c>
      <c r="E32" s="307">
        <v>0</v>
      </c>
    </row>
    <row r="33" spans="1:5">
      <c r="A33" s="570">
        <v>18582</v>
      </c>
      <c r="B33" s="564" t="s">
        <v>358</v>
      </c>
      <c r="C33" s="157" t="s">
        <v>636</v>
      </c>
      <c r="D33" s="565">
        <v>1</v>
      </c>
      <c r="E33" s="307">
        <v>0</v>
      </c>
    </row>
    <row r="34" spans="1:5">
      <c r="A34" s="570">
        <v>18672</v>
      </c>
      <c r="B34" s="564" t="s">
        <v>359</v>
      </c>
      <c r="C34" s="157" t="s">
        <v>675</v>
      </c>
      <c r="D34" s="565">
        <v>68</v>
      </c>
      <c r="E34" s="307">
        <v>39.836182999999998</v>
      </c>
    </row>
    <row r="35" spans="1:5">
      <c r="A35" s="570">
        <v>18730</v>
      </c>
      <c r="B35" s="564" t="s">
        <v>325</v>
      </c>
      <c r="C35" s="157" t="s">
        <v>637</v>
      </c>
      <c r="D35" s="565">
        <v>108</v>
      </c>
      <c r="E35" s="307">
        <v>4571.6333300000006</v>
      </c>
    </row>
    <row r="36" spans="1:5">
      <c r="A36" s="570">
        <v>18796</v>
      </c>
      <c r="B36" s="564" t="s">
        <v>360</v>
      </c>
      <c r="C36" s="157" t="s">
        <v>888</v>
      </c>
      <c r="D36" s="565">
        <v>7</v>
      </c>
      <c r="E36" s="307">
        <v>212.56753399999999</v>
      </c>
    </row>
    <row r="37" spans="1:5">
      <c r="A37" s="570">
        <v>18799</v>
      </c>
      <c r="B37" s="564" t="s">
        <v>361</v>
      </c>
      <c r="C37" s="157" t="s">
        <v>660</v>
      </c>
      <c r="D37" s="565">
        <v>1</v>
      </c>
      <c r="E37" s="307">
        <v>0</v>
      </c>
    </row>
    <row r="38" spans="1:5">
      <c r="A38" s="570">
        <v>18805</v>
      </c>
      <c r="B38" s="564" t="s">
        <v>339</v>
      </c>
      <c r="C38" s="157" t="s">
        <v>653</v>
      </c>
      <c r="D38" s="565">
        <v>73</v>
      </c>
      <c r="E38" s="307">
        <v>17161.376747999999</v>
      </c>
    </row>
    <row r="39" spans="1:5">
      <c r="A39" s="570">
        <v>18808</v>
      </c>
      <c r="B39" s="564" t="s">
        <v>362</v>
      </c>
      <c r="C39" s="157" t="s">
        <v>636</v>
      </c>
      <c r="D39" s="565">
        <v>1</v>
      </c>
      <c r="E39" s="307">
        <v>0</v>
      </c>
    </row>
    <row r="40" spans="1:5">
      <c r="A40" s="570">
        <v>18810</v>
      </c>
      <c r="B40" s="564" t="s">
        <v>363</v>
      </c>
      <c r="C40" s="157" t="s">
        <v>660</v>
      </c>
      <c r="D40" s="565">
        <v>6</v>
      </c>
      <c r="E40" s="307">
        <v>0</v>
      </c>
    </row>
    <row r="41" spans="1:5">
      <c r="A41" s="570">
        <v>18811</v>
      </c>
      <c r="B41" s="564" t="s">
        <v>364</v>
      </c>
      <c r="C41" s="157" t="s">
        <v>675</v>
      </c>
      <c r="D41" s="565">
        <v>1</v>
      </c>
      <c r="E41" s="307">
        <v>0</v>
      </c>
    </row>
    <row r="42" spans="1:5">
      <c r="A42" s="570">
        <v>18819</v>
      </c>
      <c r="B42" s="564" t="s">
        <v>365</v>
      </c>
      <c r="C42" s="157" t="s">
        <v>676</v>
      </c>
      <c r="D42" s="565">
        <v>4</v>
      </c>
      <c r="E42" s="307">
        <v>16</v>
      </c>
    </row>
    <row r="43" spans="1:5">
      <c r="A43" s="570">
        <v>18905</v>
      </c>
      <c r="B43" s="564" t="s">
        <v>366</v>
      </c>
      <c r="C43" s="157" t="s">
        <v>639</v>
      </c>
      <c r="D43" s="565">
        <v>1</v>
      </c>
      <c r="E43" s="307">
        <v>0</v>
      </c>
    </row>
    <row r="44" spans="1:5">
      <c r="A44" s="570">
        <v>18910</v>
      </c>
      <c r="B44" s="564" t="s">
        <v>342</v>
      </c>
      <c r="C44" s="157" t="s">
        <v>639</v>
      </c>
      <c r="D44" s="565">
        <v>1</v>
      </c>
      <c r="E44" s="307">
        <v>0</v>
      </c>
    </row>
    <row r="45" spans="1:5">
      <c r="A45" s="570">
        <v>18993</v>
      </c>
      <c r="B45" s="564" t="s">
        <v>367</v>
      </c>
      <c r="C45" s="157" t="s">
        <v>636</v>
      </c>
      <c r="D45" s="565">
        <v>1</v>
      </c>
      <c r="E45" s="307">
        <v>0</v>
      </c>
    </row>
    <row r="46" spans="1:5">
      <c r="A46" s="570">
        <v>19013</v>
      </c>
      <c r="B46" s="564" t="s">
        <v>368</v>
      </c>
      <c r="C46" s="157" t="s">
        <v>888</v>
      </c>
      <c r="D46" s="565">
        <v>1</v>
      </c>
      <c r="E46" s="307">
        <v>0</v>
      </c>
    </row>
    <row r="47" spans="1:5">
      <c r="A47" s="570">
        <v>19047</v>
      </c>
      <c r="B47" s="564" t="s">
        <v>369</v>
      </c>
      <c r="C47" s="157" t="s">
        <v>888</v>
      </c>
      <c r="D47" s="565">
        <v>1</v>
      </c>
      <c r="E47" s="307">
        <v>0</v>
      </c>
    </row>
    <row r="48" spans="1:5">
      <c r="A48" s="570">
        <v>19049</v>
      </c>
      <c r="B48" s="564" t="s">
        <v>370</v>
      </c>
      <c r="C48" s="157" t="s">
        <v>636</v>
      </c>
      <c r="D48" s="565">
        <v>1</v>
      </c>
      <c r="E48" s="307">
        <v>0</v>
      </c>
    </row>
    <row r="49" spans="1:5">
      <c r="A49" s="570">
        <v>19097</v>
      </c>
      <c r="B49" s="564" t="s">
        <v>371</v>
      </c>
      <c r="C49" s="157" t="s">
        <v>653</v>
      </c>
      <c r="D49" s="565">
        <v>2</v>
      </c>
      <c r="E49" s="307">
        <v>0</v>
      </c>
    </row>
    <row r="50" spans="1:5">
      <c r="A50" s="570">
        <v>19098</v>
      </c>
      <c r="B50" s="564" t="s">
        <v>372</v>
      </c>
      <c r="C50" s="157" t="s">
        <v>738</v>
      </c>
      <c r="D50" s="565">
        <v>21</v>
      </c>
      <c r="E50" s="307">
        <v>18.799998000000002</v>
      </c>
    </row>
    <row r="51" spans="1:5">
      <c r="A51" s="570">
        <v>19099</v>
      </c>
      <c r="B51" s="564" t="s">
        <v>373</v>
      </c>
      <c r="C51" s="157" t="s">
        <v>677</v>
      </c>
      <c r="D51" s="565">
        <v>1</v>
      </c>
      <c r="E51" s="307">
        <v>0</v>
      </c>
    </row>
    <row r="52" spans="1:5">
      <c r="A52" s="570">
        <v>19119</v>
      </c>
      <c r="B52" s="564" t="s">
        <v>374</v>
      </c>
      <c r="C52" s="157" t="s">
        <v>888</v>
      </c>
      <c r="D52" s="565">
        <v>2</v>
      </c>
      <c r="E52" s="307">
        <v>0</v>
      </c>
    </row>
    <row r="53" spans="1:5">
      <c r="A53" s="570">
        <v>19141</v>
      </c>
      <c r="B53" s="564" t="s">
        <v>375</v>
      </c>
      <c r="C53" s="157" t="s">
        <v>636</v>
      </c>
      <c r="D53" s="565">
        <v>1</v>
      </c>
      <c r="E53" s="307">
        <v>0</v>
      </c>
    </row>
    <row r="54" spans="1:5">
      <c r="A54" s="570">
        <v>19160</v>
      </c>
      <c r="B54" s="564" t="s">
        <v>926</v>
      </c>
      <c r="C54" s="157" t="s">
        <v>636</v>
      </c>
      <c r="D54" s="565">
        <v>1</v>
      </c>
      <c r="E54" s="307">
        <v>0</v>
      </c>
    </row>
    <row r="55" spans="1:5">
      <c r="A55" s="570">
        <v>19215</v>
      </c>
      <c r="B55" s="564" t="s">
        <v>376</v>
      </c>
      <c r="C55" s="157" t="s">
        <v>636</v>
      </c>
      <c r="D55" s="565">
        <v>1</v>
      </c>
      <c r="E55" s="307">
        <v>0</v>
      </c>
    </row>
    <row r="56" spans="1:5">
      <c r="A56" s="570">
        <v>19219</v>
      </c>
      <c r="B56" s="564" t="s">
        <v>377</v>
      </c>
      <c r="C56" s="157" t="s">
        <v>640</v>
      </c>
      <c r="D56" s="565">
        <v>22</v>
      </c>
      <c r="E56" s="307">
        <v>1052.19867</v>
      </c>
    </row>
    <row r="57" spans="1:5">
      <c r="A57" s="570">
        <v>19257</v>
      </c>
      <c r="B57" s="564" t="s">
        <v>378</v>
      </c>
      <c r="C57" s="157" t="s">
        <v>643</v>
      </c>
      <c r="D57" s="565">
        <v>7</v>
      </c>
      <c r="E57" s="307">
        <v>0</v>
      </c>
    </row>
    <row r="58" spans="1:5">
      <c r="A58" s="570">
        <v>19269</v>
      </c>
      <c r="B58" s="564" t="s">
        <v>379</v>
      </c>
      <c r="C58" s="157" t="s">
        <v>636</v>
      </c>
      <c r="D58" s="565">
        <v>3</v>
      </c>
      <c r="E58" s="307">
        <v>0</v>
      </c>
    </row>
    <row r="59" spans="1:5">
      <c r="A59" s="570">
        <v>19298</v>
      </c>
      <c r="B59" s="564" t="s">
        <v>1106</v>
      </c>
      <c r="C59" s="157" t="s">
        <v>675</v>
      </c>
      <c r="D59" s="565">
        <v>1</v>
      </c>
      <c r="E59" s="307">
        <v>0</v>
      </c>
    </row>
    <row r="60" spans="1:5">
      <c r="A60" s="570">
        <v>19312</v>
      </c>
      <c r="B60" s="564" t="s">
        <v>380</v>
      </c>
      <c r="C60" s="157" t="s">
        <v>652</v>
      </c>
      <c r="D60" s="565">
        <v>20</v>
      </c>
      <c r="E60" s="307">
        <v>1697.381748</v>
      </c>
    </row>
    <row r="61" spans="1:5">
      <c r="A61" s="570">
        <v>19335</v>
      </c>
      <c r="B61" s="564" t="s">
        <v>381</v>
      </c>
      <c r="C61" s="157" t="s">
        <v>636</v>
      </c>
      <c r="D61" s="565">
        <v>2</v>
      </c>
      <c r="E61" s="307">
        <v>0</v>
      </c>
    </row>
    <row r="62" spans="1:5">
      <c r="A62" s="570">
        <v>19353</v>
      </c>
      <c r="B62" s="564" t="s">
        <v>382</v>
      </c>
      <c r="C62" s="157" t="s">
        <v>660</v>
      </c>
      <c r="D62" s="565">
        <v>5</v>
      </c>
      <c r="E62" s="307">
        <v>0</v>
      </c>
    </row>
    <row r="63" spans="1:5">
      <c r="A63" s="570">
        <v>19405</v>
      </c>
      <c r="B63" s="564" t="s">
        <v>383</v>
      </c>
      <c r="C63" s="157" t="s">
        <v>640</v>
      </c>
      <c r="D63" s="565">
        <v>8</v>
      </c>
      <c r="E63" s="307">
        <v>157.45030700000001</v>
      </c>
    </row>
    <row r="64" spans="1:5">
      <c r="A64" s="570">
        <v>19447</v>
      </c>
      <c r="B64" s="564" t="s">
        <v>384</v>
      </c>
      <c r="C64" s="157" t="s">
        <v>636</v>
      </c>
      <c r="D64" s="565">
        <v>1</v>
      </c>
      <c r="E64" s="307">
        <v>0</v>
      </c>
    </row>
    <row r="65" spans="1:5">
      <c r="A65" s="570">
        <v>19454</v>
      </c>
      <c r="B65" s="564" t="s">
        <v>385</v>
      </c>
      <c r="C65" s="157" t="s">
        <v>676</v>
      </c>
      <c r="D65" s="565">
        <v>1</v>
      </c>
      <c r="E65" s="307">
        <v>0</v>
      </c>
    </row>
    <row r="66" spans="1:5">
      <c r="A66" s="570">
        <v>19457</v>
      </c>
      <c r="B66" s="564" t="s">
        <v>386</v>
      </c>
      <c r="C66" s="157" t="s">
        <v>641</v>
      </c>
      <c r="D66" s="565">
        <v>6</v>
      </c>
      <c r="E66" s="307">
        <v>0</v>
      </c>
    </row>
    <row r="67" spans="1:5">
      <c r="A67" s="570">
        <v>19458</v>
      </c>
      <c r="B67" s="564" t="s">
        <v>387</v>
      </c>
      <c r="C67" s="157" t="s">
        <v>675</v>
      </c>
      <c r="D67" s="565">
        <v>3</v>
      </c>
      <c r="E67" s="307">
        <v>0</v>
      </c>
    </row>
    <row r="68" spans="1:5">
      <c r="A68" s="570">
        <v>19491</v>
      </c>
      <c r="B68" s="564" t="s">
        <v>388</v>
      </c>
      <c r="C68" s="157" t="s">
        <v>636</v>
      </c>
      <c r="D68" s="565">
        <v>2</v>
      </c>
      <c r="E68" s="307">
        <v>0</v>
      </c>
    </row>
    <row r="69" spans="1:5">
      <c r="A69" s="570">
        <v>19493</v>
      </c>
      <c r="B69" s="564" t="s">
        <v>389</v>
      </c>
      <c r="C69" s="157" t="s">
        <v>660</v>
      </c>
      <c r="D69" s="565">
        <v>1</v>
      </c>
      <c r="E69" s="307">
        <v>0</v>
      </c>
    </row>
    <row r="70" spans="1:5">
      <c r="A70" s="570">
        <v>19517</v>
      </c>
      <c r="B70" s="564" t="s">
        <v>390</v>
      </c>
      <c r="C70" s="157" t="s">
        <v>636</v>
      </c>
      <c r="D70" s="565">
        <v>1</v>
      </c>
      <c r="E70" s="307">
        <v>0</v>
      </c>
    </row>
    <row r="71" spans="1:5">
      <c r="A71" s="570">
        <v>19544</v>
      </c>
      <c r="B71" s="564" t="s">
        <v>391</v>
      </c>
      <c r="C71" s="157" t="s">
        <v>636</v>
      </c>
      <c r="D71" s="565">
        <v>2</v>
      </c>
      <c r="E71" s="307">
        <v>0</v>
      </c>
    </row>
    <row r="72" spans="1:5">
      <c r="A72" s="570">
        <v>19581</v>
      </c>
      <c r="B72" s="564" t="s">
        <v>392</v>
      </c>
      <c r="C72" s="157" t="s">
        <v>636</v>
      </c>
      <c r="D72" s="565">
        <v>2</v>
      </c>
      <c r="E72" s="307">
        <v>0</v>
      </c>
    </row>
    <row r="73" spans="1:5">
      <c r="A73" s="570">
        <v>19589</v>
      </c>
      <c r="B73" s="564" t="s">
        <v>393</v>
      </c>
      <c r="C73" s="157" t="s">
        <v>675</v>
      </c>
      <c r="D73" s="565">
        <v>7</v>
      </c>
      <c r="E73" s="307">
        <v>820.91692499999999</v>
      </c>
    </row>
    <row r="74" spans="1:5">
      <c r="A74" s="570">
        <v>19605</v>
      </c>
      <c r="B74" s="564" t="s">
        <v>394</v>
      </c>
      <c r="C74" s="157" t="s">
        <v>636</v>
      </c>
      <c r="D74" s="565">
        <v>1</v>
      </c>
      <c r="E74" s="307">
        <v>0</v>
      </c>
    </row>
    <row r="75" spans="1:5">
      <c r="A75" s="570">
        <v>19654</v>
      </c>
      <c r="B75" s="564" t="s">
        <v>395</v>
      </c>
      <c r="C75" s="157" t="s">
        <v>636</v>
      </c>
      <c r="D75" s="565">
        <v>1</v>
      </c>
      <c r="E75" s="307">
        <v>0</v>
      </c>
    </row>
    <row r="76" spans="1:5">
      <c r="A76" s="570">
        <v>19661</v>
      </c>
      <c r="B76" s="564" t="s">
        <v>396</v>
      </c>
      <c r="C76" s="157" t="s">
        <v>887</v>
      </c>
      <c r="D76" s="565">
        <v>1</v>
      </c>
      <c r="E76" s="307">
        <v>0</v>
      </c>
    </row>
    <row r="77" spans="1:5">
      <c r="A77" s="570">
        <v>19674</v>
      </c>
      <c r="B77" s="564" t="s">
        <v>397</v>
      </c>
      <c r="C77" s="157" t="s">
        <v>636</v>
      </c>
      <c r="D77" s="565">
        <v>2</v>
      </c>
      <c r="E77" s="307">
        <v>0</v>
      </c>
    </row>
    <row r="78" spans="1:5">
      <c r="A78" s="570">
        <v>19717</v>
      </c>
      <c r="B78" s="564" t="s">
        <v>398</v>
      </c>
      <c r="C78" s="157" t="s">
        <v>636</v>
      </c>
      <c r="D78" s="565">
        <v>1</v>
      </c>
      <c r="E78" s="307">
        <v>0</v>
      </c>
    </row>
    <row r="79" spans="1:5">
      <c r="A79" s="570">
        <v>19734</v>
      </c>
      <c r="B79" s="564" t="s">
        <v>719</v>
      </c>
      <c r="C79" s="157" t="s">
        <v>738</v>
      </c>
      <c r="D79" s="565">
        <v>2</v>
      </c>
      <c r="E79" s="307">
        <v>519.26830800000005</v>
      </c>
    </row>
    <row r="80" spans="1:5">
      <c r="A80" s="570">
        <v>19755</v>
      </c>
      <c r="B80" s="564" t="s">
        <v>761</v>
      </c>
      <c r="C80" s="157" t="s">
        <v>675</v>
      </c>
      <c r="D80" s="565">
        <v>1</v>
      </c>
      <c r="E80" s="307">
        <v>95.399997999999997</v>
      </c>
    </row>
    <row r="81" spans="1:5">
      <c r="A81" s="570">
        <v>19757</v>
      </c>
      <c r="B81" s="564" t="s">
        <v>399</v>
      </c>
      <c r="C81" s="157" t="s">
        <v>660</v>
      </c>
      <c r="D81" s="565">
        <v>1</v>
      </c>
      <c r="E81" s="307">
        <v>0</v>
      </c>
    </row>
    <row r="82" spans="1:5">
      <c r="A82" s="570">
        <v>19765</v>
      </c>
      <c r="B82" s="564" t="s">
        <v>400</v>
      </c>
      <c r="C82" s="157" t="s">
        <v>636</v>
      </c>
      <c r="D82" s="565">
        <v>1</v>
      </c>
      <c r="E82" s="307">
        <v>0</v>
      </c>
    </row>
    <row r="83" spans="1:5">
      <c r="A83" s="570">
        <v>19766</v>
      </c>
      <c r="B83" s="564" t="s">
        <v>401</v>
      </c>
      <c r="C83" s="157" t="s">
        <v>636</v>
      </c>
      <c r="D83" s="565">
        <v>2</v>
      </c>
      <c r="E83" s="307">
        <v>0</v>
      </c>
    </row>
    <row r="84" spans="1:5">
      <c r="A84" s="570">
        <v>19768</v>
      </c>
      <c r="B84" s="564" t="s">
        <v>402</v>
      </c>
      <c r="C84" s="157" t="s">
        <v>888</v>
      </c>
      <c r="D84" s="565">
        <v>6</v>
      </c>
      <c r="E84" s="307">
        <v>0</v>
      </c>
    </row>
    <row r="85" spans="1:5">
      <c r="A85" s="570">
        <v>19804</v>
      </c>
      <c r="B85" s="564" t="s">
        <v>403</v>
      </c>
      <c r="C85" s="157" t="s">
        <v>636</v>
      </c>
      <c r="D85" s="565">
        <v>1</v>
      </c>
      <c r="E85" s="307">
        <v>0</v>
      </c>
    </row>
    <row r="86" spans="1:5">
      <c r="A86" s="570">
        <v>19870</v>
      </c>
      <c r="B86" s="564" t="s">
        <v>404</v>
      </c>
      <c r="C86" s="157" t="s">
        <v>636</v>
      </c>
      <c r="D86" s="565">
        <v>1</v>
      </c>
      <c r="E86" s="307">
        <v>0</v>
      </c>
    </row>
    <row r="87" spans="1:5">
      <c r="A87" s="570">
        <v>19908</v>
      </c>
      <c r="B87" s="564" t="s">
        <v>405</v>
      </c>
      <c r="C87" s="157" t="s">
        <v>636</v>
      </c>
      <c r="D87" s="565">
        <v>1</v>
      </c>
      <c r="E87" s="307">
        <v>0</v>
      </c>
    </row>
    <row r="88" spans="1:5">
      <c r="A88" s="570">
        <v>19950</v>
      </c>
      <c r="B88" s="564" t="s">
        <v>323</v>
      </c>
      <c r="C88" s="157" t="s">
        <v>653</v>
      </c>
      <c r="D88" s="565">
        <v>18</v>
      </c>
      <c r="E88" s="307">
        <v>10.008232</v>
      </c>
    </row>
    <row r="89" spans="1:5">
      <c r="A89" s="570">
        <v>19973</v>
      </c>
      <c r="B89" s="564" t="s">
        <v>406</v>
      </c>
      <c r="C89" s="157" t="s">
        <v>676</v>
      </c>
      <c r="D89" s="565">
        <v>543</v>
      </c>
      <c r="E89" s="307">
        <v>131</v>
      </c>
    </row>
    <row r="90" spans="1:5">
      <c r="A90" s="570">
        <v>20022</v>
      </c>
      <c r="B90" s="564" t="s">
        <v>407</v>
      </c>
      <c r="C90" s="157" t="s">
        <v>636</v>
      </c>
      <c r="D90" s="565">
        <v>8</v>
      </c>
      <c r="E90" s="307">
        <v>0</v>
      </c>
    </row>
    <row r="91" spans="1:5">
      <c r="A91" s="570">
        <v>20043</v>
      </c>
      <c r="B91" s="564" t="s">
        <v>408</v>
      </c>
      <c r="C91" s="157" t="s">
        <v>888</v>
      </c>
      <c r="D91" s="565">
        <v>5</v>
      </c>
      <c r="E91" s="307">
        <v>21.399998</v>
      </c>
    </row>
    <row r="92" spans="1:5">
      <c r="A92" s="570">
        <v>20084</v>
      </c>
      <c r="B92" s="564" t="s">
        <v>409</v>
      </c>
      <c r="C92" s="157" t="s">
        <v>658</v>
      </c>
      <c r="D92" s="565">
        <v>1</v>
      </c>
      <c r="E92" s="307">
        <v>0</v>
      </c>
    </row>
    <row r="93" spans="1:5">
      <c r="A93" s="570">
        <v>20133</v>
      </c>
      <c r="B93" s="564" t="s">
        <v>929</v>
      </c>
      <c r="C93" s="157" t="s">
        <v>676</v>
      </c>
      <c r="D93" s="565">
        <v>7</v>
      </c>
      <c r="E93" s="307">
        <v>0</v>
      </c>
    </row>
    <row r="94" spans="1:5">
      <c r="A94" s="570">
        <v>20135</v>
      </c>
      <c r="B94" s="564" t="s">
        <v>410</v>
      </c>
      <c r="C94" s="157" t="s">
        <v>636</v>
      </c>
      <c r="D94" s="565">
        <v>1</v>
      </c>
      <c r="E94" s="307">
        <v>0</v>
      </c>
    </row>
    <row r="95" spans="1:5">
      <c r="A95" s="570">
        <v>20149</v>
      </c>
      <c r="B95" s="564" t="s">
        <v>411</v>
      </c>
      <c r="C95" s="157" t="s">
        <v>636</v>
      </c>
      <c r="D95" s="565">
        <v>2</v>
      </c>
      <c r="E95" s="307">
        <v>0</v>
      </c>
    </row>
    <row r="96" spans="1:5">
      <c r="A96" s="570">
        <v>20151</v>
      </c>
      <c r="B96" s="564" t="s">
        <v>326</v>
      </c>
      <c r="C96" s="157" t="s">
        <v>653</v>
      </c>
      <c r="D96" s="565">
        <v>4</v>
      </c>
      <c r="E96" s="307">
        <v>0</v>
      </c>
    </row>
    <row r="97" spans="1:5">
      <c r="A97" s="570">
        <v>20173</v>
      </c>
      <c r="B97" s="564" t="s">
        <v>412</v>
      </c>
      <c r="C97" s="157" t="s">
        <v>636</v>
      </c>
      <c r="D97" s="565">
        <v>1</v>
      </c>
      <c r="E97" s="307">
        <v>0</v>
      </c>
    </row>
    <row r="98" spans="1:5">
      <c r="A98" s="570">
        <v>20218</v>
      </c>
      <c r="B98" s="564" t="s">
        <v>953</v>
      </c>
      <c r="C98" s="157" t="s">
        <v>636</v>
      </c>
      <c r="D98" s="565">
        <v>1</v>
      </c>
      <c r="E98" s="307">
        <v>463.71045199999998</v>
      </c>
    </row>
    <row r="99" spans="1:5">
      <c r="A99" s="570">
        <v>20242</v>
      </c>
      <c r="B99" s="564" t="s">
        <v>413</v>
      </c>
      <c r="C99" s="157" t="s">
        <v>676</v>
      </c>
      <c r="D99" s="565">
        <v>5</v>
      </c>
      <c r="E99" s="307">
        <v>3238.473778</v>
      </c>
    </row>
    <row r="100" spans="1:5">
      <c r="A100" s="570">
        <v>20243</v>
      </c>
      <c r="B100" s="564" t="s">
        <v>414</v>
      </c>
      <c r="C100" s="157" t="s">
        <v>636</v>
      </c>
      <c r="D100" s="565">
        <v>1</v>
      </c>
      <c r="E100" s="307">
        <v>0</v>
      </c>
    </row>
    <row r="101" spans="1:5">
      <c r="A101" s="570">
        <v>20246</v>
      </c>
      <c r="B101" s="564" t="s">
        <v>415</v>
      </c>
      <c r="C101" s="157" t="s">
        <v>636</v>
      </c>
      <c r="D101" s="565">
        <v>1</v>
      </c>
      <c r="E101" s="307">
        <v>0</v>
      </c>
    </row>
    <row r="102" spans="1:5">
      <c r="A102" s="570">
        <v>20274</v>
      </c>
      <c r="B102" s="564" t="s">
        <v>416</v>
      </c>
      <c r="C102" s="157" t="s">
        <v>660</v>
      </c>
      <c r="D102" s="565">
        <v>1</v>
      </c>
      <c r="E102" s="307">
        <v>0</v>
      </c>
    </row>
    <row r="103" spans="1:5">
      <c r="A103" s="570">
        <v>20305</v>
      </c>
      <c r="B103" s="564" t="s">
        <v>678</v>
      </c>
      <c r="C103" s="157" t="s">
        <v>657</v>
      </c>
      <c r="D103" s="565">
        <v>1</v>
      </c>
      <c r="E103" s="307">
        <v>0</v>
      </c>
    </row>
    <row r="104" spans="1:5">
      <c r="A104" s="570">
        <v>20340</v>
      </c>
      <c r="B104" s="564" t="s">
        <v>417</v>
      </c>
      <c r="C104" s="157" t="s">
        <v>643</v>
      </c>
      <c r="D104" s="565">
        <v>94</v>
      </c>
      <c r="E104" s="307">
        <v>5319.1353560000016</v>
      </c>
    </row>
    <row r="105" spans="1:5">
      <c r="A105" s="570">
        <v>20470</v>
      </c>
      <c r="B105" s="564" t="s">
        <v>932</v>
      </c>
      <c r="C105" s="157" t="s">
        <v>636</v>
      </c>
      <c r="D105" s="565">
        <v>6</v>
      </c>
      <c r="E105" s="307">
        <v>0</v>
      </c>
    </row>
    <row r="106" spans="1:5">
      <c r="A106" s="570">
        <v>20487</v>
      </c>
      <c r="B106" s="564" t="s">
        <v>418</v>
      </c>
      <c r="C106" s="157" t="s">
        <v>636</v>
      </c>
      <c r="D106" s="565">
        <v>4</v>
      </c>
      <c r="E106" s="307">
        <v>0</v>
      </c>
    </row>
    <row r="107" spans="1:5">
      <c r="A107" s="570">
        <v>20489</v>
      </c>
      <c r="B107" s="564" t="s">
        <v>419</v>
      </c>
      <c r="C107" s="157" t="s">
        <v>660</v>
      </c>
      <c r="D107" s="565">
        <v>6</v>
      </c>
      <c r="E107" s="307">
        <v>0</v>
      </c>
    </row>
    <row r="108" spans="1:5">
      <c r="A108" s="570">
        <v>20509</v>
      </c>
      <c r="B108" s="564" t="s">
        <v>420</v>
      </c>
      <c r="C108" s="157" t="s">
        <v>887</v>
      </c>
      <c r="D108" s="565">
        <v>1</v>
      </c>
      <c r="E108" s="307">
        <v>0</v>
      </c>
    </row>
    <row r="109" spans="1:5">
      <c r="A109" s="570">
        <v>20530</v>
      </c>
      <c r="B109" s="564" t="s">
        <v>689</v>
      </c>
      <c r="C109" s="157" t="s">
        <v>643</v>
      </c>
      <c r="D109" s="565">
        <v>1</v>
      </c>
      <c r="E109" s="307">
        <v>0</v>
      </c>
    </row>
    <row r="110" spans="1:5">
      <c r="A110" s="570">
        <v>20548</v>
      </c>
      <c r="B110" s="564" t="s">
        <v>421</v>
      </c>
      <c r="C110" s="157" t="s">
        <v>636</v>
      </c>
      <c r="D110" s="565">
        <v>1</v>
      </c>
      <c r="E110" s="307">
        <v>0</v>
      </c>
    </row>
    <row r="111" spans="1:5">
      <c r="A111" s="570">
        <v>20567</v>
      </c>
      <c r="B111" s="564" t="s">
        <v>422</v>
      </c>
      <c r="C111" s="157" t="s">
        <v>660</v>
      </c>
      <c r="D111" s="565">
        <v>1</v>
      </c>
      <c r="E111" s="307">
        <v>0</v>
      </c>
    </row>
    <row r="112" spans="1:5">
      <c r="A112" s="570">
        <v>20598</v>
      </c>
      <c r="B112" s="564" t="s">
        <v>940</v>
      </c>
      <c r="C112" s="157" t="s">
        <v>636</v>
      </c>
      <c r="D112" s="565">
        <v>3</v>
      </c>
      <c r="E112" s="307">
        <v>0</v>
      </c>
    </row>
    <row r="113" spans="1:5">
      <c r="A113" s="570">
        <v>20650</v>
      </c>
      <c r="B113" s="564" t="s">
        <v>690</v>
      </c>
      <c r="C113" s="157" t="s">
        <v>676</v>
      </c>
      <c r="D113" s="565">
        <v>343</v>
      </c>
      <c r="E113" s="307">
        <v>3880</v>
      </c>
    </row>
    <row r="114" spans="1:5">
      <c r="A114" s="570">
        <v>20655</v>
      </c>
      <c r="B114" s="564" t="s">
        <v>423</v>
      </c>
      <c r="C114" s="157" t="s">
        <v>651</v>
      </c>
      <c r="D114" s="565">
        <v>38</v>
      </c>
      <c r="E114" s="307">
        <v>0</v>
      </c>
    </row>
    <row r="115" spans="1:5">
      <c r="A115" s="570">
        <v>20661</v>
      </c>
      <c r="B115" s="564" t="s">
        <v>424</v>
      </c>
      <c r="C115" s="157" t="s">
        <v>675</v>
      </c>
      <c r="D115" s="565">
        <v>43</v>
      </c>
      <c r="E115" s="307">
        <v>163.557771</v>
      </c>
    </row>
    <row r="116" spans="1:5">
      <c r="A116" s="570">
        <v>20722</v>
      </c>
      <c r="B116" s="564" t="s">
        <v>425</v>
      </c>
      <c r="C116" s="157" t="s">
        <v>636</v>
      </c>
      <c r="D116" s="565">
        <v>1</v>
      </c>
      <c r="E116" s="307">
        <v>0</v>
      </c>
    </row>
    <row r="117" spans="1:5">
      <c r="A117" s="570">
        <v>20753</v>
      </c>
      <c r="B117" s="564" t="s">
        <v>426</v>
      </c>
      <c r="C117" s="157" t="s">
        <v>636</v>
      </c>
      <c r="D117" s="565">
        <v>1</v>
      </c>
      <c r="E117" s="307">
        <v>0</v>
      </c>
    </row>
    <row r="118" spans="1:5">
      <c r="A118" s="570">
        <v>20775</v>
      </c>
      <c r="B118" s="564" t="s">
        <v>427</v>
      </c>
      <c r="C118" s="157" t="s">
        <v>636</v>
      </c>
      <c r="D118" s="565">
        <v>2</v>
      </c>
      <c r="E118" s="307">
        <v>0</v>
      </c>
    </row>
    <row r="119" spans="1:5">
      <c r="A119" s="570">
        <v>20796</v>
      </c>
      <c r="B119" s="564" t="s">
        <v>428</v>
      </c>
      <c r="C119" s="157" t="s">
        <v>636</v>
      </c>
      <c r="D119" s="565">
        <v>1</v>
      </c>
      <c r="E119" s="307">
        <v>0</v>
      </c>
    </row>
    <row r="120" spans="1:5">
      <c r="A120" s="570">
        <v>20825</v>
      </c>
      <c r="B120" s="564" t="s">
        <v>429</v>
      </c>
      <c r="C120" s="157" t="s">
        <v>636</v>
      </c>
      <c r="D120" s="565">
        <v>5</v>
      </c>
      <c r="E120" s="307">
        <v>0</v>
      </c>
    </row>
    <row r="121" spans="1:5">
      <c r="A121" s="570">
        <v>20838</v>
      </c>
      <c r="B121" s="564" t="s">
        <v>430</v>
      </c>
      <c r="C121" s="157" t="s">
        <v>645</v>
      </c>
      <c r="D121" s="565">
        <v>5</v>
      </c>
      <c r="E121" s="307">
        <v>177.411305</v>
      </c>
    </row>
    <row r="122" spans="1:5">
      <c r="A122" s="570">
        <v>20855</v>
      </c>
      <c r="B122" s="564" t="s">
        <v>431</v>
      </c>
      <c r="C122" s="157" t="s">
        <v>636</v>
      </c>
      <c r="D122" s="565">
        <v>1</v>
      </c>
      <c r="E122" s="307">
        <v>0</v>
      </c>
    </row>
    <row r="123" spans="1:5">
      <c r="A123" s="570">
        <v>20876</v>
      </c>
      <c r="B123" s="564" t="s">
        <v>432</v>
      </c>
      <c r="C123" s="157" t="s">
        <v>636</v>
      </c>
      <c r="D123" s="565">
        <v>3</v>
      </c>
      <c r="E123" s="307">
        <v>49.099980000000002</v>
      </c>
    </row>
    <row r="124" spans="1:5">
      <c r="A124" s="570">
        <v>20892</v>
      </c>
      <c r="B124" s="564" t="s">
        <v>433</v>
      </c>
      <c r="C124" s="157" t="s">
        <v>657</v>
      </c>
      <c r="D124" s="565">
        <v>8</v>
      </c>
      <c r="E124" s="307">
        <v>78.163837000000001</v>
      </c>
    </row>
    <row r="125" spans="1:5">
      <c r="A125" s="570">
        <v>20904</v>
      </c>
      <c r="B125" s="564" t="s">
        <v>434</v>
      </c>
      <c r="C125" s="157" t="s">
        <v>659</v>
      </c>
      <c r="D125" s="565">
        <v>1</v>
      </c>
      <c r="E125" s="307">
        <v>0</v>
      </c>
    </row>
    <row r="126" spans="1:5">
      <c r="A126" s="570">
        <v>20905</v>
      </c>
      <c r="B126" s="564" t="s">
        <v>435</v>
      </c>
      <c r="C126" s="157" t="s">
        <v>659</v>
      </c>
      <c r="D126" s="565">
        <v>8</v>
      </c>
      <c r="E126" s="307">
        <v>401.994688</v>
      </c>
    </row>
    <row r="127" spans="1:5">
      <c r="A127" s="570">
        <v>20908</v>
      </c>
      <c r="B127" s="564" t="s">
        <v>436</v>
      </c>
      <c r="C127" s="157" t="s">
        <v>657</v>
      </c>
      <c r="D127" s="565">
        <v>246</v>
      </c>
      <c r="E127" s="307">
        <v>3847.9441219999999</v>
      </c>
    </row>
    <row r="128" spans="1:5">
      <c r="A128" s="570">
        <v>20912</v>
      </c>
      <c r="B128" s="564" t="s">
        <v>437</v>
      </c>
      <c r="C128" s="157" t="s">
        <v>636</v>
      </c>
      <c r="D128" s="565">
        <v>7</v>
      </c>
      <c r="E128" s="307">
        <v>0</v>
      </c>
    </row>
    <row r="129" spans="1:5">
      <c r="A129" s="570">
        <v>20943</v>
      </c>
      <c r="B129" s="564" t="s">
        <v>438</v>
      </c>
      <c r="C129" s="157" t="s">
        <v>636</v>
      </c>
      <c r="D129" s="565">
        <v>2</v>
      </c>
      <c r="E129" s="307">
        <v>0</v>
      </c>
    </row>
    <row r="130" spans="1:5">
      <c r="A130" s="570">
        <v>21005</v>
      </c>
      <c r="B130" s="564" t="s">
        <v>439</v>
      </c>
      <c r="C130" s="157" t="s">
        <v>636</v>
      </c>
      <c r="D130" s="565">
        <v>3</v>
      </c>
      <c r="E130" s="307">
        <v>0</v>
      </c>
    </row>
    <row r="131" spans="1:5">
      <c r="A131" s="570">
        <v>21060</v>
      </c>
      <c r="B131" s="564" t="s">
        <v>440</v>
      </c>
      <c r="C131" s="157" t="s">
        <v>636</v>
      </c>
      <c r="D131" s="565">
        <v>1</v>
      </c>
      <c r="E131" s="307">
        <v>0</v>
      </c>
    </row>
    <row r="132" spans="1:5">
      <c r="A132" s="570">
        <v>21068</v>
      </c>
      <c r="B132" s="564" t="s">
        <v>1107</v>
      </c>
      <c r="C132" s="157" t="s">
        <v>736</v>
      </c>
      <c r="D132" s="565">
        <v>1</v>
      </c>
      <c r="E132" s="307">
        <v>21</v>
      </c>
    </row>
    <row r="133" spans="1:5">
      <c r="A133" s="570">
        <v>21086</v>
      </c>
      <c r="B133" s="564" t="s">
        <v>441</v>
      </c>
      <c r="C133" s="157" t="s">
        <v>636</v>
      </c>
      <c r="D133" s="565">
        <v>28</v>
      </c>
      <c r="E133" s="307">
        <v>70.264253999999994</v>
      </c>
    </row>
    <row r="134" spans="1:5">
      <c r="A134" s="570">
        <v>21114</v>
      </c>
      <c r="B134" s="564" t="s">
        <v>1108</v>
      </c>
      <c r="C134" s="157" t="s">
        <v>636</v>
      </c>
      <c r="D134" s="565">
        <v>2</v>
      </c>
      <c r="E134" s="307">
        <v>0</v>
      </c>
    </row>
    <row r="135" spans="1:5">
      <c r="A135" s="570">
        <v>21267</v>
      </c>
      <c r="B135" s="564" t="s">
        <v>775</v>
      </c>
      <c r="C135" s="157" t="s">
        <v>660</v>
      </c>
      <c r="D135" s="565">
        <v>2</v>
      </c>
      <c r="E135" s="307">
        <v>136.09996699999999</v>
      </c>
    </row>
    <row r="136" spans="1:5">
      <c r="A136" s="570">
        <v>21347</v>
      </c>
      <c r="B136" s="564" t="s">
        <v>443</v>
      </c>
      <c r="C136" s="157" t="s">
        <v>885</v>
      </c>
      <c r="D136" s="565">
        <v>1</v>
      </c>
      <c r="E136" s="307">
        <v>0</v>
      </c>
    </row>
    <row r="137" spans="1:5">
      <c r="A137" s="570">
        <v>21349</v>
      </c>
      <c r="B137" s="564" t="s">
        <v>444</v>
      </c>
      <c r="C137" s="157" t="s">
        <v>645</v>
      </c>
      <c r="D137" s="565">
        <v>10</v>
      </c>
      <c r="E137" s="307">
        <v>244.599099</v>
      </c>
    </row>
    <row r="138" spans="1:5">
      <c r="A138" s="570">
        <v>21384</v>
      </c>
      <c r="B138" s="564" t="s">
        <v>445</v>
      </c>
      <c r="C138" s="157" t="s">
        <v>886</v>
      </c>
      <c r="D138" s="565">
        <v>3</v>
      </c>
      <c r="E138" s="307">
        <v>912.66419399999995</v>
      </c>
    </row>
    <row r="139" spans="1:5">
      <c r="A139" s="570">
        <v>21420</v>
      </c>
      <c r="B139" s="564" t="s">
        <v>446</v>
      </c>
      <c r="C139" s="157" t="s">
        <v>636</v>
      </c>
      <c r="D139" s="565">
        <v>1</v>
      </c>
      <c r="E139" s="307">
        <v>0</v>
      </c>
    </row>
    <row r="140" spans="1:5">
      <c r="A140" s="570">
        <v>21427</v>
      </c>
      <c r="B140" s="564" t="s">
        <v>447</v>
      </c>
      <c r="C140" s="157" t="s">
        <v>636</v>
      </c>
      <c r="D140" s="565">
        <v>8</v>
      </c>
      <c r="E140" s="307">
        <v>0</v>
      </c>
    </row>
    <row r="141" spans="1:5">
      <c r="A141" s="570">
        <v>21450</v>
      </c>
      <c r="B141" s="564" t="s">
        <v>1109</v>
      </c>
      <c r="C141" s="157" t="s">
        <v>888</v>
      </c>
      <c r="D141" s="565">
        <v>1</v>
      </c>
      <c r="E141" s="307">
        <v>37</v>
      </c>
    </row>
    <row r="142" spans="1:5">
      <c r="A142" s="570">
        <v>21462</v>
      </c>
      <c r="B142" s="564" t="s">
        <v>448</v>
      </c>
      <c r="C142" s="157" t="s">
        <v>648</v>
      </c>
      <c r="D142" s="565">
        <v>10</v>
      </c>
      <c r="E142" s="307">
        <v>17</v>
      </c>
    </row>
    <row r="143" spans="1:5">
      <c r="A143" s="570">
        <v>21493</v>
      </c>
      <c r="B143" s="564" t="s">
        <v>931</v>
      </c>
      <c r="C143" s="157" t="s">
        <v>676</v>
      </c>
      <c r="D143" s="565">
        <v>1</v>
      </c>
      <c r="E143" s="307">
        <v>0</v>
      </c>
    </row>
    <row r="144" spans="1:5">
      <c r="A144" s="570">
        <v>21497</v>
      </c>
      <c r="B144" s="564" t="s">
        <v>449</v>
      </c>
      <c r="C144" s="157" t="s">
        <v>660</v>
      </c>
      <c r="D144" s="565">
        <v>33</v>
      </c>
      <c r="E144" s="307">
        <v>5204.1238550000007</v>
      </c>
    </row>
    <row r="145" spans="1:5">
      <c r="A145" s="570">
        <v>21501</v>
      </c>
      <c r="B145" s="564" t="s">
        <v>450</v>
      </c>
      <c r="C145" s="157" t="s">
        <v>675</v>
      </c>
      <c r="D145" s="565">
        <v>2</v>
      </c>
      <c r="E145" s="307">
        <v>0</v>
      </c>
    </row>
    <row r="146" spans="1:5">
      <c r="A146" s="570">
        <v>21506</v>
      </c>
      <c r="B146" s="564" t="s">
        <v>451</v>
      </c>
      <c r="C146" s="157" t="s">
        <v>636</v>
      </c>
      <c r="D146" s="565">
        <v>2</v>
      </c>
      <c r="E146" s="307">
        <v>0</v>
      </c>
    </row>
    <row r="147" spans="1:5">
      <c r="A147" s="570">
        <v>21561</v>
      </c>
      <c r="B147" s="564" t="s">
        <v>452</v>
      </c>
      <c r="C147" s="157" t="s">
        <v>636</v>
      </c>
      <c r="D147" s="565">
        <v>6</v>
      </c>
      <c r="E147" s="307">
        <v>0</v>
      </c>
    </row>
    <row r="148" spans="1:5">
      <c r="A148" s="570">
        <v>21588</v>
      </c>
      <c r="B148" s="564" t="s">
        <v>453</v>
      </c>
      <c r="C148" s="157" t="s">
        <v>675</v>
      </c>
      <c r="D148" s="565">
        <v>1</v>
      </c>
      <c r="E148" s="307">
        <v>0</v>
      </c>
    </row>
    <row r="149" spans="1:5">
      <c r="A149" s="570">
        <v>21601</v>
      </c>
      <c r="B149" s="564" t="s">
        <v>843</v>
      </c>
      <c r="C149" s="157" t="s">
        <v>653</v>
      </c>
      <c r="D149" s="565">
        <v>4</v>
      </c>
      <c r="E149" s="307">
        <v>12.073947</v>
      </c>
    </row>
    <row r="150" spans="1:5">
      <c r="A150" s="570">
        <v>21604</v>
      </c>
      <c r="B150" s="564" t="s">
        <v>454</v>
      </c>
      <c r="C150" s="157" t="s">
        <v>675</v>
      </c>
      <c r="D150" s="565">
        <v>1</v>
      </c>
      <c r="E150" s="307">
        <v>0</v>
      </c>
    </row>
    <row r="151" spans="1:5">
      <c r="A151" s="570">
        <v>21614</v>
      </c>
      <c r="B151" s="564" t="s">
        <v>455</v>
      </c>
      <c r="C151" s="157" t="s">
        <v>636</v>
      </c>
      <c r="D151" s="565">
        <v>1</v>
      </c>
      <c r="E151" s="307">
        <v>0</v>
      </c>
    </row>
    <row r="152" spans="1:5">
      <c r="A152" s="570">
        <v>21619</v>
      </c>
      <c r="B152" s="564" t="s">
        <v>456</v>
      </c>
      <c r="C152" s="157" t="s">
        <v>888</v>
      </c>
      <c r="D152" s="565">
        <v>3</v>
      </c>
      <c r="E152" s="307">
        <v>0</v>
      </c>
    </row>
    <row r="153" spans="1:5">
      <c r="A153" s="570">
        <v>21620</v>
      </c>
      <c r="B153" s="564" t="s">
        <v>457</v>
      </c>
      <c r="C153" s="157" t="s">
        <v>636</v>
      </c>
      <c r="D153" s="565">
        <v>1</v>
      </c>
      <c r="E153" s="307">
        <v>0</v>
      </c>
    </row>
    <row r="154" spans="1:5">
      <c r="A154" s="570">
        <v>21651</v>
      </c>
      <c r="B154" s="564" t="s">
        <v>458</v>
      </c>
      <c r="C154" s="157" t="s">
        <v>636</v>
      </c>
      <c r="D154" s="565">
        <v>1</v>
      </c>
      <c r="E154" s="307">
        <v>0</v>
      </c>
    </row>
    <row r="155" spans="1:5">
      <c r="A155" s="570">
        <v>21784</v>
      </c>
      <c r="B155" s="564" t="s">
        <v>721</v>
      </c>
      <c r="C155" s="157" t="s">
        <v>636</v>
      </c>
      <c r="D155" s="565">
        <v>1</v>
      </c>
      <c r="E155" s="307">
        <v>0</v>
      </c>
    </row>
    <row r="156" spans="1:5">
      <c r="A156" s="570">
        <v>21806</v>
      </c>
      <c r="B156" s="564" t="s">
        <v>460</v>
      </c>
      <c r="C156" s="157" t="s">
        <v>675</v>
      </c>
      <c r="D156" s="565">
        <v>1</v>
      </c>
      <c r="E156" s="307">
        <v>0</v>
      </c>
    </row>
    <row r="157" spans="1:5">
      <c r="A157" s="570">
        <v>21817</v>
      </c>
      <c r="B157" s="564" t="s">
        <v>338</v>
      </c>
      <c r="C157" s="157" t="s">
        <v>1110</v>
      </c>
      <c r="D157" s="565">
        <v>5</v>
      </c>
      <c r="E157" s="307">
        <v>208</v>
      </c>
    </row>
    <row r="158" spans="1:5">
      <c r="A158" s="570">
        <v>21837</v>
      </c>
      <c r="B158" s="564" t="s">
        <v>461</v>
      </c>
      <c r="C158" s="157" t="s">
        <v>636</v>
      </c>
      <c r="D158" s="565">
        <v>2</v>
      </c>
      <c r="E158" s="307">
        <v>0</v>
      </c>
    </row>
    <row r="159" spans="1:5">
      <c r="A159" s="570">
        <v>21851</v>
      </c>
      <c r="B159" s="564" t="s">
        <v>462</v>
      </c>
      <c r="C159" s="157" t="s">
        <v>657</v>
      </c>
      <c r="D159" s="565">
        <v>850</v>
      </c>
      <c r="E159" s="307">
        <v>92574.11090900001</v>
      </c>
    </row>
    <row r="160" spans="1:5">
      <c r="A160" s="570">
        <v>21914</v>
      </c>
      <c r="B160" s="564" t="s">
        <v>463</v>
      </c>
      <c r="C160" s="157" t="s">
        <v>636</v>
      </c>
      <c r="D160" s="565">
        <v>1</v>
      </c>
      <c r="E160" s="307">
        <v>0</v>
      </c>
    </row>
    <row r="161" spans="1:5">
      <c r="A161" s="570">
        <v>21953</v>
      </c>
      <c r="B161" s="564" t="s">
        <v>955</v>
      </c>
      <c r="C161" s="157" t="s">
        <v>653</v>
      </c>
      <c r="D161" s="565">
        <v>2</v>
      </c>
      <c r="E161" s="307">
        <v>181.39273600000001</v>
      </c>
    </row>
    <row r="162" spans="1:5">
      <c r="A162" s="570">
        <v>22041</v>
      </c>
      <c r="B162" s="564" t="s">
        <v>464</v>
      </c>
      <c r="C162" s="157" t="s">
        <v>659</v>
      </c>
      <c r="D162" s="565">
        <v>57</v>
      </c>
      <c r="E162" s="307">
        <v>2376.0896350000003</v>
      </c>
    </row>
    <row r="163" spans="1:5">
      <c r="A163" s="570">
        <v>22098</v>
      </c>
      <c r="B163" s="564" t="s">
        <v>465</v>
      </c>
      <c r="C163" s="157" t="s">
        <v>636</v>
      </c>
      <c r="D163" s="565">
        <v>3</v>
      </c>
      <c r="E163" s="307">
        <v>0</v>
      </c>
    </row>
    <row r="164" spans="1:5">
      <c r="A164" s="570">
        <v>22122</v>
      </c>
      <c r="B164" s="564" t="s">
        <v>322</v>
      </c>
      <c r="C164" s="157" t="s">
        <v>674</v>
      </c>
      <c r="D164" s="565">
        <v>1201</v>
      </c>
      <c r="E164" s="307">
        <v>106958</v>
      </c>
    </row>
    <row r="165" spans="1:5">
      <c r="A165" s="570">
        <v>22125</v>
      </c>
      <c r="B165" s="564" t="s">
        <v>466</v>
      </c>
      <c r="C165" s="157" t="s">
        <v>636</v>
      </c>
      <c r="D165" s="565">
        <v>5</v>
      </c>
      <c r="E165" s="307">
        <v>0</v>
      </c>
    </row>
    <row r="166" spans="1:5">
      <c r="A166" s="570">
        <v>22170</v>
      </c>
      <c r="B166" s="564" t="s">
        <v>467</v>
      </c>
      <c r="C166" s="157" t="s">
        <v>636</v>
      </c>
      <c r="D166" s="565">
        <v>39</v>
      </c>
      <c r="E166" s="307">
        <v>0</v>
      </c>
    </row>
    <row r="167" spans="1:5">
      <c r="A167" s="570">
        <v>22175</v>
      </c>
      <c r="B167" s="564" t="s">
        <v>468</v>
      </c>
      <c r="C167" s="157" t="s">
        <v>636</v>
      </c>
      <c r="D167" s="565">
        <v>1</v>
      </c>
      <c r="E167" s="307">
        <v>0</v>
      </c>
    </row>
    <row r="168" spans="1:5">
      <c r="A168" s="570">
        <v>22202</v>
      </c>
      <c r="B168" s="564" t="s">
        <v>469</v>
      </c>
      <c r="C168" s="157" t="s">
        <v>660</v>
      </c>
      <c r="D168" s="565">
        <v>5</v>
      </c>
      <c r="E168" s="307">
        <v>125.653013</v>
      </c>
    </row>
    <row r="169" spans="1:5">
      <c r="A169" s="570">
        <v>22224</v>
      </c>
      <c r="B169" s="564" t="s">
        <v>470</v>
      </c>
      <c r="C169" s="157" t="s">
        <v>636</v>
      </c>
      <c r="D169" s="565">
        <v>9</v>
      </c>
      <c r="E169" s="307">
        <v>421.99997000000002</v>
      </c>
    </row>
    <row r="170" spans="1:5">
      <c r="A170" s="570">
        <v>22252</v>
      </c>
      <c r="B170" s="564" t="s">
        <v>471</v>
      </c>
      <c r="C170" s="157" t="s">
        <v>888</v>
      </c>
      <c r="D170" s="565">
        <v>2</v>
      </c>
      <c r="E170" s="307">
        <v>0</v>
      </c>
    </row>
    <row r="171" spans="1:5">
      <c r="A171" s="570">
        <v>22269</v>
      </c>
      <c r="B171" s="564" t="s">
        <v>715</v>
      </c>
      <c r="C171" s="157" t="s">
        <v>641</v>
      </c>
      <c r="D171" s="565">
        <v>2</v>
      </c>
      <c r="E171" s="307">
        <v>0</v>
      </c>
    </row>
    <row r="172" spans="1:5">
      <c r="A172" s="570">
        <v>22273</v>
      </c>
      <c r="B172" s="564" t="s">
        <v>472</v>
      </c>
      <c r="C172" s="157" t="s">
        <v>676</v>
      </c>
      <c r="D172" s="565">
        <v>155</v>
      </c>
      <c r="E172" s="307">
        <v>0</v>
      </c>
    </row>
    <row r="173" spans="1:5">
      <c r="A173" s="570">
        <v>22285</v>
      </c>
      <c r="B173" s="564" t="s">
        <v>473</v>
      </c>
      <c r="C173" s="157" t="s">
        <v>676</v>
      </c>
      <c r="D173" s="565">
        <v>3</v>
      </c>
      <c r="E173" s="307">
        <v>0</v>
      </c>
    </row>
    <row r="174" spans="1:5">
      <c r="A174" s="570">
        <v>22305</v>
      </c>
      <c r="B174" s="564" t="s">
        <v>474</v>
      </c>
      <c r="C174" s="157" t="s">
        <v>636</v>
      </c>
      <c r="D174" s="565">
        <v>51</v>
      </c>
      <c r="E174" s="307">
        <v>0</v>
      </c>
    </row>
    <row r="175" spans="1:5">
      <c r="A175" s="570">
        <v>22328</v>
      </c>
      <c r="B175" s="564" t="s">
        <v>475</v>
      </c>
      <c r="C175" s="157" t="s">
        <v>667</v>
      </c>
      <c r="D175" s="565">
        <v>177</v>
      </c>
      <c r="E175" s="307">
        <v>146.50054499999999</v>
      </c>
    </row>
    <row r="176" spans="1:5">
      <c r="A176" s="570">
        <v>22339</v>
      </c>
      <c r="B176" s="564" t="s">
        <v>476</v>
      </c>
      <c r="C176" s="157" t="s">
        <v>675</v>
      </c>
      <c r="D176" s="565">
        <v>2</v>
      </c>
      <c r="E176" s="307">
        <v>4</v>
      </c>
    </row>
    <row r="177" spans="1:5">
      <c r="A177" s="570">
        <v>22382</v>
      </c>
      <c r="B177" s="564" t="s">
        <v>477</v>
      </c>
      <c r="C177" s="157" t="s">
        <v>675</v>
      </c>
      <c r="D177" s="565">
        <v>1</v>
      </c>
      <c r="E177" s="307">
        <v>0</v>
      </c>
    </row>
    <row r="178" spans="1:5">
      <c r="A178" s="570">
        <v>22394</v>
      </c>
      <c r="B178" s="564" t="s">
        <v>478</v>
      </c>
      <c r="C178" s="157" t="s">
        <v>888</v>
      </c>
      <c r="D178" s="565">
        <v>17</v>
      </c>
      <c r="E178" s="307">
        <v>537</v>
      </c>
    </row>
    <row r="179" spans="1:5">
      <c r="A179" s="570">
        <v>22403</v>
      </c>
      <c r="B179" s="564" t="s">
        <v>479</v>
      </c>
      <c r="C179" s="157" t="s">
        <v>641</v>
      </c>
      <c r="D179" s="565">
        <v>47</v>
      </c>
      <c r="E179" s="307">
        <v>209.88441399999999</v>
      </c>
    </row>
    <row r="180" spans="1:5">
      <c r="A180" s="570">
        <v>22404</v>
      </c>
      <c r="B180" s="564" t="s">
        <v>980</v>
      </c>
      <c r="C180" s="157" t="s">
        <v>653</v>
      </c>
      <c r="D180" s="565">
        <v>1</v>
      </c>
      <c r="E180" s="307">
        <v>1555.255525</v>
      </c>
    </row>
    <row r="181" spans="1:5">
      <c r="A181" s="570" t="s">
        <v>1111</v>
      </c>
      <c r="B181" s="564" t="s">
        <v>1111</v>
      </c>
      <c r="C181" s="157" t="s">
        <v>1111</v>
      </c>
      <c r="D181" s="565">
        <v>29</v>
      </c>
      <c r="E181" s="307">
        <v>0</v>
      </c>
    </row>
    <row r="182" spans="1:5">
      <c r="A182" s="564" t="s">
        <v>1067</v>
      </c>
      <c r="B182" s="157" t="s">
        <v>1067</v>
      </c>
      <c r="C182" s="565"/>
      <c r="D182" s="307"/>
    </row>
    <row r="183" spans="1:5">
      <c r="A183" s="566"/>
      <c r="B183" s="566"/>
      <c r="C183" s="567">
        <v>5804</v>
      </c>
      <c r="D183" s="569">
        <v>765665.45025200059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>
    <tabColor rgb="FFFFC000"/>
  </sheetPr>
  <dimension ref="A1:L481"/>
  <sheetViews>
    <sheetView topLeftCell="B1" workbookViewId="0">
      <pane ySplit="1" topLeftCell="A2" activePane="bottomLeft" state="frozen"/>
      <selection activeCell="B1" sqref="B1"/>
      <selection pane="bottomLeft" activeCell="B1" sqref="B1"/>
    </sheetView>
  </sheetViews>
  <sheetFormatPr baseColWidth="10" defaultColWidth="8.83203125" defaultRowHeight="14" x14ac:dyDescent="0"/>
  <cols>
    <col min="1" max="1" width="0" style="162" hidden="1" customWidth="1"/>
    <col min="2" max="2" width="11.6640625" style="597" bestFit="1" customWidth="1"/>
    <col min="3" max="3" width="49.5" style="162" bestFit="1" customWidth="1"/>
    <col min="4" max="4" width="10.5" style="162" bestFit="1" customWidth="1"/>
    <col min="5" max="5" width="18.33203125" style="162" bestFit="1" customWidth="1"/>
    <col min="6" max="7" width="10.5" style="599" bestFit="1" customWidth="1"/>
    <col min="8" max="8" width="13.5" style="599" bestFit="1" customWidth="1"/>
    <col min="9" max="9" width="14.5" style="599" bestFit="1" customWidth="1"/>
    <col min="10" max="10" width="11" style="151" bestFit="1" customWidth="1"/>
    <col min="11" max="12" width="12" style="162" bestFit="1" customWidth="1"/>
    <col min="13" max="16384" width="8.83203125" style="162"/>
  </cols>
  <sheetData>
    <row r="1" spans="1:12" s="592" customFormat="1" ht="42">
      <c r="A1" s="588" t="s">
        <v>1172</v>
      </c>
      <c r="B1" s="589" t="s">
        <v>481</v>
      </c>
      <c r="C1" s="590" t="s">
        <v>67</v>
      </c>
      <c r="D1" s="590" t="s">
        <v>1173</v>
      </c>
      <c r="E1" s="590" t="s">
        <v>1103</v>
      </c>
      <c r="F1" s="590" t="s">
        <v>985</v>
      </c>
      <c r="G1" s="590" t="s">
        <v>1174</v>
      </c>
      <c r="H1" s="591" t="s">
        <v>1175</v>
      </c>
      <c r="I1" s="591" t="s">
        <v>1176</v>
      </c>
      <c r="J1" s="152"/>
    </row>
    <row r="2" spans="1:12">
      <c r="A2" s="438" t="s">
        <v>320</v>
      </c>
      <c r="B2" s="593">
        <v>17651</v>
      </c>
      <c r="C2" s="438" t="s">
        <v>714</v>
      </c>
      <c r="D2" s="438" t="s">
        <v>1186</v>
      </c>
      <c r="E2" s="438" t="s">
        <v>636</v>
      </c>
      <c r="F2" s="732">
        <v>317</v>
      </c>
      <c r="G2" s="732">
        <v>292</v>
      </c>
      <c r="H2" s="601">
        <v>710.32863099999997</v>
      </c>
      <c r="I2" s="601">
        <v>595.29852799999992</v>
      </c>
      <c r="K2" s="151"/>
      <c r="L2" s="151"/>
    </row>
    <row r="3" spans="1:12">
      <c r="A3" s="438" t="s">
        <v>320</v>
      </c>
      <c r="B3" s="593">
        <v>17124</v>
      </c>
      <c r="C3" s="438" t="s">
        <v>632</v>
      </c>
      <c r="D3" s="438" t="s">
        <v>1182</v>
      </c>
      <c r="E3" s="438" t="s">
        <v>667</v>
      </c>
      <c r="F3" s="732">
        <v>170</v>
      </c>
      <c r="G3" s="732">
        <v>149</v>
      </c>
      <c r="H3" s="601">
        <v>634.16010100000005</v>
      </c>
      <c r="I3" s="601">
        <v>616.34708400000011</v>
      </c>
      <c r="K3" s="151"/>
      <c r="L3" s="151"/>
    </row>
    <row r="4" spans="1:12">
      <c r="A4" s="438" t="s">
        <v>320</v>
      </c>
      <c r="B4" s="593">
        <v>16422</v>
      </c>
      <c r="C4" s="438" t="s">
        <v>497</v>
      </c>
      <c r="D4" s="438" t="s">
        <v>1183</v>
      </c>
      <c r="E4" s="438" t="s">
        <v>649</v>
      </c>
      <c r="F4" s="732">
        <v>135</v>
      </c>
      <c r="G4" s="732">
        <v>100</v>
      </c>
      <c r="H4" s="601">
        <v>8542.998861</v>
      </c>
      <c r="I4" s="601">
        <v>5576.143896999999</v>
      </c>
      <c r="K4" s="151"/>
      <c r="L4" s="151"/>
    </row>
    <row r="5" spans="1:12">
      <c r="A5" s="438" t="s">
        <v>320</v>
      </c>
      <c r="B5" s="593">
        <v>22915</v>
      </c>
      <c r="C5" s="438" t="s">
        <v>751</v>
      </c>
      <c r="D5" s="438" t="s">
        <v>1183</v>
      </c>
      <c r="E5" s="438" t="s">
        <v>648</v>
      </c>
      <c r="F5" s="732">
        <v>74</v>
      </c>
      <c r="G5" s="732">
        <v>54</v>
      </c>
      <c r="H5" s="601">
        <v>178.56802200000004</v>
      </c>
      <c r="I5" s="601">
        <v>178.56802200000004</v>
      </c>
      <c r="K5" s="151"/>
      <c r="L5" s="151"/>
    </row>
    <row r="6" spans="1:12" hidden="1">
      <c r="A6" s="438" t="s">
        <v>321</v>
      </c>
      <c r="B6" s="594">
        <v>21851</v>
      </c>
      <c r="C6" s="595" t="s">
        <v>462</v>
      </c>
      <c r="D6" s="595" t="s">
        <v>1180</v>
      </c>
      <c r="E6" s="596" t="s">
        <v>657</v>
      </c>
      <c r="F6" s="732">
        <v>947</v>
      </c>
      <c r="G6" s="732">
        <v>442</v>
      </c>
      <c r="H6" s="601">
        <v>93557.918988000019</v>
      </c>
      <c r="I6" s="601">
        <v>44648.638778000008</v>
      </c>
      <c r="K6" s="151"/>
      <c r="L6" s="151"/>
    </row>
    <row r="7" spans="1:12" hidden="1">
      <c r="A7" s="438" t="s">
        <v>321</v>
      </c>
      <c r="B7" s="594">
        <v>20908</v>
      </c>
      <c r="C7" s="595" t="s">
        <v>436</v>
      </c>
      <c r="D7" s="595" t="s">
        <v>1178</v>
      </c>
      <c r="E7" s="596" t="s">
        <v>657</v>
      </c>
      <c r="F7" s="732">
        <v>271</v>
      </c>
      <c r="G7" s="732">
        <v>160</v>
      </c>
      <c r="H7" s="601">
        <v>4183.4962479999995</v>
      </c>
      <c r="I7" s="601">
        <v>4010.4581670000002</v>
      </c>
      <c r="K7" s="151"/>
      <c r="L7" s="151"/>
    </row>
    <row r="8" spans="1:12">
      <c r="A8" s="438" t="s">
        <v>320</v>
      </c>
      <c r="B8" s="593">
        <v>8589</v>
      </c>
      <c r="C8" s="438" t="s">
        <v>563</v>
      </c>
      <c r="D8" s="438" t="s">
        <v>1181</v>
      </c>
      <c r="E8" s="438" t="s">
        <v>637</v>
      </c>
      <c r="F8" s="732">
        <v>526</v>
      </c>
      <c r="G8" s="732">
        <v>525</v>
      </c>
      <c r="H8" s="601">
        <v>0</v>
      </c>
      <c r="I8" s="601">
        <v>0</v>
      </c>
      <c r="K8" s="151"/>
      <c r="L8" s="151"/>
    </row>
    <row r="9" spans="1:12">
      <c r="A9" s="438" t="s">
        <v>320</v>
      </c>
      <c r="B9" s="593">
        <v>23104</v>
      </c>
      <c r="C9" s="438" t="s">
        <v>791</v>
      </c>
      <c r="D9" s="438" t="s">
        <v>1181</v>
      </c>
      <c r="E9" s="438" t="s">
        <v>636</v>
      </c>
      <c r="F9" s="732">
        <v>499</v>
      </c>
      <c r="G9" s="732">
        <v>477</v>
      </c>
      <c r="H9" s="601">
        <v>0</v>
      </c>
      <c r="I9" s="601">
        <v>0</v>
      </c>
      <c r="K9" s="151"/>
      <c r="L9" s="151"/>
    </row>
    <row r="10" spans="1:12">
      <c r="A10" s="438" t="s">
        <v>320</v>
      </c>
      <c r="B10" s="593">
        <v>15744</v>
      </c>
      <c r="C10" s="438" t="s">
        <v>498</v>
      </c>
      <c r="D10" s="438" t="s">
        <v>1181</v>
      </c>
      <c r="E10" s="438" t="s">
        <v>637</v>
      </c>
      <c r="F10" s="732">
        <v>679</v>
      </c>
      <c r="G10" s="732">
        <v>445</v>
      </c>
      <c r="H10" s="601">
        <v>33085.017341999999</v>
      </c>
      <c r="I10" s="601">
        <v>7400.1178639999989</v>
      </c>
      <c r="K10" s="151"/>
      <c r="L10" s="151"/>
    </row>
    <row r="11" spans="1:12">
      <c r="A11" s="438" t="s">
        <v>320</v>
      </c>
      <c r="B11" s="593">
        <v>7844</v>
      </c>
      <c r="C11" s="438" t="s">
        <v>499</v>
      </c>
      <c r="D11" s="438" t="s">
        <v>1177</v>
      </c>
      <c r="E11" s="438" t="s">
        <v>641</v>
      </c>
      <c r="F11" s="732">
        <v>81</v>
      </c>
      <c r="G11" s="732">
        <v>25</v>
      </c>
      <c r="H11" s="601">
        <v>1100.1287459999999</v>
      </c>
      <c r="I11" s="601">
        <v>1057.9709399999999</v>
      </c>
      <c r="K11" s="151"/>
      <c r="L11" s="151"/>
    </row>
    <row r="12" spans="1:12" hidden="1">
      <c r="A12" s="438" t="s">
        <v>321</v>
      </c>
      <c r="B12" s="594">
        <v>21817</v>
      </c>
      <c r="C12" s="595" t="s">
        <v>338</v>
      </c>
      <c r="D12" s="595" t="s">
        <v>1180</v>
      </c>
      <c r="E12" s="596" t="s">
        <v>1110</v>
      </c>
      <c r="F12" s="732">
        <v>25</v>
      </c>
      <c r="G12" s="732">
        <v>7</v>
      </c>
      <c r="H12" s="601">
        <v>279.54668800000002</v>
      </c>
      <c r="I12" s="601">
        <v>0</v>
      </c>
      <c r="K12" s="151"/>
      <c r="L12" s="151"/>
    </row>
    <row r="13" spans="1:12">
      <c r="A13" s="438" t="s">
        <v>320</v>
      </c>
      <c r="B13" s="593">
        <v>15362</v>
      </c>
      <c r="C13" s="438" t="s">
        <v>531</v>
      </c>
      <c r="D13" s="438" t="s">
        <v>1187</v>
      </c>
      <c r="E13" s="438" t="s">
        <v>738</v>
      </c>
      <c r="F13" s="732">
        <v>18</v>
      </c>
      <c r="G13" s="732">
        <v>5</v>
      </c>
      <c r="H13" s="601">
        <v>4402.9353890000002</v>
      </c>
      <c r="I13" s="601">
        <v>194.80148</v>
      </c>
      <c r="K13" s="151"/>
      <c r="L13" s="151"/>
    </row>
    <row r="14" spans="1:12">
      <c r="A14" s="438" t="s">
        <v>320</v>
      </c>
      <c r="B14" s="593">
        <v>17939</v>
      </c>
      <c r="C14" s="438" t="s">
        <v>838</v>
      </c>
      <c r="D14" s="438" t="s">
        <v>1182</v>
      </c>
      <c r="E14" s="438" t="s">
        <v>667</v>
      </c>
      <c r="F14" s="732">
        <v>70</v>
      </c>
      <c r="G14" s="732">
        <v>70</v>
      </c>
      <c r="H14" s="601">
        <v>309.14025800000013</v>
      </c>
      <c r="I14" s="601">
        <v>309.14025800000013</v>
      </c>
      <c r="K14" s="151"/>
      <c r="L14" s="151"/>
    </row>
    <row r="15" spans="1:12">
      <c r="A15" s="438" t="s">
        <v>320</v>
      </c>
      <c r="B15" s="593">
        <v>22734</v>
      </c>
      <c r="C15" s="438" t="s">
        <v>760</v>
      </c>
      <c r="D15" s="438" t="s">
        <v>1182</v>
      </c>
      <c r="E15" s="438" t="s">
        <v>667</v>
      </c>
      <c r="F15" s="732">
        <v>242</v>
      </c>
      <c r="G15" s="732">
        <v>124</v>
      </c>
      <c r="H15" s="601">
        <v>12005.607995000004</v>
      </c>
      <c r="I15" s="601">
        <v>9641.4938469999997</v>
      </c>
      <c r="K15" s="151"/>
      <c r="L15" s="151"/>
    </row>
    <row r="16" spans="1:12" hidden="1">
      <c r="A16" s="438" t="s">
        <v>320</v>
      </c>
      <c r="B16" s="593">
        <v>18145</v>
      </c>
      <c r="C16" s="438" t="s">
        <v>1217</v>
      </c>
      <c r="D16" s="438" t="s">
        <v>1180</v>
      </c>
      <c r="E16" s="438" t="s">
        <v>660</v>
      </c>
      <c r="F16" s="732">
        <v>8</v>
      </c>
      <c r="G16" s="732">
        <v>8</v>
      </c>
      <c r="H16" s="601">
        <v>0</v>
      </c>
      <c r="I16" s="601">
        <v>0</v>
      </c>
      <c r="K16" s="151"/>
      <c r="L16" s="151"/>
    </row>
    <row r="17" spans="1:12" hidden="1">
      <c r="A17" s="438"/>
      <c r="B17" s="593">
        <v>17048</v>
      </c>
      <c r="C17" s="438" t="s">
        <v>459</v>
      </c>
      <c r="D17" s="438" t="s">
        <v>1178</v>
      </c>
      <c r="E17" s="438" t="s">
        <v>657</v>
      </c>
      <c r="F17" s="732">
        <v>109</v>
      </c>
      <c r="G17" s="732">
        <v>61</v>
      </c>
      <c r="H17" s="601">
        <v>696693.45434699999</v>
      </c>
      <c r="I17" s="601">
        <v>263099.222228</v>
      </c>
      <c r="K17" s="151"/>
      <c r="L17" s="151"/>
    </row>
    <row r="18" spans="1:12">
      <c r="A18" s="438" t="s">
        <v>320</v>
      </c>
      <c r="B18" s="593">
        <v>16082</v>
      </c>
      <c r="C18" s="438" t="s">
        <v>488</v>
      </c>
      <c r="D18" s="438" t="s">
        <v>1182</v>
      </c>
      <c r="E18" s="438" t="s">
        <v>667</v>
      </c>
      <c r="F18" s="732">
        <v>366</v>
      </c>
      <c r="G18" s="732">
        <v>12</v>
      </c>
      <c r="H18" s="601">
        <v>98499.087192000006</v>
      </c>
      <c r="I18" s="601">
        <v>80855.513527000003</v>
      </c>
      <c r="K18" s="151"/>
      <c r="L18" s="151"/>
    </row>
    <row r="19" spans="1:12">
      <c r="A19" s="438" t="s">
        <v>320</v>
      </c>
      <c r="B19" s="593">
        <v>16402</v>
      </c>
      <c r="C19" s="438" t="s">
        <v>510</v>
      </c>
      <c r="D19" s="438" t="s">
        <v>1181</v>
      </c>
      <c r="E19" s="438" t="s">
        <v>647</v>
      </c>
      <c r="F19" s="732">
        <v>14</v>
      </c>
      <c r="G19" s="732">
        <v>3</v>
      </c>
      <c r="H19" s="601">
        <v>40420.770964000003</v>
      </c>
      <c r="I19" s="601">
        <v>37070.538435000002</v>
      </c>
      <c r="K19" s="151"/>
      <c r="L19" s="151"/>
    </row>
    <row r="20" spans="1:12">
      <c r="A20" s="438" t="s">
        <v>320</v>
      </c>
      <c r="B20" s="593">
        <v>17292</v>
      </c>
      <c r="C20" s="438" t="s">
        <v>789</v>
      </c>
      <c r="D20" s="438" t="s">
        <v>1181</v>
      </c>
      <c r="E20" s="438" t="s">
        <v>802</v>
      </c>
      <c r="F20" s="732">
        <v>35</v>
      </c>
      <c r="G20" s="732">
        <v>26</v>
      </c>
      <c r="H20" s="601">
        <v>27744.091512999999</v>
      </c>
      <c r="I20" s="601">
        <v>8548.7754610000011</v>
      </c>
      <c r="K20" s="151"/>
      <c r="L20" s="151"/>
    </row>
    <row r="21" spans="1:12" hidden="1">
      <c r="A21" s="438" t="s">
        <v>320</v>
      </c>
      <c r="B21" s="593">
        <v>19219</v>
      </c>
      <c r="C21" s="438" t="s">
        <v>377</v>
      </c>
      <c r="D21" s="438" t="s">
        <v>1180</v>
      </c>
      <c r="E21" s="438" t="s">
        <v>640</v>
      </c>
      <c r="F21" s="732">
        <v>177</v>
      </c>
      <c r="G21" s="732">
        <v>45</v>
      </c>
      <c r="H21" s="601">
        <v>9096.3052029999981</v>
      </c>
      <c r="I21" s="601">
        <v>4863.1935999999996</v>
      </c>
      <c r="K21" s="151"/>
      <c r="L21" s="151"/>
    </row>
    <row r="22" spans="1:12">
      <c r="A22" s="438" t="s">
        <v>320</v>
      </c>
      <c r="B22" s="593">
        <v>7367</v>
      </c>
      <c r="C22" s="438" t="s">
        <v>493</v>
      </c>
      <c r="D22" s="438" t="s">
        <v>1181</v>
      </c>
      <c r="E22" s="438" t="s">
        <v>636</v>
      </c>
      <c r="F22" s="732">
        <v>3</v>
      </c>
      <c r="G22" s="732">
        <v>1</v>
      </c>
      <c r="H22" s="601">
        <v>10479.485446999999</v>
      </c>
      <c r="I22" s="601">
        <v>7378.6557640000001</v>
      </c>
      <c r="K22" s="151"/>
      <c r="L22" s="151"/>
    </row>
    <row r="23" spans="1:12">
      <c r="A23" s="438" t="s">
        <v>320</v>
      </c>
      <c r="B23" s="593">
        <v>16143</v>
      </c>
      <c r="C23" s="438" t="s">
        <v>620</v>
      </c>
      <c r="D23" s="438" t="s">
        <v>1183</v>
      </c>
      <c r="E23" s="438" t="s">
        <v>645</v>
      </c>
      <c r="F23" s="732">
        <v>12</v>
      </c>
      <c r="G23" s="732">
        <v>7</v>
      </c>
      <c r="H23" s="601">
        <v>2340.807992</v>
      </c>
      <c r="I23" s="601">
        <v>24.021156999999999</v>
      </c>
      <c r="K23" s="151"/>
      <c r="L23" s="151"/>
    </row>
    <row r="24" spans="1:12">
      <c r="A24" s="438" t="s">
        <v>320</v>
      </c>
      <c r="B24" s="593">
        <v>17441</v>
      </c>
      <c r="C24" s="438" t="s">
        <v>784</v>
      </c>
      <c r="D24" s="438" t="s">
        <v>1190</v>
      </c>
      <c r="E24" s="438" t="s">
        <v>1191</v>
      </c>
      <c r="F24" s="732">
        <v>9</v>
      </c>
      <c r="G24" s="732">
        <v>7</v>
      </c>
      <c r="H24" s="601">
        <v>1110.16399</v>
      </c>
      <c r="I24" s="601">
        <v>836.02972599999998</v>
      </c>
      <c r="K24" s="151"/>
      <c r="L24" s="151"/>
    </row>
    <row r="25" spans="1:12">
      <c r="A25" s="438" t="s">
        <v>320</v>
      </c>
      <c r="B25" s="593">
        <v>8020</v>
      </c>
      <c r="C25" s="438" t="s">
        <v>555</v>
      </c>
      <c r="D25" s="438" t="s">
        <v>1184</v>
      </c>
      <c r="E25" s="438" t="s">
        <v>641</v>
      </c>
      <c r="F25" s="732">
        <v>37</v>
      </c>
      <c r="G25" s="732">
        <v>13</v>
      </c>
      <c r="H25" s="601">
        <v>1017.8511470000001</v>
      </c>
      <c r="I25" s="601">
        <v>948.10753800000009</v>
      </c>
      <c r="K25" s="151"/>
      <c r="L25" s="151"/>
    </row>
    <row r="26" spans="1:12" hidden="1">
      <c r="A26" s="438" t="s">
        <v>321</v>
      </c>
      <c r="B26" s="594">
        <v>22394</v>
      </c>
      <c r="C26" s="595" t="s">
        <v>478</v>
      </c>
      <c r="D26" s="595" t="s">
        <v>1180</v>
      </c>
      <c r="E26" s="596" t="s">
        <v>888</v>
      </c>
      <c r="F26" s="732">
        <v>18</v>
      </c>
      <c r="G26" s="732">
        <v>1</v>
      </c>
      <c r="H26" s="601">
        <v>537</v>
      </c>
      <c r="I26" s="601">
        <v>0</v>
      </c>
      <c r="K26" s="151"/>
      <c r="L26" s="151"/>
    </row>
    <row r="27" spans="1:12">
      <c r="A27" s="438" t="s">
        <v>320</v>
      </c>
      <c r="B27" s="593">
        <v>17067</v>
      </c>
      <c r="C27" s="438" t="s">
        <v>713</v>
      </c>
      <c r="D27" s="438" t="s">
        <v>1182</v>
      </c>
      <c r="E27" s="438" t="s">
        <v>667</v>
      </c>
      <c r="F27" s="732">
        <v>12</v>
      </c>
      <c r="G27" s="732">
        <v>11</v>
      </c>
      <c r="H27" s="601">
        <v>339.021006</v>
      </c>
      <c r="I27" s="601">
        <v>12.977065</v>
      </c>
      <c r="K27" s="151"/>
      <c r="L27" s="151"/>
    </row>
    <row r="28" spans="1:12">
      <c r="A28" s="438" t="s">
        <v>320</v>
      </c>
      <c r="B28" s="593">
        <v>16530</v>
      </c>
      <c r="C28" s="438" t="s">
        <v>538</v>
      </c>
      <c r="D28" s="438" t="s">
        <v>1183</v>
      </c>
      <c r="E28" s="438" t="s">
        <v>645</v>
      </c>
      <c r="F28" s="732">
        <v>67</v>
      </c>
      <c r="G28" s="732">
        <v>39</v>
      </c>
      <c r="H28" s="601">
        <v>292.53594099999998</v>
      </c>
      <c r="I28" s="601">
        <v>233.86803699999999</v>
      </c>
      <c r="K28" s="151"/>
      <c r="L28" s="151"/>
    </row>
    <row r="29" spans="1:12" hidden="1">
      <c r="A29" s="438"/>
      <c r="B29" s="594">
        <v>19405</v>
      </c>
      <c r="C29" s="595" t="s">
        <v>383</v>
      </c>
      <c r="D29" s="595" t="s">
        <v>1180</v>
      </c>
      <c r="E29" s="596" t="s">
        <v>640</v>
      </c>
      <c r="F29" s="732">
        <v>21</v>
      </c>
      <c r="G29" s="732">
        <v>13</v>
      </c>
      <c r="H29" s="601">
        <v>240.46274500000001</v>
      </c>
      <c r="I29" s="601">
        <v>101.412436</v>
      </c>
      <c r="K29" s="151"/>
      <c r="L29" s="151"/>
    </row>
    <row r="30" spans="1:12" hidden="1">
      <c r="A30" s="438" t="s">
        <v>321</v>
      </c>
      <c r="B30" s="594">
        <v>19973</v>
      </c>
      <c r="C30" s="595" t="s">
        <v>406</v>
      </c>
      <c r="D30" s="595" t="s">
        <v>1180</v>
      </c>
      <c r="E30" s="596" t="s">
        <v>676</v>
      </c>
      <c r="F30" s="732">
        <v>545</v>
      </c>
      <c r="G30" s="732">
        <v>16</v>
      </c>
      <c r="H30" s="601">
        <v>131</v>
      </c>
      <c r="I30" s="601">
        <v>17</v>
      </c>
      <c r="K30" s="151"/>
      <c r="L30" s="151"/>
    </row>
    <row r="31" spans="1:12" hidden="1">
      <c r="A31" s="438" t="s">
        <v>321</v>
      </c>
      <c r="B31" s="594">
        <v>21450</v>
      </c>
      <c r="C31" s="595" t="s">
        <v>1109</v>
      </c>
      <c r="D31" s="595" t="s">
        <v>1180</v>
      </c>
      <c r="E31" s="596" t="s">
        <v>888</v>
      </c>
      <c r="F31" s="732">
        <v>2</v>
      </c>
      <c r="G31" s="732">
        <v>1</v>
      </c>
      <c r="H31" s="601">
        <v>37</v>
      </c>
      <c r="I31" s="601">
        <v>0</v>
      </c>
      <c r="K31" s="151"/>
      <c r="L31" s="151"/>
    </row>
    <row r="32" spans="1:12">
      <c r="A32" s="438" t="s">
        <v>320</v>
      </c>
      <c r="B32" s="593">
        <v>16015</v>
      </c>
      <c r="C32" s="438" t="s">
        <v>769</v>
      </c>
      <c r="D32" s="438" t="s">
        <v>1197</v>
      </c>
      <c r="E32" s="438" t="s">
        <v>770</v>
      </c>
      <c r="F32" s="732">
        <v>8</v>
      </c>
      <c r="G32" s="732">
        <v>7</v>
      </c>
      <c r="H32" s="601">
        <v>11.66</v>
      </c>
      <c r="I32" s="601">
        <v>0</v>
      </c>
      <c r="K32" s="151"/>
      <c r="L32" s="151"/>
    </row>
    <row r="33" spans="1:12">
      <c r="A33" s="438"/>
      <c r="B33" s="593">
        <v>16562</v>
      </c>
      <c r="C33" s="438" t="s">
        <v>1233</v>
      </c>
      <c r="D33" s="438" t="s">
        <v>1205</v>
      </c>
      <c r="E33" s="438"/>
      <c r="F33" s="732">
        <v>3</v>
      </c>
      <c r="G33" s="732">
        <v>3</v>
      </c>
      <c r="H33" s="601">
        <v>638.45387399999993</v>
      </c>
      <c r="I33" s="601">
        <v>638.45387399999993</v>
      </c>
      <c r="K33" s="151"/>
      <c r="L33" s="151"/>
    </row>
    <row r="34" spans="1:12">
      <c r="A34" s="438" t="s">
        <v>320</v>
      </c>
      <c r="B34" s="593">
        <v>8062</v>
      </c>
      <c r="C34" s="438" t="s">
        <v>518</v>
      </c>
      <c r="D34" s="438" t="s">
        <v>1181</v>
      </c>
      <c r="E34" s="438" t="s">
        <v>647</v>
      </c>
      <c r="F34" s="732">
        <v>15</v>
      </c>
      <c r="G34" s="732">
        <v>10</v>
      </c>
      <c r="H34" s="601">
        <v>6.2392769999999995</v>
      </c>
      <c r="I34" s="601">
        <v>6.2392769999999995</v>
      </c>
      <c r="K34" s="151"/>
      <c r="L34" s="151"/>
    </row>
    <row r="35" spans="1:12" hidden="1">
      <c r="A35" s="438" t="s">
        <v>321</v>
      </c>
      <c r="B35" s="594">
        <v>20912</v>
      </c>
      <c r="C35" s="595" t="s">
        <v>437</v>
      </c>
      <c r="D35" s="595" t="s">
        <v>1180</v>
      </c>
      <c r="E35" s="596" t="s">
        <v>636</v>
      </c>
      <c r="F35" s="732">
        <v>8</v>
      </c>
      <c r="G35" s="732">
        <v>4</v>
      </c>
      <c r="H35" s="601">
        <v>0</v>
      </c>
      <c r="I35" s="601">
        <v>0</v>
      </c>
      <c r="K35" s="151"/>
      <c r="L35" s="151"/>
    </row>
    <row r="36" spans="1:12" hidden="1">
      <c r="A36" s="438" t="s">
        <v>320</v>
      </c>
      <c r="B36" s="593">
        <v>23286</v>
      </c>
      <c r="C36" s="438" t="s">
        <v>839</v>
      </c>
      <c r="D36" s="438" t="s">
        <v>1178</v>
      </c>
      <c r="E36" s="438" t="s">
        <v>639</v>
      </c>
      <c r="F36" s="732">
        <v>19</v>
      </c>
      <c r="G36" s="732">
        <v>19</v>
      </c>
      <c r="H36" s="601">
        <v>0</v>
      </c>
      <c r="I36" s="601">
        <v>0</v>
      </c>
      <c r="K36" s="151"/>
      <c r="L36" s="151"/>
    </row>
    <row r="37" spans="1:12">
      <c r="A37" s="438"/>
      <c r="B37" s="593">
        <v>16581</v>
      </c>
      <c r="C37" s="438" t="s">
        <v>1351</v>
      </c>
      <c r="D37" s="438" t="s">
        <v>1183</v>
      </c>
      <c r="E37" s="438" t="s">
        <v>1186</v>
      </c>
      <c r="F37" s="732">
        <v>1</v>
      </c>
      <c r="G37" s="732">
        <v>1</v>
      </c>
      <c r="H37" s="601">
        <v>21.322856999999999</v>
      </c>
      <c r="I37" s="601">
        <v>21.322856999999999</v>
      </c>
      <c r="K37" s="151"/>
      <c r="L37" s="151"/>
    </row>
    <row r="38" spans="1:12">
      <c r="A38" s="438" t="s">
        <v>320</v>
      </c>
      <c r="B38" s="593">
        <v>8869</v>
      </c>
      <c r="C38" s="438" t="s">
        <v>70</v>
      </c>
      <c r="D38" s="438" t="s">
        <v>1177</v>
      </c>
      <c r="E38" s="438" t="s">
        <v>647</v>
      </c>
      <c r="F38" s="438">
        <v>1172</v>
      </c>
      <c r="G38" s="438">
        <v>407</v>
      </c>
      <c r="H38" s="439">
        <v>989772.19921999879</v>
      </c>
      <c r="I38" s="439">
        <v>316070.87722600001</v>
      </c>
      <c r="K38" s="731"/>
    </row>
    <row r="39" spans="1:12" hidden="1">
      <c r="A39" s="438" t="s">
        <v>321</v>
      </c>
      <c r="B39" s="594">
        <v>22122</v>
      </c>
      <c r="C39" s="595" t="s">
        <v>322</v>
      </c>
      <c r="D39" s="595" t="s">
        <v>1180</v>
      </c>
      <c r="E39" s="596" t="s">
        <v>674</v>
      </c>
      <c r="F39" s="438">
        <v>1201</v>
      </c>
      <c r="G39" s="438">
        <v>0</v>
      </c>
      <c r="H39" s="439">
        <v>106958</v>
      </c>
      <c r="I39" s="439">
        <v>0</v>
      </c>
      <c r="K39" s="731"/>
    </row>
    <row r="40" spans="1:12">
      <c r="A40" s="438" t="s">
        <v>320</v>
      </c>
      <c r="B40" s="593">
        <v>8174</v>
      </c>
      <c r="C40" s="438" t="s">
        <v>482</v>
      </c>
      <c r="D40" s="438" t="s">
        <v>1181</v>
      </c>
      <c r="E40" s="438" t="s">
        <v>643</v>
      </c>
      <c r="F40" s="438">
        <v>706</v>
      </c>
      <c r="G40" s="438">
        <v>22</v>
      </c>
      <c r="H40" s="439">
        <v>97792.47425600006</v>
      </c>
      <c r="I40" s="439">
        <v>2401.5173820000005</v>
      </c>
      <c r="K40" s="731"/>
    </row>
    <row r="41" spans="1:12">
      <c r="A41" s="438" t="s">
        <v>320</v>
      </c>
      <c r="B41" s="593">
        <v>14707</v>
      </c>
      <c r="C41" s="438" t="s">
        <v>495</v>
      </c>
      <c r="D41" s="438" t="s">
        <v>1186</v>
      </c>
      <c r="E41" s="438" t="s">
        <v>657</v>
      </c>
      <c r="F41" s="438">
        <v>43</v>
      </c>
      <c r="G41" s="438">
        <v>20</v>
      </c>
      <c r="H41" s="439">
        <v>62653.837980999997</v>
      </c>
      <c r="I41" s="439">
        <v>2356.9921219999997</v>
      </c>
      <c r="K41" s="731"/>
    </row>
    <row r="42" spans="1:12">
      <c r="A42" s="438" t="s">
        <v>320</v>
      </c>
      <c r="B42" s="593">
        <v>10693</v>
      </c>
      <c r="C42" s="438" t="s">
        <v>492</v>
      </c>
      <c r="D42" s="438" t="s">
        <v>1184</v>
      </c>
      <c r="E42" s="438" t="s">
        <v>644</v>
      </c>
      <c r="F42" s="438">
        <v>1085</v>
      </c>
      <c r="G42" s="438">
        <v>481</v>
      </c>
      <c r="H42" s="439">
        <v>55156.759344000006</v>
      </c>
      <c r="I42" s="439">
        <v>26872.118642000012</v>
      </c>
      <c r="K42" s="731"/>
    </row>
    <row r="43" spans="1:12">
      <c r="A43" s="438" t="s">
        <v>320</v>
      </c>
      <c r="B43" s="593">
        <v>14253</v>
      </c>
      <c r="C43" s="438" t="s">
        <v>502</v>
      </c>
      <c r="D43" s="438" t="s">
        <v>1179</v>
      </c>
      <c r="E43" s="438" t="s">
        <v>640</v>
      </c>
      <c r="F43" s="438">
        <v>264</v>
      </c>
      <c r="G43" s="438">
        <v>68</v>
      </c>
      <c r="H43" s="439">
        <v>48013.796202999998</v>
      </c>
      <c r="I43" s="439">
        <v>46885.834257000002</v>
      </c>
      <c r="K43" s="731"/>
    </row>
    <row r="44" spans="1:12">
      <c r="A44" s="438" t="s">
        <v>320</v>
      </c>
      <c r="B44" s="593">
        <v>16466</v>
      </c>
      <c r="C44" s="438" t="s">
        <v>712</v>
      </c>
      <c r="D44" s="438" t="s">
        <v>1181</v>
      </c>
      <c r="E44" s="438" t="s">
        <v>802</v>
      </c>
      <c r="F44" s="438">
        <v>75</v>
      </c>
      <c r="G44" s="438">
        <v>0</v>
      </c>
      <c r="H44" s="439">
        <v>47466.168992999992</v>
      </c>
      <c r="I44" s="439">
        <v>0</v>
      </c>
      <c r="K44" s="731"/>
    </row>
    <row r="45" spans="1:12">
      <c r="A45" s="438" t="s">
        <v>320</v>
      </c>
      <c r="B45" s="593">
        <v>16153</v>
      </c>
      <c r="C45" s="438" t="s">
        <v>503</v>
      </c>
      <c r="D45" s="438" t="s">
        <v>1181</v>
      </c>
      <c r="E45" s="438" t="s">
        <v>657</v>
      </c>
      <c r="F45" s="438">
        <v>150</v>
      </c>
      <c r="G45" s="438">
        <v>96</v>
      </c>
      <c r="H45" s="439">
        <v>39669.614020000008</v>
      </c>
      <c r="I45" s="439">
        <v>24012.834024</v>
      </c>
      <c r="K45" s="731"/>
    </row>
    <row r="46" spans="1:12">
      <c r="A46" s="438" t="s">
        <v>320</v>
      </c>
      <c r="B46" s="593">
        <v>16571</v>
      </c>
      <c r="C46" s="438" t="s">
        <v>494</v>
      </c>
      <c r="D46" s="438" t="s">
        <v>1183</v>
      </c>
      <c r="E46" s="438" t="s">
        <v>645</v>
      </c>
      <c r="F46" s="438">
        <v>38</v>
      </c>
      <c r="G46" s="438">
        <v>27</v>
      </c>
      <c r="H46" s="439">
        <v>29222.204119999999</v>
      </c>
      <c r="I46" s="439">
        <v>29210.273017</v>
      </c>
      <c r="K46" s="731"/>
    </row>
    <row r="47" spans="1:12">
      <c r="A47" s="438" t="s">
        <v>320</v>
      </c>
      <c r="B47" s="593">
        <v>16000</v>
      </c>
      <c r="C47" s="438" t="s">
        <v>507</v>
      </c>
      <c r="D47" s="438" t="s">
        <v>1189</v>
      </c>
      <c r="E47" s="438" t="s">
        <v>637</v>
      </c>
      <c r="F47" s="438">
        <v>84</v>
      </c>
      <c r="G47" s="438">
        <v>60</v>
      </c>
      <c r="H47" s="439">
        <v>28539.951433999999</v>
      </c>
      <c r="I47" s="439">
        <v>1809.9599070000004</v>
      </c>
      <c r="K47" s="731"/>
    </row>
    <row r="48" spans="1:12">
      <c r="A48" s="438" t="s">
        <v>320</v>
      </c>
      <c r="B48" s="593">
        <v>8568</v>
      </c>
      <c r="C48" s="438" t="s">
        <v>562</v>
      </c>
      <c r="D48" s="438" t="s">
        <v>1183</v>
      </c>
      <c r="E48" s="438" t="s">
        <v>645</v>
      </c>
      <c r="F48" s="438">
        <v>21</v>
      </c>
      <c r="G48" s="438">
        <v>8</v>
      </c>
      <c r="H48" s="439">
        <v>19465.622387999996</v>
      </c>
      <c r="I48" s="439">
        <v>12093.865930999998</v>
      </c>
      <c r="K48" s="731"/>
    </row>
    <row r="49" spans="1:11" hidden="1">
      <c r="A49" s="438" t="s">
        <v>321</v>
      </c>
      <c r="B49" s="594">
        <v>18805</v>
      </c>
      <c r="C49" s="595" t="s">
        <v>339</v>
      </c>
      <c r="D49" s="595" t="s">
        <v>1178</v>
      </c>
      <c r="E49" s="596" t="s">
        <v>653</v>
      </c>
      <c r="F49" s="438">
        <v>73</v>
      </c>
      <c r="G49" s="438">
        <v>35</v>
      </c>
      <c r="H49" s="439">
        <v>17161.376747999999</v>
      </c>
      <c r="I49" s="439">
        <v>4148.6767489999993</v>
      </c>
      <c r="K49" s="731"/>
    </row>
    <row r="50" spans="1:11">
      <c r="A50" s="438" t="s">
        <v>320</v>
      </c>
      <c r="B50" s="593">
        <v>14033</v>
      </c>
      <c r="C50" s="438" t="s">
        <v>489</v>
      </c>
      <c r="D50" s="438" t="s">
        <v>1181</v>
      </c>
      <c r="E50" s="438" t="s">
        <v>641</v>
      </c>
      <c r="F50" s="438">
        <v>2595</v>
      </c>
      <c r="G50" s="438">
        <v>10</v>
      </c>
      <c r="H50" s="439">
        <v>16534.236718000018</v>
      </c>
      <c r="I50" s="439">
        <v>387.57899000000003</v>
      </c>
      <c r="K50" s="731"/>
    </row>
    <row r="51" spans="1:11" hidden="1">
      <c r="A51" s="438" t="s">
        <v>321</v>
      </c>
      <c r="B51" s="594">
        <v>17960</v>
      </c>
      <c r="C51" s="595" t="s">
        <v>687</v>
      </c>
      <c r="D51" s="595" t="s">
        <v>1178</v>
      </c>
      <c r="E51" s="596" t="s">
        <v>639</v>
      </c>
      <c r="F51" s="438">
        <v>680</v>
      </c>
      <c r="G51" s="438">
        <v>253</v>
      </c>
      <c r="H51" s="601">
        <v>15299.500887</v>
      </c>
      <c r="I51" s="601">
        <v>11029.348482999998</v>
      </c>
      <c r="K51" s="731"/>
    </row>
    <row r="52" spans="1:11">
      <c r="A52" s="438" t="s">
        <v>320</v>
      </c>
      <c r="B52" s="593">
        <v>9067</v>
      </c>
      <c r="C52" s="438" t="s">
        <v>526</v>
      </c>
      <c r="D52" s="438" t="s">
        <v>1185</v>
      </c>
      <c r="E52" s="438" t="s">
        <v>639</v>
      </c>
      <c r="F52" s="438">
        <v>108</v>
      </c>
      <c r="G52" s="438">
        <v>53</v>
      </c>
      <c r="H52" s="439">
        <v>12336.229135</v>
      </c>
      <c r="I52" s="439">
        <v>9346.5954320000001</v>
      </c>
      <c r="K52" s="731"/>
    </row>
    <row r="53" spans="1:11">
      <c r="A53" s="438" t="s">
        <v>320</v>
      </c>
      <c r="B53" s="593">
        <v>15766</v>
      </c>
      <c r="C53" s="438" t="s">
        <v>614</v>
      </c>
      <c r="D53" s="438" t="s">
        <v>1181</v>
      </c>
      <c r="E53" s="438" t="s">
        <v>652</v>
      </c>
      <c r="F53" s="438">
        <v>6</v>
      </c>
      <c r="G53" s="438">
        <v>2</v>
      </c>
      <c r="H53" s="439">
        <v>11565.420222000001</v>
      </c>
      <c r="I53" s="439">
        <v>9.7342320000000004</v>
      </c>
      <c r="K53" s="731"/>
    </row>
    <row r="54" spans="1:11">
      <c r="A54" s="438" t="s">
        <v>320</v>
      </c>
      <c r="B54" s="593">
        <v>15417</v>
      </c>
      <c r="C54" s="438" t="s">
        <v>529</v>
      </c>
      <c r="D54" s="438" t="s">
        <v>1183</v>
      </c>
      <c r="E54" s="438" t="s">
        <v>649</v>
      </c>
      <c r="F54" s="438">
        <v>127</v>
      </c>
      <c r="G54" s="438">
        <v>68</v>
      </c>
      <c r="H54" s="439">
        <v>9711.052021999998</v>
      </c>
      <c r="I54" s="439">
        <v>9475.3133969999981</v>
      </c>
      <c r="K54" s="731"/>
    </row>
    <row r="55" spans="1:11">
      <c r="A55" s="438" t="s">
        <v>320</v>
      </c>
      <c r="B55" s="593">
        <v>11818</v>
      </c>
      <c r="C55" s="438" t="s">
        <v>1203</v>
      </c>
      <c r="D55" s="438" t="s">
        <v>1181</v>
      </c>
      <c r="E55" s="438" t="s">
        <v>653</v>
      </c>
      <c r="F55" s="438">
        <v>360</v>
      </c>
      <c r="G55" s="438">
        <v>0</v>
      </c>
      <c r="H55" s="439">
        <v>7944.4940869999982</v>
      </c>
      <c r="I55" s="439">
        <v>0</v>
      </c>
      <c r="K55" s="731"/>
    </row>
    <row r="56" spans="1:11">
      <c r="A56" s="438" t="s">
        <v>320</v>
      </c>
      <c r="B56" s="593">
        <v>14238</v>
      </c>
      <c r="C56" s="438" t="s">
        <v>717</v>
      </c>
      <c r="D56" s="438" t="s">
        <v>1179</v>
      </c>
      <c r="E56" s="438" t="s">
        <v>643</v>
      </c>
      <c r="F56" s="438">
        <v>4</v>
      </c>
      <c r="G56" s="438">
        <v>2</v>
      </c>
      <c r="H56" s="439">
        <v>6358.9806680000002</v>
      </c>
      <c r="I56" s="439">
        <v>1496.7921120000001</v>
      </c>
      <c r="K56" s="731"/>
    </row>
    <row r="57" spans="1:11" hidden="1">
      <c r="A57" s="438" t="s">
        <v>321</v>
      </c>
      <c r="B57" s="594">
        <v>20340</v>
      </c>
      <c r="C57" s="595" t="s">
        <v>417</v>
      </c>
      <c r="D57" s="595" t="s">
        <v>1178</v>
      </c>
      <c r="E57" s="596" t="s">
        <v>643</v>
      </c>
      <c r="F57" s="438">
        <v>94</v>
      </c>
      <c r="G57" s="438">
        <v>29</v>
      </c>
      <c r="H57" s="439">
        <v>5319.1353560000016</v>
      </c>
      <c r="I57" s="439">
        <v>5319.1353560000016</v>
      </c>
      <c r="K57" s="731"/>
    </row>
    <row r="58" spans="1:11" hidden="1">
      <c r="A58" s="438" t="s">
        <v>321</v>
      </c>
      <c r="B58" s="594">
        <v>21497</v>
      </c>
      <c r="C58" s="595" t="s">
        <v>449</v>
      </c>
      <c r="D58" s="595" t="s">
        <v>1180</v>
      </c>
      <c r="E58" s="596" t="s">
        <v>660</v>
      </c>
      <c r="F58" s="438">
        <v>33</v>
      </c>
      <c r="G58" s="438">
        <v>13</v>
      </c>
      <c r="H58" s="439">
        <v>5204.1238550000007</v>
      </c>
      <c r="I58" s="439">
        <v>4884.9252210000004</v>
      </c>
      <c r="K58" s="731"/>
    </row>
    <row r="59" spans="1:11" hidden="1">
      <c r="A59" s="438" t="s">
        <v>321</v>
      </c>
      <c r="B59" s="594">
        <v>18730</v>
      </c>
      <c r="C59" s="595" t="s">
        <v>325</v>
      </c>
      <c r="D59" s="595" t="s">
        <v>1180</v>
      </c>
      <c r="E59" s="596" t="s">
        <v>637</v>
      </c>
      <c r="F59" s="438">
        <v>108</v>
      </c>
      <c r="G59" s="438">
        <v>54</v>
      </c>
      <c r="H59" s="439">
        <v>4571.6333300000006</v>
      </c>
      <c r="I59" s="439">
        <v>2585.8625360000001</v>
      </c>
      <c r="K59" s="731"/>
    </row>
    <row r="60" spans="1:11" hidden="1">
      <c r="A60" s="438" t="s">
        <v>321</v>
      </c>
      <c r="B60" s="594">
        <v>18518</v>
      </c>
      <c r="C60" s="595" t="s">
        <v>356</v>
      </c>
      <c r="D60" s="595" t="s">
        <v>1180</v>
      </c>
      <c r="E60" s="596" t="s">
        <v>656</v>
      </c>
      <c r="F60" s="438">
        <v>57</v>
      </c>
      <c r="G60" s="438">
        <v>1</v>
      </c>
      <c r="H60" s="439">
        <v>4503</v>
      </c>
      <c r="I60" s="439">
        <v>8</v>
      </c>
      <c r="K60" s="731"/>
    </row>
    <row r="61" spans="1:11">
      <c r="A61" s="438" t="s">
        <v>320</v>
      </c>
      <c r="B61" s="593">
        <v>12059</v>
      </c>
      <c r="C61" s="438" t="s">
        <v>511</v>
      </c>
      <c r="D61" s="438" t="s">
        <v>1183</v>
      </c>
      <c r="E61" s="438" t="s">
        <v>645</v>
      </c>
      <c r="F61" s="438">
        <v>55</v>
      </c>
      <c r="G61" s="438">
        <v>29</v>
      </c>
      <c r="H61" s="439">
        <v>4051.9382850000002</v>
      </c>
      <c r="I61" s="439">
        <v>959.10576400000025</v>
      </c>
      <c r="K61" s="731"/>
    </row>
    <row r="62" spans="1:11" hidden="1">
      <c r="A62" s="438" t="s">
        <v>321</v>
      </c>
      <c r="B62" s="594">
        <v>20650</v>
      </c>
      <c r="C62" s="595" t="s">
        <v>690</v>
      </c>
      <c r="D62" s="595" t="s">
        <v>1180</v>
      </c>
      <c r="E62" s="596" t="s">
        <v>676</v>
      </c>
      <c r="F62" s="438">
        <v>343</v>
      </c>
      <c r="G62" s="438">
        <v>0</v>
      </c>
      <c r="H62" s="439">
        <v>3880</v>
      </c>
      <c r="I62" s="439">
        <v>0</v>
      </c>
      <c r="K62" s="731"/>
    </row>
    <row r="63" spans="1:11">
      <c r="A63" s="438" t="s">
        <v>320</v>
      </c>
      <c r="B63" s="593">
        <v>15499</v>
      </c>
      <c r="C63" s="438" t="s">
        <v>612</v>
      </c>
      <c r="D63" s="438" t="s">
        <v>1186</v>
      </c>
      <c r="E63" s="438" t="s">
        <v>645</v>
      </c>
      <c r="F63" s="438">
        <v>33</v>
      </c>
      <c r="G63" s="438">
        <v>5</v>
      </c>
      <c r="H63" s="439">
        <v>3748.169179</v>
      </c>
      <c r="I63" s="439">
        <v>78.17916799999999</v>
      </c>
      <c r="K63" s="731"/>
    </row>
    <row r="64" spans="1:11">
      <c r="A64" s="438" t="s">
        <v>320</v>
      </c>
      <c r="B64" s="593">
        <v>9304</v>
      </c>
      <c r="C64" s="438" t="s">
        <v>571</v>
      </c>
      <c r="D64" s="438" t="s">
        <v>1181</v>
      </c>
      <c r="E64" s="438" t="s">
        <v>652</v>
      </c>
      <c r="F64" s="438">
        <v>64</v>
      </c>
      <c r="G64" s="438">
        <v>35</v>
      </c>
      <c r="H64" s="439">
        <v>3718.4886050000018</v>
      </c>
      <c r="I64" s="439">
        <v>3687.2535370000014</v>
      </c>
      <c r="K64" s="731"/>
    </row>
    <row r="65" spans="1:11">
      <c r="A65" s="438" t="s">
        <v>320</v>
      </c>
      <c r="B65" s="593">
        <v>15988</v>
      </c>
      <c r="C65" s="438" t="s">
        <v>618</v>
      </c>
      <c r="D65" s="438" t="s">
        <v>1181</v>
      </c>
      <c r="E65" s="438" t="s">
        <v>636</v>
      </c>
      <c r="F65" s="438">
        <v>3</v>
      </c>
      <c r="G65" s="438">
        <v>1</v>
      </c>
      <c r="H65" s="439">
        <v>3707.8665899999996</v>
      </c>
      <c r="I65" s="439">
        <v>99.401140999999996</v>
      </c>
      <c r="K65" s="731"/>
    </row>
    <row r="66" spans="1:11">
      <c r="A66" s="438" t="s">
        <v>320</v>
      </c>
      <c r="B66" s="593">
        <v>6493</v>
      </c>
      <c r="C66" s="438" t="s">
        <v>801</v>
      </c>
      <c r="D66" s="438" t="s">
        <v>1181</v>
      </c>
      <c r="E66" s="438" t="s">
        <v>643</v>
      </c>
      <c r="F66" s="438">
        <v>1</v>
      </c>
      <c r="G66" s="438">
        <v>0</v>
      </c>
      <c r="H66" s="439">
        <v>3643.6683480000002</v>
      </c>
      <c r="I66" s="439">
        <v>0</v>
      </c>
      <c r="K66" s="731"/>
    </row>
    <row r="67" spans="1:11">
      <c r="A67" s="438" t="s">
        <v>320</v>
      </c>
      <c r="B67" s="593">
        <v>17708</v>
      </c>
      <c r="C67" s="438" t="s">
        <v>1204</v>
      </c>
      <c r="D67" s="438" t="s">
        <v>1181</v>
      </c>
      <c r="E67" s="438" t="s">
        <v>643</v>
      </c>
      <c r="F67" s="438">
        <v>984</v>
      </c>
      <c r="G67" s="438">
        <v>0</v>
      </c>
      <c r="H67" s="439">
        <v>3627.6803369999998</v>
      </c>
      <c r="I67" s="439">
        <v>0</v>
      </c>
      <c r="K67" s="731"/>
    </row>
    <row r="68" spans="1:11">
      <c r="A68" s="438" t="s">
        <v>320</v>
      </c>
      <c r="B68" s="593">
        <v>8695</v>
      </c>
      <c r="C68" s="438" t="s">
        <v>1027</v>
      </c>
      <c r="D68" s="438" t="s">
        <v>1181</v>
      </c>
      <c r="E68" s="438" t="s">
        <v>643</v>
      </c>
      <c r="F68" s="438">
        <v>1</v>
      </c>
      <c r="G68" s="438">
        <v>1</v>
      </c>
      <c r="H68" s="439">
        <v>3305.3218350000002</v>
      </c>
      <c r="I68" s="439">
        <v>3305.3218350000002</v>
      </c>
      <c r="K68" s="731"/>
    </row>
    <row r="69" spans="1:11">
      <c r="A69" s="438" t="s">
        <v>320</v>
      </c>
      <c r="B69" s="593">
        <v>894</v>
      </c>
      <c r="C69" s="438" t="s">
        <v>509</v>
      </c>
      <c r="D69" s="438" t="s">
        <v>1186</v>
      </c>
      <c r="E69" s="438" t="s">
        <v>637</v>
      </c>
      <c r="F69" s="438">
        <v>83</v>
      </c>
      <c r="G69" s="438">
        <v>28</v>
      </c>
      <c r="H69" s="439">
        <v>3264.0869070000008</v>
      </c>
      <c r="I69" s="439">
        <v>2767.5976970000006</v>
      </c>
      <c r="K69" s="731"/>
    </row>
    <row r="70" spans="1:11" hidden="1">
      <c r="A70" s="438" t="s">
        <v>321</v>
      </c>
      <c r="B70" s="594">
        <v>20242</v>
      </c>
      <c r="C70" s="595" t="s">
        <v>413</v>
      </c>
      <c r="D70" s="595" t="s">
        <v>1180</v>
      </c>
      <c r="E70" s="596" t="s">
        <v>676</v>
      </c>
      <c r="F70" s="438">
        <v>5</v>
      </c>
      <c r="G70" s="438">
        <v>1</v>
      </c>
      <c r="H70" s="439">
        <v>3238.473778</v>
      </c>
      <c r="I70" s="439">
        <v>3238.473778</v>
      </c>
      <c r="K70" s="731"/>
    </row>
    <row r="71" spans="1:11" hidden="1">
      <c r="A71" s="438" t="s">
        <v>320</v>
      </c>
      <c r="B71" s="593">
        <v>19734</v>
      </c>
      <c r="C71" s="438" t="s">
        <v>719</v>
      </c>
      <c r="D71" s="438" t="s">
        <v>1178</v>
      </c>
      <c r="E71" s="438" t="s">
        <v>738</v>
      </c>
      <c r="F71" s="438">
        <v>14</v>
      </c>
      <c r="G71" s="438">
        <v>6</v>
      </c>
      <c r="H71" s="439">
        <v>3016.2581029999997</v>
      </c>
      <c r="I71" s="439">
        <v>2974.9581119999998</v>
      </c>
      <c r="K71" s="731"/>
    </row>
    <row r="72" spans="1:11">
      <c r="A72" s="438" t="s">
        <v>320</v>
      </c>
      <c r="B72" s="593">
        <v>16099</v>
      </c>
      <c r="C72" s="438" t="s">
        <v>519</v>
      </c>
      <c r="D72" s="438" t="s">
        <v>1188</v>
      </c>
      <c r="E72" s="438" t="s">
        <v>641</v>
      </c>
      <c r="F72" s="438">
        <v>60</v>
      </c>
      <c r="G72" s="438">
        <v>37</v>
      </c>
      <c r="H72" s="439">
        <v>2935.963295999999</v>
      </c>
      <c r="I72" s="439">
        <v>2371.7093619999991</v>
      </c>
      <c r="K72" s="731"/>
    </row>
    <row r="73" spans="1:11">
      <c r="A73" s="438" t="s">
        <v>320</v>
      </c>
      <c r="B73" s="593">
        <v>8119</v>
      </c>
      <c r="C73" s="438" t="s">
        <v>558</v>
      </c>
      <c r="D73" s="438" t="s">
        <v>1181</v>
      </c>
      <c r="E73" s="438" t="s">
        <v>643</v>
      </c>
      <c r="F73" s="438">
        <v>6</v>
      </c>
      <c r="G73" s="438">
        <v>0</v>
      </c>
      <c r="H73" s="439">
        <v>2906.179005</v>
      </c>
      <c r="I73" s="439">
        <v>0</v>
      </c>
      <c r="K73" s="731"/>
    </row>
    <row r="74" spans="1:11" hidden="1">
      <c r="A74" s="438" t="s">
        <v>321</v>
      </c>
      <c r="B74" s="594">
        <v>16841</v>
      </c>
      <c r="C74" s="595" t="s">
        <v>683</v>
      </c>
      <c r="D74" s="595" t="s">
        <v>1178</v>
      </c>
      <c r="E74" s="596" t="s">
        <v>886</v>
      </c>
      <c r="F74" s="438">
        <v>184</v>
      </c>
      <c r="G74" s="438">
        <v>71</v>
      </c>
      <c r="H74" s="439">
        <v>2621.0875460000011</v>
      </c>
      <c r="I74" s="439">
        <v>2558.0875460000011</v>
      </c>
      <c r="K74" s="731"/>
    </row>
    <row r="75" spans="1:11">
      <c r="A75" s="438" t="s">
        <v>320</v>
      </c>
      <c r="B75" s="593">
        <v>12553</v>
      </c>
      <c r="C75" s="438" t="s">
        <v>521</v>
      </c>
      <c r="D75" s="438" t="s">
        <v>1196</v>
      </c>
      <c r="E75" s="438" t="s">
        <v>648</v>
      </c>
      <c r="F75" s="438">
        <v>142</v>
      </c>
      <c r="G75" s="438">
        <v>122</v>
      </c>
      <c r="H75" s="439">
        <v>2381.6754689999998</v>
      </c>
      <c r="I75" s="439">
        <v>240.31354200000004</v>
      </c>
      <c r="K75" s="731"/>
    </row>
    <row r="76" spans="1:11">
      <c r="A76" s="438" t="s">
        <v>320</v>
      </c>
      <c r="B76" s="593">
        <v>9159</v>
      </c>
      <c r="C76" s="438" t="s">
        <v>877</v>
      </c>
      <c r="D76" s="438" t="s">
        <v>1187</v>
      </c>
      <c r="E76" s="438" t="s">
        <v>738</v>
      </c>
      <c r="F76" s="438">
        <v>4</v>
      </c>
      <c r="G76" s="438">
        <v>4</v>
      </c>
      <c r="H76" s="439">
        <v>2378.0786900000003</v>
      </c>
      <c r="I76" s="439">
        <v>2378.0786900000003</v>
      </c>
      <c r="K76" s="731"/>
    </row>
    <row r="77" spans="1:11" hidden="1">
      <c r="A77" s="438" t="s">
        <v>321</v>
      </c>
      <c r="B77" s="594">
        <v>22041</v>
      </c>
      <c r="C77" s="595" t="s">
        <v>464</v>
      </c>
      <c r="D77" s="595" t="s">
        <v>1180</v>
      </c>
      <c r="E77" s="596" t="s">
        <v>659</v>
      </c>
      <c r="F77" s="438">
        <v>57</v>
      </c>
      <c r="G77" s="438">
        <v>23</v>
      </c>
      <c r="H77" s="439">
        <v>2376.0896350000003</v>
      </c>
      <c r="I77" s="439">
        <v>2244.1244070000002</v>
      </c>
      <c r="K77" s="731"/>
    </row>
    <row r="78" spans="1:11">
      <c r="A78" s="438" t="s">
        <v>320</v>
      </c>
      <c r="B78" s="593">
        <v>8673</v>
      </c>
      <c r="C78" s="438" t="s">
        <v>514</v>
      </c>
      <c r="D78" s="438" t="s">
        <v>1184</v>
      </c>
      <c r="E78" s="438" t="s">
        <v>641</v>
      </c>
      <c r="F78" s="438">
        <v>85</v>
      </c>
      <c r="G78" s="438">
        <v>44</v>
      </c>
      <c r="H78" s="439">
        <v>2179.3774709999998</v>
      </c>
      <c r="I78" s="439">
        <v>533.49784099999999</v>
      </c>
      <c r="K78" s="731"/>
    </row>
    <row r="79" spans="1:11">
      <c r="A79" s="438" t="s">
        <v>320</v>
      </c>
      <c r="B79" s="593">
        <v>17195</v>
      </c>
      <c r="C79" s="438" t="s">
        <v>662</v>
      </c>
      <c r="D79" s="438" t="s">
        <v>1205</v>
      </c>
      <c r="E79" s="438" t="s">
        <v>636</v>
      </c>
      <c r="F79" s="438">
        <v>117</v>
      </c>
      <c r="G79" s="438">
        <v>0</v>
      </c>
      <c r="H79" s="439">
        <v>2072.0174750000006</v>
      </c>
      <c r="I79" s="439">
        <v>0</v>
      </c>
      <c r="K79" s="731"/>
    </row>
    <row r="80" spans="1:11">
      <c r="A80" s="438" t="s">
        <v>320</v>
      </c>
      <c r="B80" s="593">
        <v>9464</v>
      </c>
      <c r="C80" s="438" t="s">
        <v>573</v>
      </c>
      <c r="D80" s="438" t="s">
        <v>1183</v>
      </c>
      <c r="E80" s="438" t="s">
        <v>645</v>
      </c>
      <c r="F80" s="438">
        <v>99</v>
      </c>
      <c r="G80" s="438">
        <v>42</v>
      </c>
      <c r="H80" s="439">
        <v>1866.2325859999996</v>
      </c>
      <c r="I80" s="439">
        <v>1866.2325859999996</v>
      </c>
      <c r="K80" s="731"/>
    </row>
    <row r="81" spans="1:11">
      <c r="A81" s="438" t="s">
        <v>320</v>
      </c>
      <c r="B81" s="593">
        <v>12021</v>
      </c>
      <c r="C81" s="438" t="s">
        <v>930</v>
      </c>
      <c r="D81" s="438" t="s">
        <v>1181</v>
      </c>
      <c r="E81" s="438" t="s">
        <v>636</v>
      </c>
      <c r="F81" s="438">
        <v>1</v>
      </c>
      <c r="G81" s="438">
        <v>1</v>
      </c>
      <c r="H81" s="439">
        <v>1774.912294</v>
      </c>
      <c r="I81" s="439">
        <v>1774.912294</v>
      </c>
      <c r="K81" s="731"/>
    </row>
    <row r="82" spans="1:11" hidden="1">
      <c r="A82" s="438" t="s">
        <v>321</v>
      </c>
      <c r="B82" s="594">
        <v>19312</v>
      </c>
      <c r="C82" s="595" t="s">
        <v>380</v>
      </c>
      <c r="D82" s="595" t="s">
        <v>1180</v>
      </c>
      <c r="E82" s="596" t="s">
        <v>652</v>
      </c>
      <c r="F82" s="438">
        <v>20</v>
      </c>
      <c r="G82" s="438">
        <v>16</v>
      </c>
      <c r="H82" s="439">
        <v>1697.381748</v>
      </c>
      <c r="I82" s="439">
        <v>1697.381748</v>
      </c>
      <c r="K82" s="731"/>
    </row>
    <row r="83" spans="1:11" hidden="1">
      <c r="A83" s="438" t="s">
        <v>321</v>
      </c>
      <c r="B83" s="594">
        <v>17301</v>
      </c>
      <c r="C83" s="595" t="s">
        <v>685</v>
      </c>
      <c r="D83" s="595" t="s">
        <v>1178</v>
      </c>
      <c r="E83" s="596" t="s">
        <v>657</v>
      </c>
      <c r="F83" s="438">
        <v>10</v>
      </c>
      <c r="G83" s="438">
        <v>0</v>
      </c>
      <c r="H83" s="439">
        <v>1695</v>
      </c>
      <c r="I83" s="439">
        <v>0</v>
      </c>
      <c r="K83" s="731"/>
    </row>
    <row r="84" spans="1:11">
      <c r="A84" s="438" t="s">
        <v>320</v>
      </c>
      <c r="B84" s="593">
        <v>16909</v>
      </c>
      <c r="C84" s="438" t="s">
        <v>628</v>
      </c>
      <c r="D84" s="438" t="s">
        <v>1183</v>
      </c>
      <c r="E84" s="438" t="s">
        <v>648</v>
      </c>
      <c r="F84" s="438">
        <v>134</v>
      </c>
      <c r="G84" s="438">
        <v>91</v>
      </c>
      <c r="H84" s="439">
        <v>1682.8549979999998</v>
      </c>
      <c r="I84" s="439">
        <v>1500.3173999999999</v>
      </c>
      <c r="K84" s="731"/>
    </row>
    <row r="85" spans="1:11">
      <c r="A85" s="438" t="s">
        <v>320</v>
      </c>
      <c r="B85" s="593">
        <v>16538</v>
      </c>
      <c r="C85" s="438" t="s">
        <v>837</v>
      </c>
      <c r="D85" s="438" t="s">
        <v>1183</v>
      </c>
      <c r="E85" s="438" t="s">
        <v>645</v>
      </c>
      <c r="F85" s="438">
        <v>13</v>
      </c>
      <c r="G85" s="438">
        <v>13</v>
      </c>
      <c r="H85" s="439">
        <v>1641.494974</v>
      </c>
      <c r="I85" s="439">
        <v>1641.494974</v>
      </c>
      <c r="K85" s="731"/>
    </row>
    <row r="86" spans="1:11">
      <c r="A86" s="438" t="s">
        <v>320</v>
      </c>
      <c r="B86" s="593">
        <v>12242</v>
      </c>
      <c r="C86" s="438" t="s">
        <v>522</v>
      </c>
      <c r="D86" s="438" t="s">
        <v>1183</v>
      </c>
      <c r="E86" s="438" t="s">
        <v>645</v>
      </c>
      <c r="F86" s="438">
        <v>23</v>
      </c>
      <c r="G86" s="438">
        <v>3</v>
      </c>
      <c r="H86" s="439">
        <v>1632.4714869999998</v>
      </c>
      <c r="I86" s="439">
        <v>600.57205899999997</v>
      </c>
      <c r="K86" s="731"/>
    </row>
    <row r="87" spans="1:11">
      <c r="A87" s="438" t="s">
        <v>321</v>
      </c>
      <c r="B87" s="594">
        <v>22404</v>
      </c>
      <c r="C87" s="595" t="s">
        <v>980</v>
      </c>
      <c r="D87" s="595" t="s">
        <v>723</v>
      </c>
      <c r="E87" s="596" t="s">
        <v>653</v>
      </c>
      <c r="F87" s="438">
        <v>1</v>
      </c>
      <c r="G87" s="438">
        <v>1</v>
      </c>
      <c r="H87" s="439">
        <v>1555.255525</v>
      </c>
      <c r="I87" s="439">
        <v>1555.255525</v>
      </c>
      <c r="K87" s="731"/>
    </row>
    <row r="88" spans="1:11">
      <c r="A88" s="438" t="s">
        <v>320</v>
      </c>
      <c r="B88" s="593">
        <v>17075</v>
      </c>
      <c r="C88" s="438" t="s">
        <v>630</v>
      </c>
      <c r="D88" s="438" t="s">
        <v>1189</v>
      </c>
      <c r="E88" s="438" t="s">
        <v>660</v>
      </c>
      <c r="F88" s="438">
        <v>194</v>
      </c>
      <c r="G88" s="438">
        <v>102</v>
      </c>
      <c r="H88" s="439">
        <v>1548.365331</v>
      </c>
      <c r="I88" s="439">
        <v>500.58922200000012</v>
      </c>
      <c r="K88" s="731"/>
    </row>
    <row r="89" spans="1:11" hidden="1">
      <c r="A89" s="438" t="s">
        <v>321</v>
      </c>
      <c r="B89" s="594">
        <v>17685</v>
      </c>
      <c r="C89" s="595" t="s">
        <v>686</v>
      </c>
      <c r="D89" s="595" t="s">
        <v>1178</v>
      </c>
      <c r="E89" s="596" t="s">
        <v>636</v>
      </c>
      <c r="F89" s="438">
        <v>57</v>
      </c>
      <c r="G89" s="438">
        <v>15</v>
      </c>
      <c r="H89" s="439">
        <v>1524.8296799999998</v>
      </c>
      <c r="I89" s="439">
        <v>1446.8296799999998</v>
      </c>
      <c r="K89" s="731"/>
    </row>
    <row r="90" spans="1:11">
      <c r="A90" s="438" t="s">
        <v>320</v>
      </c>
      <c r="B90" s="593">
        <v>14881</v>
      </c>
      <c r="C90" s="438" t="s">
        <v>517</v>
      </c>
      <c r="D90" s="438" t="s">
        <v>1184</v>
      </c>
      <c r="E90" s="438" t="s">
        <v>886</v>
      </c>
      <c r="F90" s="438">
        <v>154</v>
      </c>
      <c r="G90" s="438">
        <v>35</v>
      </c>
      <c r="H90" s="439">
        <v>1418.0453640000001</v>
      </c>
      <c r="I90" s="439">
        <v>517.79850399999998</v>
      </c>
      <c r="K90" s="731"/>
    </row>
    <row r="91" spans="1:11">
      <c r="A91" s="438" t="s">
        <v>320</v>
      </c>
      <c r="B91" s="593">
        <v>15591</v>
      </c>
      <c r="C91" s="438" t="s">
        <v>487</v>
      </c>
      <c r="D91" s="438" t="s">
        <v>1181</v>
      </c>
      <c r="E91" s="438" t="s">
        <v>647</v>
      </c>
      <c r="F91" s="438">
        <v>147</v>
      </c>
      <c r="G91" s="438">
        <v>0</v>
      </c>
      <c r="H91" s="439">
        <v>1249.879592</v>
      </c>
      <c r="I91" s="439">
        <v>0</v>
      </c>
      <c r="K91" s="731"/>
    </row>
    <row r="92" spans="1:11">
      <c r="A92" s="438" t="s">
        <v>320</v>
      </c>
      <c r="B92" s="593">
        <v>16791</v>
      </c>
      <c r="C92" s="438" t="s">
        <v>626</v>
      </c>
      <c r="D92" s="438" t="s">
        <v>1186</v>
      </c>
      <c r="E92" s="438" t="s">
        <v>637</v>
      </c>
      <c r="F92" s="438">
        <v>162</v>
      </c>
      <c r="G92" s="438">
        <v>129</v>
      </c>
      <c r="H92" s="439">
        <v>1187.5642730000002</v>
      </c>
      <c r="I92" s="439">
        <v>1059.4829890000003</v>
      </c>
      <c r="K92" s="731"/>
    </row>
    <row r="93" spans="1:11">
      <c r="A93" s="438" t="s">
        <v>320</v>
      </c>
      <c r="B93" s="593">
        <v>16475</v>
      </c>
      <c r="C93" s="438" t="s">
        <v>625</v>
      </c>
      <c r="D93" s="438" t="s">
        <v>1181</v>
      </c>
      <c r="E93" s="438" t="s">
        <v>636</v>
      </c>
      <c r="F93" s="438">
        <v>24</v>
      </c>
      <c r="G93" s="438">
        <v>20</v>
      </c>
      <c r="H93" s="439">
        <v>1157.699308</v>
      </c>
      <c r="I93" s="439">
        <v>1085.081549</v>
      </c>
      <c r="K93" s="731"/>
    </row>
    <row r="94" spans="1:11">
      <c r="A94" s="438" t="s">
        <v>320</v>
      </c>
      <c r="B94" s="593">
        <v>16345</v>
      </c>
      <c r="C94" s="438" t="s">
        <v>1194</v>
      </c>
      <c r="D94" s="438" t="s">
        <v>1181</v>
      </c>
      <c r="E94" s="438" t="s">
        <v>641</v>
      </c>
      <c r="F94" s="438">
        <v>39</v>
      </c>
      <c r="G94" s="438">
        <v>23</v>
      </c>
      <c r="H94" s="439">
        <v>1108.982755</v>
      </c>
      <c r="I94" s="439">
        <v>547.28098399999999</v>
      </c>
      <c r="K94" s="731"/>
    </row>
    <row r="95" spans="1:11">
      <c r="A95" s="438" t="s">
        <v>320</v>
      </c>
      <c r="B95" s="593">
        <v>7513</v>
      </c>
      <c r="C95" s="438" t="s">
        <v>548</v>
      </c>
      <c r="D95" s="438" t="s">
        <v>1177</v>
      </c>
      <c r="E95" s="438" t="s">
        <v>636</v>
      </c>
      <c r="F95" s="438">
        <v>10</v>
      </c>
      <c r="G95" s="438">
        <v>4</v>
      </c>
      <c r="H95" s="439">
        <v>1034.7263680000001</v>
      </c>
      <c r="I95" s="439">
        <v>0</v>
      </c>
      <c r="K95" s="731"/>
    </row>
    <row r="96" spans="1:11">
      <c r="A96" s="438" t="s">
        <v>320</v>
      </c>
      <c r="B96" s="593">
        <v>15829</v>
      </c>
      <c r="C96" s="438" t="s">
        <v>615</v>
      </c>
      <c r="D96" s="438" t="s">
        <v>1181</v>
      </c>
      <c r="E96" s="438" t="s">
        <v>675</v>
      </c>
      <c r="F96" s="438">
        <v>9</v>
      </c>
      <c r="G96" s="438">
        <v>8</v>
      </c>
      <c r="H96" s="439">
        <v>978.61282799999992</v>
      </c>
      <c r="I96" s="439">
        <v>978.61282799999992</v>
      </c>
      <c r="K96" s="731"/>
    </row>
    <row r="97" spans="1:11">
      <c r="A97" s="438" t="s">
        <v>320</v>
      </c>
      <c r="B97" s="593">
        <v>16600</v>
      </c>
      <c r="C97" s="438" t="s">
        <v>528</v>
      </c>
      <c r="D97" s="438" t="s">
        <v>1186</v>
      </c>
      <c r="E97" s="438" t="s">
        <v>637</v>
      </c>
      <c r="F97" s="438">
        <v>130</v>
      </c>
      <c r="G97" s="438">
        <v>89</v>
      </c>
      <c r="H97" s="439">
        <v>951.77121199999999</v>
      </c>
      <c r="I97" s="439">
        <v>725.963348</v>
      </c>
      <c r="K97" s="731"/>
    </row>
    <row r="98" spans="1:11">
      <c r="A98" s="438" t="s">
        <v>320</v>
      </c>
      <c r="B98" s="593">
        <v>634</v>
      </c>
      <c r="C98" s="438" t="s">
        <v>500</v>
      </c>
      <c r="D98" s="438" t="s">
        <v>1181</v>
      </c>
      <c r="E98" s="438" t="s">
        <v>636</v>
      </c>
      <c r="F98" s="438">
        <v>2</v>
      </c>
      <c r="G98" s="438">
        <v>0</v>
      </c>
      <c r="H98" s="439">
        <v>924.75182500000005</v>
      </c>
      <c r="I98" s="439">
        <v>0</v>
      </c>
      <c r="K98" s="731"/>
    </row>
    <row r="99" spans="1:11" hidden="1">
      <c r="A99" s="438" t="s">
        <v>321</v>
      </c>
      <c r="B99" s="594">
        <v>21384</v>
      </c>
      <c r="C99" s="595" t="s">
        <v>445</v>
      </c>
      <c r="D99" s="595" t="s">
        <v>1180</v>
      </c>
      <c r="E99" s="596" t="s">
        <v>886</v>
      </c>
      <c r="F99" s="438">
        <v>3</v>
      </c>
      <c r="G99" s="438">
        <v>0</v>
      </c>
      <c r="H99" s="439">
        <v>912.66419399999995</v>
      </c>
      <c r="I99" s="439">
        <v>0</v>
      </c>
      <c r="K99" s="731"/>
    </row>
    <row r="100" spans="1:11" hidden="1">
      <c r="A100" s="438" t="s">
        <v>321</v>
      </c>
      <c r="B100" s="594">
        <v>18317</v>
      </c>
      <c r="C100" s="595" t="s">
        <v>1028</v>
      </c>
      <c r="D100" s="595" t="s">
        <v>1180</v>
      </c>
      <c r="E100" s="596" t="s">
        <v>676</v>
      </c>
      <c r="F100" s="438">
        <v>1</v>
      </c>
      <c r="G100" s="438">
        <v>1</v>
      </c>
      <c r="H100" s="439">
        <v>891.56193499999995</v>
      </c>
      <c r="I100" s="439">
        <v>891.56193499999995</v>
      </c>
      <c r="K100" s="731"/>
    </row>
    <row r="101" spans="1:11">
      <c r="A101" s="438" t="s">
        <v>320</v>
      </c>
      <c r="B101" s="593">
        <v>16085</v>
      </c>
      <c r="C101" s="438" t="s">
        <v>537</v>
      </c>
      <c r="D101" s="438" t="s">
        <v>1183</v>
      </c>
      <c r="E101" s="438" t="s">
        <v>645</v>
      </c>
      <c r="F101" s="438">
        <v>49</v>
      </c>
      <c r="G101" s="438">
        <v>28</v>
      </c>
      <c r="H101" s="439">
        <v>889.79618400000004</v>
      </c>
      <c r="I101" s="439">
        <v>877.53197299999999</v>
      </c>
      <c r="K101" s="731"/>
    </row>
    <row r="102" spans="1:11">
      <c r="A102" s="438" t="s">
        <v>320</v>
      </c>
      <c r="B102" s="593">
        <v>15236</v>
      </c>
      <c r="C102" s="438" t="s">
        <v>525</v>
      </c>
      <c r="D102" s="438" t="s">
        <v>1187</v>
      </c>
      <c r="E102" s="438" t="s">
        <v>738</v>
      </c>
      <c r="F102" s="438">
        <v>12</v>
      </c>
      <c r="G102" s="438">
        <v>4</v>
      </c>
      <c r="H102" s="439">
        <v>888.64381500000002</v>
      </c>
      <c r="I102" s="439">
        <v>882.76125200000001</v>
      </c>
      <c r="K102" s="731"/>
    </row>
    <row r="103" spans="1:11" hidden="1">
      <c r="A103" s="438" t="s">
        <v>321</v>
      </c>
      <c r="B103" s="594">
        <v>19589</v>
      </c>
      <c r="C103" s="595" t="s">
        <v>393</v>
      </c>
      <c r="D103" s="595" t="s">
        <v>1180</v>
      </c>
      <c r="E103" s="596" t="s">
        <v>675</v>
      </c>
      <c r="F103" s="438">
        <v>7</v>
      </c>
      <c r="G103" s="438">
        <v>4</v>
      </c>
      <c r="H103" s="439">
        <v>820.91692499999999</v>
      </c>
      <c r="I103" s="439">
        <v>799.91692499999999</v>
      </c>
      <c r="K103" s="731"/>
    </row>
    <row r="104" spans="1:11">
      <c r="A104" s="438" t="s">
        <v>320</v>
      </c>
      <c r="B104" s="593">
        <v>12700</v>
      </c>
      <c r="C104" s="438" t="s">
        <v>596</v>
      </c>
      <c r="D104" s="438" t="s">
        <v>1181</v>
      </c>
      <c r="E104" s="438" t="s">
        <v>643</v>
      </c>
      <c r="F104" s="438">
        <v>6</v>
      </c>
      <c r="G104" s="438">
        <v>4</v>
      </c>
      <c r="H104" s="439">
        <v>801.06103200000007</v>
      </c>
      <c r="I104" s="439">
        <v>521.29812500000003</v>
      </c>
      <c r="K104" s="731"/>
    </row>
    <row r="105" spans="1:11">
      <c r="A105" s="438" t="s">
        <v>320</v>
      </c>
      <c r="B105" s="593">
        <v>11726</v>
      </c>
      <c r="C105" s="438" t="s">
        <v>582</v>
      </c>
      <c r="D105" s="438" t="s">
        <v>1192</v>
      </c>
      <c r="E105" s="438" t="s">
        <v>652</v>
      </c>
      <c r="F105" s="438">
        <v>17</v>
      </c>
      <c r="G105" s="438">
        <v>11</v>
      </c>
      <c r="H105" s="439">
        <v>742.19554099999993</v>
      </c>
      <c r="I105" s="439">
        <v>742.19554099999993</v>
      </c>
      <c r="K105" s="731"/>
    </row>
    <row r="106" spans="1:11">
      <c r="A106" s="438" t="s">
        <v>320</v>
      </c>
      <c r="B106" s="593">
        <v>16976</v>
      </c>
      <c r="C106" s="438" t="s">
        <v>534</v>
      </c>
      <c r="D106" s="438" t="s">
        <v>1187</v>
      </c>
      <c r="E106" s="438" t="s">
        <v>646</v>
      </c>
      <c r="F106" s="438">
        <v>12</v>
      </c>
      <c r="G106" s="438">
        <v>7</v>
      </c>
      <c r="H106" s="439">
        <v>688.31670899999995</v>
      </c>
      <c r="I106" s="439">
        <v>440.37384300000002</v>
      </c>
      <c r="K106" s="731"/>
    </row>
    <row r="107" spans="1:11">
      <c r="A107" s="438" t="s">
        <v>320</v>
      </c>
      <c r="B107" s="593">
        <v>17516</v>
      </c>
      <c r="C107" s="438" t="s">
        <v>664</v>
      </c>
      <c r="D107" s="438" t="s">
        <v>1190</v>
      </c>
      <c r="E107" s="438" t="s">
        <v>636</v>
      </c>
      <c r="F107" s="438">
        <v>20</v>
      </c>
      <c r="G107" s="438">
        <v>4</v>
      </c>
      <c r="H107" s="439">
        <v>680.94072700000004</v>
      </c>
      <c r="I107" s="439">
        <v>105.443116</v>
      </c>
      <c r="K107" s="731"/>
    </row>
    <row r="108" spans="1:11">
      <c r="A108" s="438" t="s">
        <v>320</v>
      </c>
      <c r="B108" s="593">
        <v>12004</v>
      </c>
      <c r="C108" s="438" t="s">
        <v>950</v>
      </c>
      <c r="D108" s="438" t="s">
        <v>1193</v>
      </c>
      <c r="E108" s="438" t="s">
        <v>643</v>
      </c>
      <c r="F108" s="438">
        <v>2</v>
      </c>
      <c r="G108" s="438">
        <v>2</v>
      </c>
      <c r="H108" s="439">
        <v>632.02059699999995</v>
      </c>
      <c r="I108" s="439">
        <v>632.02059699999995</v>
      </c>
      <c r="K108" s="731"/>
    </row>
    <row r="109" spans="1:11">
      <c r="A109" s="438" t="s">
        <v>320</v>
      </c>
      <c r="B109" s="593">
        <v>12370</v>
      </c>
      <c r="C109" s="438" t="s">
        <v>590</v>
      </c>
      <c r="D109" s="438" t="s">
        <v>1185</v>
      </c>
      <c r="E109" s="438" t="s">
        <v>639</v>
      </c>
      <c r="F109" s="438">
        <v>52</v>
      </c>
      <c r="G109" s="438">
        <v>33</v>
      </c>
      <c r="H109" s="439">
        <v>613.28809099999989</v>
      </c>
      <c r="I109" s="439">
        <v>607.09602699999994</v>
      </c>
      <c r="K109" s="731"/>
    </row>
    <row r="110" spans="1:11">
      <c r="A110" s="438" t="s">
        <v>320</v>
      </c>
      <c r="B110" s="593">
        <v>8756</v>
      </c>
      <c r="C110" s="438" t="s">
        <v>565</v>
      </c>
      <c r="D110" s="438" t="s">
        <v>1181</v>
      </c>
      <c r="E110" s="438" t="s">
        <v>636</v>
      </c>
      <c r="F110" s="438">
        <v>6</v>
      </c>
      <c r="G110" s="438">
        <v>3</v>
      </c>
      <c r="H110" s="439">
        <v>590.46604200000002</v>
      </c>
      <c r="I110" s="439">
        <v>583.46605199999999</v>
      </c>
      <c r="K110" s="731"/>
    </row>
    <row r="111" spans="1:11" hidden="1">
      <c r="A111" s="438" t="s">
        <v>321</v>
      </c>
      <c r="B111" s="594">
        <v>19734</v>
      </c>
      <c r="C111" s="595" t="s">
        <v>719</v>
      </c>
      <c r="D111" s="595" t="s">
        <v>1178</v>
      </c>
      <c r="E111" s="596" t="s">
        <v>738</v>
      </c>
      <c r="F111" s="438">
        <v>2</v>
      </c>
      <c r="G111" s="438">
        <v>1</v>
      </c>
      <c r="H111" s="439">
        <v>519.26830800000005</v>
      </c>
      <c r="I111" s="439">
        <v>513.26830800000005</v>
      </c>
      <c r="K111" s="731"/>
    </row>
    <row r="112" spans="1:11" hidden="1">
      <c r="A112" s="438" t="s">
        <v>320</v>
      </c>
      <c r="B112" s="593">
        <v>18805</v>
      </c>
      <c r="C112" s="438" t="s">
        <v>339</v>
      </c>
      <c r="D112" s="438" t="s">
        <v>1178</v>
      </c>
      <c r="E112" s="438" t="s">
        <v>653</v>
      </c>
      <c r="F112" s="438">
        <v>21</v>
      </c>
      <c r="G112" s="438">
        <v>17</v>
      </c>
      <c r="H112" s="439">
        <v>511.37431400000003</v>
      </c>
      <c r="I112" s="439">
        <v>145.13049799999999</v>
      </c>
      <c r="K112" s="731"/>
    </row>
    <row r="113" spans="1:11">
      <c r="A113" s="438" t="s">
        <v>320</v>
      </c>
      <c r="B113" s="593">
        <v>16529</v>
      </c>
      <c r="C113" s="438" t="s">
        <v>1195</v>
      </c>
      <c r="D113" s="438" t="s">
        <v>1186</v>
      </c>
      <c r="E113" s="438" t="s">
        <v>637</v>
      </c>
      <c r="F113" s="438">
        <v>88</v>
      </c>
      <c r="G113" s="438">
        <v>71</v>
      </c>
      <c r="H113" s="439">
        <v>501.85624700000005</v>
      </c>
      <c r="I113" s="439">
        <v>460.26648800000004</v>
      </c>
      <c r="K113" s="731"/>
    </row>
    <row r="114" spans="1:11">
      <c r="A114" s="438" t="s">
        <v>320</v>
      </c>
      <c r="B114" s="593">
        <v>16387</v>
      </c>
      <c r="C114" s="438" t="s">
        <v>1206</v>
      </c>
      <c r="D114" s="438" t="s">
        <v>1181</v>
      </c>
      <c r="E114" s="438" t="s">
        <v>636</v>
      </c>
      <c r="F114" s="438">
        <v>41</v>
      </c>
      <c r="G114" s="438">
        <v>0</v>
      </c>
      <c r="H114" s="439">
        <v>492.859667</v>
      </c>
      <c r="I114" s="439">
        <v>0</v>
      </c>
      <c r="K114" s="731"/>
    </row>
    <row r="115" spans="1:11">
      <c r="A115" s="438" t="s">
        <v>320</v>
      </c>
      <c r="B115" s="593">
        <v>16570</v>
      </c>
      <c r="C115" s="438" t="s">
        <v>764</v>
      </c>
      <c r="D115" s="438" t="s">
        <v>1186</v>
      </c>
      <c r="E115" s="438" t="s">
        <v>636</v>
      </c>
      <c r="F115" s="438">
        <v>22</v>
      </c>
      <c r="G115" s="438">
        <v>18</v>
      </c>
      <c r="H115" s="439">
        <v>474.07182900000004</v>
      </c>
      <c r="I115" s="439">
        <v>466.16037700000004</v>
      </c>
      <c r="K115" s="731"/>
    </row>
    <row r="116" spans="1:11">
      <c r="A116" s="438" t="s">
        <v>320</v>
      </c>
      <c r="B116" s="593">
        <v>17020</v>
      </c>
      <c r="C116" s="438" t="s">
        <v>516</v>
      </c>
      <c r="D116" s="438" t="s">
        <v>1182</v>
      </c>
      <c r="E116" s="438" t="s">
        <v>636</v>
      </c>
      <c r="F116" s="438">
        <v>26</v>
      </c>
      <c r="G116" s="438">
        <v>14</v>
      </c>
      <c r="H116" s="439">
        <v>469.64178600000002</v>
      </c>
      <c r="I116" s="439">
        <v>469.64178600000002</v>
      </c>
      <c r="K116" s="731"/>
    </row>
    <row r="117" spans="1:11">
      <c r="A117" s="438" t="s">
        <v>320</v>
      </c>
      <c r="B117" s="593">
        <v>15950</v>
      </c>
      <c r="C117" s="438" t="s">
        <v>496</v>
      </c>
      <c r="D117" s="438" t="s">
        <v>1183</v>
      </c>
      <c r="E117" s="438" t="s">
        <v>645</v>
      </c>
      <c r="F117" s="438">
        <v>48</v>
      </c>
      <c r="G117" s="438">
        <v>18</v>
      </c>
      <c r="H117" s="439">
        <v>468.15240999999997</v>
      </c>
      <c r="I117" s="439">
        <v>459.51189199999999</v>
      </c>
      <c r="K117" s="731"/>
    </row>
    <row r="118" spans="1:11" hidden="1">
      <c r="A118" s="438" t="s">
        <v>321</v>
      </c>
      <c r="B118" s="594">
        <v>20218</v>
      </c>
      <c r="C118" s="595" t="s">
        <v>953</v>
      </c>
      <c r="D118" s="595" t="s">
        <v>1180</v>
      </c>
      <c r="E118" s="596" t="s">
        <v>636</v>
      </c>
      <c r="F118" s="438">
        <v>1</v>
      </c>
      <c r="G118" s="438">
        <v>1</v>
      </c>
      <c r="H118" s="439">
        <v>463.71045199999998</v>
      </c>
      <c r="I118" s="439">
        <v>463.71045199999998</v>
      </c>
      <c r="K118" s="731"/>
    </row>
    <row r="119" spans="1:11">
      <c r="A119" s="438" t="s">
        <v>320</v>
      </c>
      <c r="B119" s="593">
        <v>16482</v>
      </c>
      <c r="C119" s="438" t="s">
        <v>873</v>
      </c>
      <c r="D119" s="438" t="s">
        <v>1186</v>
      </c>
      <c r="E119" s="438" t="s">
        <v>637</v>
      </c>
      <c r="F119" s="438">
        <v>2</v>
      </c>
      <c r="G119" s="438">
        <v>2</v>
      </c>
      <c r="H119" s="439">
        <v>423.34359699999999</v>
      </c>
      <c r="I119" s="439">
        <v>423.34359699999999</v>
      </c>
      <c r="K119" s="731"/>
    </row>
    <row r="120" spans="1:11" hidden="1">
      <c r="A120" s="438" t="s">
        <v>321</v>
      </c>
      <c r="B120" s="594">
        <v>22224</v>
      </c>
      <c r="C120" s="595" t="s">
        <v>470</v>
      </c>
      <c r="D120" s="595" t="s">
        <v>1180</v>
      </c>
      <c r="E120" s="596" t="s">
        <v>636</v>
      </c>
      <c r="F120" s="438">
        <v>9</v>
      </c>
      <c r="G120" s="438">
        <v>3</v>
      </c>
      <c r="H120" s="439">
        <v>421.99997000000002</v>
      </c>
      <c r="I120" s="439">
        <v>97.399992999999995</v>
      </c>
      <c r="K120" s="731"/>
    </row>
    <row r="121" spans="1:11" hidden="1">
      <c r="A121" s="438" t="s">
        <v>321</v>
      </c>
      <c r="B121" s="594">
        <v>20905</v>
      </c>
      <c r="C121" s="595" t="s">
        <v>435</v>
      </c>
      <c r="D121" s="595" t="s">
        <v>1180</v>
      </c>
      <c r="E121" s="596" t="s">
        <v>659</v>
      </c>
      <c r="F121" s="438">
        <v>8</v>
      </c>
      <c r="G121" s="438">
        <v>3</v>
      </c>
      <c r="H121" s="439">
        <v>401.994688</v>
      </c>
      <c r="I121" s="439">
        <v>401.994688</v>
      </c>
      <c r="K121" s="731"/>
    </row>
    <row r="122" spans="1:11">
      <c r="A122" s="438" t="s">
        <v>320</v>
      </c>
      <c r="B122" s="593">
        <v>15462</v>
      </c>
      <c r="C122" s="438" t="s">
        <v>782</v>
      </c>
      <c r="D122" s="438" t="s">
        <v>1181</v>
      </c>
      <c r="E122" s="438" t="s">
        <v>636</v>
      </c>
      <c r="F122" s="438">
        <v>1</v>
      </c>
      <c r="G122" s="438">
        <v>0</v>
      </c>
      <c r="H122" s="439">
        <v>393.351969</v>
      </c>
      <c r="I122" s="439">
        <v>0</v>
      </c>
      <c r="K122" s="731"/>
    </row>
    <row r="123" spans="1:11" hidden="1">
      <c r="A123" s="438"/>
      <c r="B123" s="593">
        <v>16915</v>
      </c>
      <c r="C123" s="438" t="s">
        <v>442</v>
      </c>
      <c r="D123" s="438" t="s">
        <v>1178</v>
      </c>
      <c r="E123" s="438" t="s">
        <v>659</v>
      </c>
      <c r="F123" s="438">
        <v>82</v>
      </c>
      <c r="G123" s="438">
        <v>18</v>
      </c>
      <c r="H123" s="439">
        <v>376.39913799999999</v>
      </c>
      <c r="I123" s="439">
        <v>376.39913799999999</v>
      </c>
      <c r="K123" s="731"/>
    </row>
    <row r="124" spans="1:11">
      <c r="A124" s="438" t="s">
        <v>320</v>
      </c>
      <c r="B124" s="593">
        <v>7845</v>
      </c>
      <c r="C124" s="438" t="s">
        <v>552</v>
      </c>
      <c r="D124" s="438" t="s">
        <v>1177</v>
      </c>
      <c r="E124" s="438" t="s">
        <v>636</v>
      </c>
      <c r="F124" s="438">
        <v>4</v>
      </c>
      <c r="G124" s="438">
        <v>2</v>
      </c>
      <c r="H124" s="439">
        <v>374.42956800000002</v>
      </c>
      <c r="I124" s="439">
        <v>374.42956800000002</v>
      </c>
      <c r="K124" s="731"/>
    </row>
    <row r="125" spans="1:11">
      <c r="A125" s="438" t="s">
        <v>320</v>
      </c>
      <c r="B125" s="593">
        <v>15691</v>
      </c>
      <c r="C125" s="438" t="s">
        <v>711</v>
      </c>
      <c r="D125" s="438" t="s">
        <v>1189</v>
      </c>
      <c r="E125" s="438" t="s">
        <v>637</v>
      </c>
      <c r="F125" s="438">
        <v>18</v>
      </c>
      <c r="G125" s="438">
        <v>0</v>
      </c>
      <c r="H125" s="439">
        <v>363.2359919999999</v>
      </c>
      <c r="I125" s="439">
        <v>0</v>
      </c>
      <c r="K125" s="731"/>
    </row>
    <row r="126" spans="1:11">
      <c r="A126" s="438" t="s">
        <v>320</v>
      </c>
      <c r="B126" s="593">
        <v>8409</v>
      </c>
      <c r="C126" s="438" t="s">
        <v>560</v>
      </c>
      <c r="D126" s="438" t="s">
        <v>1184</v>
      </c>
      <c r="E126" s="438" t="s">
        <v>886</v>
      </c>
      <c r="F126" s="438">
        <v>4</v>
      </c>
      <c r="G126" s="438">
        <v>2</v>
      </c>
      <c r="H126" s="439">
        <v>362.63774799999999</v>
      </c>
      <c r="I126" s="439">
        <v>362.63774799999999</v>
      </c>
      <c r="K126" s="731"/>
    </row>
    <row r="127" spans="1:11">
      <c r="A127" s="438" t="s">
        <v>320</v>
      </c>
      <c r="B127" s="593">
        <v>14092</v>
      </c>
      <c r="C127" s="438" t="s">
        <v>663</v>
      </c>
      <c r="D127" s="438" t="s">
        <v>1183</v>
      </c>
      <c r="E127" s="438" t="s">
        <v>645</v>
      </c>
      <c r="F127" s="438">
        <v>2</v>
      </c>
      <c r="G127" s="438">
        <v>0</v>
      </c>
      <c r="H127" s="439">
        <v>343.85170099999999</v>
      </c>
      <c r="I127" s="439">
        <v>0</v>
      </c>
      <c r="K127" s="731"/>
    </row>
    <row r="128" spans="1:11">
      <c r="A128" s="438" t="s">
        <v>320</v>
      </c>
      <c r="B128" s="593">
        <v>12707</v>
      </c>
      <c r="C128" s="438" t="s">
        <v>1207</v>
      </c>
      <c r="D128" s="438" t="s">
        <v>1208</v>
      </c>
      <c r="E128" s="438" t="s">
        <v>636</v>
      </c>
      <c r="F128" s="438">
        <v>1</v>
      </c>
      <c r="G128" s="438">
        <v>0</v>
      </c>
      <c r="H128" s="439">
        <v>339.62271600000003</v>
      </c>
      <c r="I128" s="439">
        <v>0</v>
      </c>
      <c r="K128" s="731"/>
    </row>
    <row r="129" spans="1:11">
      <c r="A129" s="438" t="s">
        <v>320</v>
      </c>
      <c r="B129" s="593">
        <v>14237</v>
      </c>
      <c r="C129" s="438" t="s">
        <v>515</v>
      </c>
      <c r="D129" s="438" t="s">
        <v>1181</v>
      </c>
      <c r="E129" s="438" t="s">
        <v>644</v>
      </c>
      <c r="F129" s="438">
        <v>36</v>
      </c>
      <c r="G129" s="438">
        <v>11</v>
      </c>
      <c r="H129" s="439">
        <v>325.508444</v>
      </c>
      <c r="I129" s="439">
        <v>325.508444</v>
      </c>
      <c r="K129" s="731"/>
    </row>
    <row r="130" spans="1:11">
      <c r="A130" s="438" t="s">
        <v>320</v>
      </c>
      <c r="B130" s="593">
        <v>9470</v>
      </c>
      <c r="C130" s="438" t="s">
        <v>532</v>
      </c>
      <c r="D130" s="438" t="s">
        <v>1181</v>
      </c>
      <c r="E130" s="438" t="s">
        <v>636</v>
      </c>
      <c r="F130" s="438">
        <v>13</v>
      </c>
      <c r="G130" s="438">
        <v>4</v>
      </c>
      <c r="H130" s="439">
        <v>299.02970099999999</v>
      </c>
      <c r="I130" s="439">
        <v>195.841128</v>
      </c>
      <c r="K130" s="731"/>
    </row>
    <row r="131" spans="1:11">
      <c r="A131" s="438" t="s">
        <v>320</v>
      </c>
      <c r="B131" s="593">
        <v>7667</v>
      </c>
      <c r="C131" s="438" t="s">
        <v>550</v>
      </c>
      <c r="D131" s="438" t="s">
        <v>1185</v>
      </c>
      <c r="E131" s="438" t="s">
        <v>639</v>
      </c>
      <c r="F131" s="438">
        <v>36</v>
      </c>
      <c r="G131" s="438">
        <v>18</v>
      </c>
      <c r="H131" s="439">
        <v>291.43322899999998</v>
      </c>
      <c r="I131" s="439">
        <v>270.58972199999999</v>
      </c>
      <c r="K131" s="731"/>
    </row>
    <row r="132" spans="1:11">
      <c r="A132" s="438" t="s">
        <v>320</v>
      </c>
      <c r="B132" s="593">
        <v>15807</v>
      </c>
      <c r="C132" s="438" t="s">
        <v>501</v>
      </c>
      <c r="D132" s="438" t="s">
        <v>1183</v>
      </c>
      <c r="E132" s="438" t="s">
        <v>645</v>
      </c>
      <c r="F132" s="438">
        <v>4</v>
      </c>
      <c r="G132" s="438">
        <v>1</v>
      </c>
      <c r="H132" s="439">
        <v>266.99995000000001</v>
      </c>
      <c r="I132" s="439">
        <v>1</v>
      </c>
      <c r="K132" s="731"/>
    </row>
    <row r="133" spans="1:11">
      <c r="A133" s="438" t="s">
        <v>320</v>
      </c>
      <c r="B133" s="593">
        <v>16211</v>
      </c>
      <c r="C133" s="438" t="s">
        <v>520</v>
      </c>
      <c r="D133" s="438" t="s">
        <v>1186</v>
      </c>
      <c r="E133" s="438" t="s">
        <v>886</v>
      </c>
      <c r="F133" s="438">
        <v>43</v>
      </c>
      <c r="G133" s="438">
        <v>31</v>
      </c>
      <c r="H133" s="439">
        <v>249.43829900000003</v>
      </c>
      <c r="I133" s="439">
        <v>220.53553800000003</v>
      </c>
      <c r="K133" s="731"/>
    </row>
    <row r="134" spans="1:11">
      <c r="A134" s="438" t="s">
        <v>320</v>
      </c>
      <c r="B134" s="593">
        <v>1094</v>
      </c>
      <c r="C134" s="438" t="s">
        <v>544</v>
      </c>
      <c r="D134" s="438" t="s">
        <v>1181</v>
      </c>
      <c r="E134" s="438" t="s">
        <v>636</v>
      </c>
      <c r="F134" s="438">
        <v>4</v>
      </c>
      <c r="G134" s="438">
        <v>0</v>
      </c>
      <c r="H134" s="439">
        <v>245.46834200000001</v>
      </c>
      <c r="I134" s="439">
        <v>0</v>
      </c>
      <c r="K134" s="731"/>
    </row>
    <row r="135" spans="1:11" hidden="1">
      <c r="A135" s="438" t="s">
        <v>321</v>
      </c>
      <c r="B135" s="594">
        <v>21349</v>
      </c>
      <c r="C135" s="595" t="s">
        <v>444</v>
      </c>
      <c r="D135" s="595" t="s">
        <v>1180</v>
      </c>
      <c r="E135" s="596" t="s">
        <v>645</v>
      </c>
      <c r="F135" s="438">
        <v>10</v>
      </c>
      <c r="G135" s="438">
        <v>4</v>
      </c>
      <c r="H135" s="439">
        <v>244.599099</v>
      </c>
      <c r="I135" s="439">
        <v>244.599099</v>
      </c>
      <c r="K135" s="731"/>
    </row>
    <row r="136" spans="1:11">
      <c r="A136" s="438" t="s">
        <v>320</v>
      </c>
      <c r="B136" s="593">
        <v>15816</v>
      </c>
      <c r="C136" s="438" t="s">
        <v>483</v>
      </c>
      <c r="D136" s="438" t="s">
        <v>1181</v>
      </c>
      <c r="E136" s="438" t="s">
        <v>643</v>
      </c>
      <c r="F136" s="438">
        <v>1241</v>
      </c>
      <c r="G136" s="438">
        <v>0</v>
      </c>
      <c r="H136" s="439">
        <v>244.36821900000012</v>
      </c>
      <c r="I136" s="439">
        <v>0</v>
      </c>
      <c r="K136" s="731"/>
    </row>
    <row r="137" spans="1:11">
      <c r="A137" s="438" t="s">
        <v>320</v>
      </c>
      <c r="B137" s="593">
        <v>16903</v>
      </c>
      <c r="C137" s="438" t="s">
        <v>936</v>
      </c>
      <c r="D137" s="438" t="s">
        <v>1181</v>
      </c>
      <c r="E137" s="438" t="s">
        <v>660</v>
      </c>
      <c r="F137" s="438">
        <v>1</v>
      </c>
      <c r="G137" s="438">
        <v>1</v>
      </c>
      <c r="H137" s="439">
        <v>244.20411000000001</v>
      </c>
      <c r="I137" s="439">
        <v>244.20411000000001</v>
      </c>
      <c r="K137" s="731"/>
    </row>
    <row r="138" spans="1:11" hidden="1">
      <c r="A138" s="438" t="s">
        <v>321</v>
      </c>
      <c r="B138" s="594">
        <v>18796</v>
      </c>
      <c r="C138" s="595" t="s">
        <v>360</v>
      </c>
      <c r="D138" s="595" t="s">
        <v>1180</v>
      </c>
      <c r="E138" s="596" t="s">
        <v>888</v>
      </c>
      <c r="F138" s="438">
        <v>7</v>
      </c>
      <c r="G138" s="438">
        <v>2</v>
      </c>
      <c r="H138" s="439">
        <v>212.56753399999999</v>
      </c>
      <c r="I138" s="439">
        <v>212.56753399999999</v>
      </c>
      <c r="K138" s="731"/>
    </row>
    <row r="139" spans="1:11" hidden="1">
      <c r="A139" s="438" t="s">
        <v>321</v>
      </c>
      <c r="B139" s="594">
        <v>22403</v>
      </c>
      <c r="C139" s="595" t="s">
        <v>479</v>
      </c>
      <c r="D139" s="595" t="s">
        <v>1180</v>
      </c>
      <c r="E139" s="596" t="s">
        <v>641</v>
      </c>
      <c r="F139" s="438">
        <v>47</v>
      </c>
      <c r="G139" s="438">
        <v>15</v>
      </c>
      <c r="H139" s="439">
        <v>209.88441399999999</v>
      </c>
      <c r="I139" s="439">
        <v>209.88441399999999</v>
      </c>
      <c r="K139" s="731"/>
    </row>
    <row r="140" spans="1:11">
      <c r="A140" s="438" t="s">
        <v>321</v>
      </c>
      <c r="B140" s="594">
        <v>21953</v>
      </c>
      <c r="C140" s="595" t="s">
        <v>955</v>
      </c>
      <c r="D140" s="595" t="s">
        <v>723</v>
      </c>
      <c r="E140" s="596" t="s">
        <v>653</v>
      </c>
      <c r="F140" s="438">
        <v>2</v>
      </c>
      <c r="G140" s="438">
        <v>2</v>
      </c>
      <c r="H140" s="439">
        <v>181.39273600000001</v>
      </c>
      <c r="I140" s="439">
        <v>181.39273600000001</v>
      </c>
      <c r="K140" s="731"/>
    </row>
    <row r="141" spans="1:11" hidden="1">
      <c r="A141" s="438" t="s">
        <v>321</v>
      </c>
      <c r="B141" s="594">
        <v>20838</v>
      </c>
      <c r="C141" s="595" t="s">
        <v>430</v>
      </c>
      <c r="D141" s="595" t="s">
        <v>1180</v>
      </c>
      <c r="E141" s="596" t="s">
        <v>645</v>
      </c>
      <c r="F141" s="438">
        <v>5</v>
      </c>
      <c r="G141" s="438">
        <v>2</v>
      </c>
      <c r="H141" s="439">
        <v>177.411305</v>
      </c>
      <c r="I141" s="439">
        <v>177.411305</v>
      </c>
      <c r="K141" s="731"/>
    </row>
    <row r="142" spans="1:11">
      <c r="A142" s="438" t="s">
        <v>320</v>
      </c>
      <c r="B142" s="593">
        <v>13630</v>
      </c>
      <c r="C142" s="438" t="s">
        <v>952</v>
      </c>
      <c r="D142" s="438" t="s">
        <v>1184</v>
      </c>
      <c r="E142" s="438" t="s">
        <v>644</v>
      </c>
      <c r="F142" s="438">
        <v>3</v>
      </c>
      <c r="G142" s="438">
        <v>3</v>
      </c>
      <c r="H142" s="439">
        <v>167.77916199999999</v>
      </c>
      <c r="I142" s="439">
        <v>167.77916199999999</v>
      </c>
      <c r="K142" s="731"/>
    </row>
    <row r="143" spans="1:11" hidden="1">
      <c r="A143" s="438" t="s">
        <v>321</v>
      </c>
      <c r="B143" s="594">
        <v>20661</v>
      </c>
      <c r="C143" s="595" t="s">
        <v>424</v>
      </c>
      <c r="D143" s="595" t="s">
        <v>1180</v>
      </c>
      <c r="E143" s="596" t="s">
        <v>675</v>
      </c>
      <c r="F143" s="438">
        <v>43</v>
      </c>
      <c r="G143" s="438">
        <v>17</v>
      </c>
      <c r="H143" s="439">
        <v>163.557771</v>
      </c>
      <c r="I143" s="439">
        <v>163.557771</v>
      </c>
      <c r="K143" s="731"/>
    </row>
    <row r="144" spans="1:11">
      <c r="A144" s="438" t="s">
        <v>320</v>
      </c>
      <c r="B144" s="593">
        <v>14767</v>
      </c>
      <c r="C144" s="438" t="s">
        <v>606</v>
      </c>
      <c r="D144" s="438" t="s">
        <v>1185</v>
      </c>
      <c r="E144" s="438" t="s">
        <v>639</v>
      </c>
      <c r="F144" s="438">
        <v>13</v>
      </c>
      <c r="G144" s="438">
        <v>9</v>
      </c>
      <c r="H144" s="439">
        <v>162.35131999999999</v>
      </c>
      <c r="I144" s="439">
        <v>162.35131999999999</v>
      </c>
      <c r="K144" s="731"/>
    </row>
    <row r="145" spans="1:11">
      <c r="A145" s="438" t="s">
        <v>320</v>
      </c>
      <c r="B145" s="593">
        <v>14835</v>
      </c>
      <c r="C145" s="438" t="s">
        <v>607</v>
      </c>
      <c r="D145" s="438" t="s">
        <v>1183</v>
      </c>
      <c r="E145" s="438" t="s">
        <v>645</v>
      </c>
      <c r="F145" s="438">
        <v>14</v>
      </c>
      <c r="G145" s="438">
        <v>3</v>
      </c>
      <c r="H145" s="439">
        <v>160.001993</v>
      </c>
      <c r="I145" s="439">
        <v>0.90961199999999998</v>
      </c>
      <c r="K145" s="731"/>
    </row>
    <row r="146" spans="1:11" hidden="1">
      <c r="A146" s="438" t="s">
        <v>320</v>
      </c>
      <c r="B146" s="593">
        <v>18499</v>
      </c>
      <c r="C146" s="438" t="s">
        <v>737</v>
      </c>
      <c r="D146" s="438" t="s">
        <v>1180</v>
      </c>
      <c r="E146" s="438" t="s">
        <v>636</v>
      </c>
      <c r="F146" s="438">
        <v>134</v>
      </c>
      <c r="G146" s="438">
        <v>0</v>
      </c>
      <c r="H146" s="439">
        <v>149</v>
      </c>
      <c r="I146" s="439">
        <v>0</v>
      </c>
      <c r="K146" s="731"/>
    </row>
    <row r="147" spans="1:11" hidden="1">
      <c r="A147" s="438" t="s">
        <v>321</v>
      </c>
      <c r="B147" s="594">
        <v>22328</v>
      </c>
      <c r="C147" s="595" t="s">
        <v>475</v>
      </c>
      <c r="D147" s="595" t="s">
        <v>1180</v>
      </c>
      <c r="E147" s="596" t="s">
        <v>667</v>
      </c>
      <c r="F147" s="438">
        <v>177</v>
      </c>
      <c r="G147" s="438">
        <v>38</v>
      </c>
      <c r="H147" s="439">
        <v>146.50054499999999</v>
      </c>
      <c r="I147" s="439">
        <v>30.257757000000002</v>
      </c>
      <c r="K147" s="731"/>
    </row>
    <row r="148" spans="1:11">
      <c r="A148" s="438" t="s">
        <v>320</v>
      </c>
      <c r="B148" s="593">
        <v>17362</v>
      </c>
      <c r="C148" s="438" t="s">
        <v>803</v>
      </c>
      <c r="D148" s="438" t="s">
        <v>1190</v>
      </c>
      <c r="E148" s="438" t="s">
        <v>636</v>
      </c>
      <c r="F148" s="438">
        <v>12</v>
      </c>
      <c r="G148" s="438">
        <v>11</v>
      </c>
      <c r="H148" s="439">
        <v>137.79389399999999</v>
      </c>
      <c r="I148" s="439">
        <v>109.34927599999999</v>
      </c>
      <c r="K148" s="731"/>
    </row>
    <row r="149" spans="1:11" hidden="1">
      <c r="A149" s="438" t="s">
        <v>321</v>
      </c>
      <c r="B149" s="594">
        <v>21267</v>
      </c>
      <c r="C149" s="595" t="s">
        <v>775</v>
      </c>
      <c r="D149" s="595" t="s">
        <v>1180</v>
      </c>
      <c r="E149" s="596" t="s">
        <v>660</v>
      </c>
      <c r="F149" s="438">
        <v>2</v>
      </c>
      <c r="G149" s="438">
        <v>1</v>
      </c>
      <c r="H149" s="439">
        <v>136.09996699999999</v>
      </c>
      <c r="I149" s="439">
        <v>16</v>
      </c>
      <c r="K149" s="731"/>
    </row>
    <row r="150" spans="1:11">
      <c r="A150" s="438" t="s">
        <v>320</v>
      </c>
      <c r="B150" s="593">
        <v>9441</v>
      </c>
      <c r="C150" s="438" t="s">
        <v>572</v>
      </c>
      <c r="D150" s="438" t="s">
        <v>1184</v>
      </c>
      <c r="E150" s="438" t="s">
        <v>648</v>
      </c>
      <c r="F150" s="438">
        <v>12</v>
      </c>
      <c r="G150" s="438">
        <v>1</v>
      </c>
      <c r="H150" s="439">
        <v>127.84081</v>
      </c>
      <c r="I150" s="439">
        <v>0</v>
      </c>
      <c r="K150" s="731"/>
    </row>
    <row r="151" spans="1:11" hidden="1">
      <c r="A151" s="438" t="s">
        <v>321</v>
      </c>
      <c r="B151" s="594">
        <v>22202</v>
      </c>
      <c r="C151" s="595" t="s">
        <v>469</v>
      </c>
      <c r="D151" s="595" t="s">
        <v>1180</v>
      </c>
      <c r="E151" s="596" t="s">
        <v>660</v>
      </c>
      <c r="F151" s="438">
        <v>5</v>
      </c>
      <c r="G151" s="438">
        <v>0</v>
      </c>
      <c r="H151" s="439">
        <v>125.653013</v>
      </c>
      <c r="I151" s="439">
        <v>0</v>
      </c>
      <c r="K151" s="731"/>
    </row>
    <row r="152" spans="1:11">
      <c r="A152" s="438" t="s">
        <v>320</v>
      </c>
      <c r="B152" s="593">
        <v>17168</v>
      </c>
      <c r="C152" s="438" t="s">
        <v>874</v>
      </c>
      <c r="D152" s="438" t="s">
        <v>1186</v>
      </c>
      <c r="E152" s="438" t="s">
        <v>637</v>
      </c>
      <c r="F152" s="438">
        <v>40</v>
      </c>
      <c r="G152" s="438">
        <v>40</v>
      </c>
      <c r="H152" s="439">
        <v>114.86945200000001</v>
      </c>
      <c r="I152" s="439">
        <v>114.86945200000001</v>
      </c>
      <c r="K152" s="731"/>
    </row>
    <row r="153" spans="1:11">
      <c r="A153" s="438" t="s">
        <v>321</v>
      </c>
      <c r="B153" s="594">
        <v>15142</v>
      </c>
      <c r="C153" s="595" t="s">
        <v>480</v>
      </c>
      <c r="D153" s="595" t="s">
        <v>1181</v>
      </c>
      <c r="E153" s="596" t="s">
        <v>1105</v>
      </c>
      <c r="F153" s="438">
        <v>1</v>
      </c>
      <c r="G153" s="438">
        <v>0</v>
      </c>
      <c r="H153" s="439">
        <v>112.499987</v>
      </c>
      <c r="I153" s="439">
        <v>0</v>
      </c>
      <c r="K153" s="731"/>
    </row>
    <row r="154" spans="1:11">
      <c r="A154" s="438" t="s">
        <v>320</v>
      </c>
      <c r="B154" s="593">
        <v>16480</v>
      </c>
      <c r="C154" s="438" t="s">
        <v>763</v>
      </c>
      <c r="D154" s="438" t="s">
        <v>1183</v>
      </c>
      <c r="E154" s="438" t="s">
        <v>649</v>
      </c>
      <c r="F154" s="438">
        <v>8</v>
      </c>
      <c r="G154" s="438">
        <v>7</v>
      </c>
      <c r="H154" s="439">
        <v>104.670733</v>
      </c>
      <c r="I154" s="439">
        <v>48.203581</v>
      </c>
      <c r="K154" s="731"/>
    </row>
    <row r="155" spans="1:11">
      <c r="A155" s="438" t="s">
        <v>320</v>
      </c>
      <c r="B155" s="593">
        <v>16669</v>
      </c>
      <c r="C155" s="438" t="s">
        <v>486</v>
      </c>
      <c r="D155" s="438" t="s">
        <v>1181</v>
      </c>
      <c r="E155" s="438" t="s">
        <v>647</v>
      </c>
      <c r="F155" s="438">
        <v>157</v>
      </c>
      <c r="G155" s="438">
        <v>0</v>
      </c>
      <c r="H155" s="439">
        <v>103.70736100000003</v>
      </c>
      <c r="I155" s="439">
        <v>0</v>
      </c>
      <c r="K155" s="731"/>
    </row>
    <row r="156" spans="1:11">
      <c r="A156" s="438" t="s">
        <v>320</v>
      </c>
      <c r="B156" s="593">
        <v>17295</v>
      </c>
      <c r="C156" s="438" t="s">
        <v>1030</v>
      </c>
      <c r="D156" s="438" t="s">
        <v>1197</v>
      </c>
      <c r="E156" s="438" t="s">
        <v>770</v>
      </c>
      <c r="F156" s="438">
        <v>1</v>
      </c>
      <c r="G156" s="438">
        <v>1</v>
      </c>
      <c r="H156" s="439">
        <v>100.65683799999999</v>
      </c>
      <c r="I156" s="439">
        <v>100.65683799999999</v>
      </c>
      <c r="K156" s="731"/>
    </row>
    <row r="157" spans="1:11" hidden="1">
      <c r="A157" s="438" t="s">
        <v>321</v>
      </c>
      <c r="B157" s="594">
        <v>19755</v>
      </c>
      <c r="C157" s="595" t="s">
        <v>761</v>
      </c>
      <c r="D157" s="595" t="s">
        <v>1180</v>
      </c>
      <c r="E157" s="596" t="s">
        <v>675</v>
      </c>
      <c r="F157" s="438">
        <v>1</v>
      </c>
      <c r="G157" s="438">
        <v>0</v>
      </c>
      <c r="H157" s="439">
        <v>95.399997999999997</v>
      </c>
      <c r="I157" s="439">
        <v>0</v>
      </c>
      <c r="K157" s="731"/>
    </row>
    <row r="158" spans="1:11" hidden="1">
      <c r="A158" s="438" t="s">
        <v>320</v>
      </c>
      <c r="B158" s="593">
        <v>22224</v>
      </c>
      <c r="C158" s="438" t="s">
        <v>470</v>
      </c>
      <c r="D158" s="438" t="s">
        <v>1180</v>
      </c>
      <c r="E158" s="438" t="s">
        <v>636</v>
      </c>
      <c r="F158" s="438">
        <v>2</v>
      </c>
      <c r="G158" s="438">
        <v>1</v>
      </c>
      <c r="H158" s="439">
        <v>91.73</v>
      </c>
      <c r="I158" s="439">
        <v>15.78</v>
      </c>
      <c r="K158" s="731"/>
    </row>
    <row r="159" spans="1:11" hidden="1">
      <c r="A159" s="438" t="s">
        <v>320</v>
      </c>
      <c r="B159" s="593">
        <v>18730</v>
      </c>
      <c r="C159" s="438" t="s">
        <v>325</v>
      </c>
      <c r="D159" s="438" t="s">
        <v>1180</v>
      </c>
      <c r="E159" s="438" t="s">
        <v>637</v>
      </c>
      <c r="F159" s="438">
        <v>38</v>
      </c>
      <c r="G159" s="438">
        <v>23</v>
      </c>
      <c r="H159" s="439">
        <v>84.865086000000005</v>
      </c>
      <c r="I159" s="439">
        <v>56.865086000000005</v>
      </c>
      <c r="K159" s="731"/>
    </row>
    <row r="160" spans="1:11">
      <c r="A160" s="438" t="s">
        <v>320</v>
      </c>
      <c r="B160" s="593">
        <v>17482</v>
      </c>
      <c r="C160" s="438" t="s">
        <v>790</v>
      </c>
      <c r="D160" s="438" t="s">
        <v>1183</v>
      </c>
      <c r="E160" s="438" t="s">
        <v>645</v>
      </c>
      <c r="F160" s="438">
        <v>1</v>
      </c>
      <c r="G160" s="438">
        <v>0</v>
      </c>
      <c r="H160" s="439">
        <v>82.298136</v>
      </c>
      <c r="I160" s="439">
        <v>0</v>
      </c>
      <c r="K160" s="731"/>
    </row>
    <row r="161" spans="1:11" hidden="1">
      <c r="A161" s="438" t="s">
        <v>321</v>
      </c>
      <c r="B161" s="594">
        <v>20892</v>
      </c>
      <c r="C161" s="595" t="s">
        <v>433</v>
      </c>
      <c r="D161" s="595" t="s">
        <v>1178</v>
      </c>
      <c r="E161" s="596" t="s">
        <v>657</v>
      </c>
      <c r="F161" s="438">
        <v>8</v>
      </c>
      <c r="G161" s="438">
        <v>6</v>
      </c>
      <c r="H161" s="439">
        <v>78.163837000000001</v>
      </c>
      <c r="I161" s="439">
        <v>78.163837000000001</v>
      </c>
      <c r="K161" s="731"/>
    </row>
    <row r="162" spans="1:11">
      <c r="A162" s="438" t="s">
        <v>320</v>
      </c>
      <c r="B162" s="593">
        <v>15735</v>
      </c>
      <c r="C162" s="438" t="s">
        <v>954</v>
      </c>
      <c r="D162" s="438" t="s">
        <v>1181</v>
      </c>
      <c r="E162" s="438" t="s">
        <v>636</v>
      </c>
      <c r="F162" s="438">
        <v>3</v>
      </c>
      <c r="G162" s="438">
        <v>3</v>
      </c>
      <c r="H162" s="439">
        <v>75.852442999999994</v>
      </c>
      <c r="I162" s="439">
        <v>75.852442999999994</v>
      </c>
      <c r="K162" s="731"/>
    </row>
    <row r="163" spans="1:11" hidden="1">
      <c r="A163" s="438" t="s">
        <v>320</v>
      </c>
      <c r="B163" s="593">
        <v>22403</v>
      </c>
      <c r="C163" s="438" t="s">
        <v>479</v>
      </c>
      <c r="D163" s="438" t="s">
        <v>1180</v>
      </c>
      <c r="E163" s="438" t="s">
        <v>641</v>
      </c>
      <c r="F163" s="438">
        <v>20</v>
      </c>
      <c r="G163" s="438">
        <v>16</v>
      </c>
      <c r="H163" s="439">
        <v>75.140569999999997</v>
      </c>
      <c r="I163" s="439">
        <v>75.140569999999997</v>
      </c>
      <c r="K163" s="731"/>
    </row>
    <row r="164" spans="1:11">
      <c r="A164" s="438" t="s">
        <v>320</v>
      </c>
      <c r="B164" s="593">
        <v>15293</v>
      </c>
      <c r="C164" s="438" t="s">
        <v>508</v>
      </c>
      <c r="D164" s="438" t="s">
        <v>1183</v>
      </c>
      <c r="E164" s="438" t="s">
        <v>645</v>
      </c>
      <c r="F164" s="438">
        <v>21</v>
      </c>
      <c r="G164" s="438">
        <v>2</v>
      </c>
      <c r="H164" s="439">
        <v>74.25891</v>
      </c>
      <c r="I164" s="439">
        <v>74.25891</v>
      </c>
      <c r="K164" s="731"/>
    </row>
    <row r="165" spans="1:11" hidden="1">
      <c r="A165" s="438" t="s">
        <v>321</v>
      </c>
      <c r="B165" s="594">
        <v>21086</v>
      </c>
      <c r="C165" s="595" t="s">
        <v>441</v>
      </c>
      <c r="D165" s="595" t="s">
        <v>1180</v>
      </c>
      <c r="E165" s="596" t="s">
        <v>636</v>
      </c>
      <c r="F165" s="438">
        <v>28</v>
      </c>
      <c r="G165" s="438">
        <v>1</v>
      </c>
      <c r="H165" s="439">
        <v>70.264253999999994</v>
      </c>
      <c r="I165" s="439">
        <v>70.264253999999994</v>
      </c>
      <c r="K165" s="731"/>
    </row>
    <row r="166" spans="1:11">
      <c r="A166" s="438" t="s">
        <v>320</v>
      </c>
      <c r="B166" s="593">
        <v>16901</v>
      </c>
      <c r="C166" s="438" t="s">
        <v>981</v>
      </c>
      <c r="D166" s="438" t="s">
        <v>1182</v>
      </c>
      <c r="E166" s="438" t="s">
        <v>667</v>
      </c>
      <c r="F166" s="438">
        <v>2</v>
      </c>
      <c r="G166" s="438">
        <v>2</v>
      </c>
      <c r="H166" s="439">
        <v>63.168718999999996</v>
      </c>
      <c r="I166" s="439">
        <v>63.168718999999996</v>
      </c>
      <c r="K166" s="731"/>
    </row>
    <row r="167" spans="1:11">
      <c r="A167" s="438" t="s">
        <v>320</v>
      </c>
      <c r="B167" s="593">
        <v>16492</v>
      </c>
      <c r="C167" s="438" t="s">
        <v>682</v>
      </c>
      <c r="D167" s="438" t="s">
        <v>1181</v>
      </c>
      <c r="E167" s="438" t="s">
        <v>647</v>
      </c>
      <c r="F167" s="438">
        <v>3</v>
      </c>
      <c r="G167" s="438">
        <v>1</v>
      </c>
      <c r="H167" s="439">
        <v>62.605042000000005</v>
      </c>
      <c r="I167" s="439">
        <v>0.90961199999999998</v>
      </c>
      <c r="K167" s="731"/>
    </row>
    <row r="168" spans="1:11">
      <c r="A168" s="438" t="s">
        <v>320</v>
      </c>
      <c r="B168" s="593">
        <v>16795</v>
      </c>
      <c r="C168" s="438" t="s">
        <v>627</v>
      </c>
      <c r="D168" s="438" t="s">
        <v>1198</v>
      </c>
      <c r="E168" s="438" t="s">
        <v>1199</v>
      </c>
      <c r="F168" s="438">
        <v>8</v>
      </c>
      <c r="G168" s="438">
        <v>3</v>
      </c>
      <c r="H168" s="439">
        <v>59.828027000000006</v>
      </c>
      <c r="I168" s="439">
        <v>28.522660000000002</v>
      </c>
      <c r="K168" s="731"/>
    </row>
    <row r="169" spans="1:11">
      <c r="A169" s="438" t="s">
        <v>320</v>
      </c>
      <c r="B169" s="593">
        <v>14248</v>
      </c>
      <c r="C169" s="438" t="s">
        <v>739</v>
      </c>
      <c r="D169" s="438" t="s">
        <v>1186</v>
      </c>
      <c r="E169" s="438" t="s">
        <v>637</v>
      </c>
      <c r="F169" s="438">
        <v>27</v>
      </c>
      <c r="G169" s="438">
        <v>26</v>
      </c>
      <c r="H169" s="439">
        <v>57.899984000000003</v>
      </c>
      <c r="I169" s="439">
        <v>37.899984000000003</v>
      </c>
      <c r="K169" s="731"/>
    </row>
    <row r="170" spans="1:11" hidden="1">
      <c r="A170" s="438" t="s">
        <v>321</v>
      </c>
      <c r="B170" s="594">
        <v>18334</v>
      </c>
      <c r="C170" s="595" t="s">
        <v>353</v>
      </c>
      <c r="D170" s="595" t="s">
        <v>1180</v>
      </c>
      <c r="E170" s="596" t="s">
        <v>640</v>
      </c>
      <c r="F170" s="438">
        <v>6</v>
      </c>
      <c r="G170" s="438">
        <v>2</v>
      </c>
      <c r="H170" s="439">
        <v>57.628419999999998</v>
      </c>
      <c r="I170" s="439">
        <v>57.628419999999998</v>
      </c>
      <c r="K170" s="731"/>
    </row>
    <row r="171" spans="1:11">
      <c r="A171" s="438" t="s">
        <v>320</v>
      </c>
      <c r="B171" s="593">
        <v>15752</v>
      </c>
      <c r="C171" s="438" t="s">
        <v>533</v>
      </c>
      <c r="D171" s="438" t="s">
        <v>1188</v>
      </c>
      <c r="E171" s="438" t="s">
        <v>637</v>
      </c>
      <c r="F171" s="438">
        <v>18</v>
      </c>
      <c r="G171" s="438">
        <v>7</v>
      </c>
      <c r="H171" s="439">
        <v>56.558402999999998</v>
      </c>
      <c r="I171" s="439">
        <v>56.558402999999998</v>
      </c>
      <c r="K171" s="731"/>
    </row>
    <row r="172" spans="1:11">
      <c r="A172" s="438" t="s">
        <v>320</v>
      </c>
      <c r="B172" s="593">
        <v>22569</v>
      </c>
      <c r="C172" s="438" t="s">
        <v>774</v>
      </c>
      <c r="D172" s="438" t="s">
        <v>1209</v>
      </c>
      <c r="E172" s="438" t="s">
        <v>738</v>
      </c>
      <c r="F172" s="438">
        <v>1</v>
      </c>
      <c r="G172" s="438">
        <v>0</v>
      </c>
      <c r="H172" s="439">
        <v>54.025325000000002</v>
      </c>
      <c r="I172" s="439">
        <v>0</v>
      </c>
      <c r="K172" s="731"/>
    </row>
    <row r="173" spans="1:11">
      <c r="A173" s="438" t="s">
        <v>320</v>
      </c>
      <c r="B173" s="593">
        <v>17012</v>
      </c>
      <c r="C173" s="438" t="s">
        <v>728</v>
      </c>
      <c r="D173" s="438" t="s">
        <v>1181</v>
      </c>
      <c r="E173" s="438" t="s">
        <v>641</v>
      </c>
      <c r="F173" s="438">
        <v>15</v>
      </c>
      <c r="G173" s="438">
        <v>13</v>
      </c>
      <c r="H173" s="439">
        <v>53.127221000000006</v>
      </c>
      <c r="I173" s="439">
        <v>43.127221000000006</v>
      </c>
      <c r="K173" s="731"/>
    </row>
    <row r="174" spans="1:11">
      <c r="A174" s="438" t="s">
        <v>320</v>
      </c>
      <c r="B174" s="593">
        <v>16333</v>
      </c>
      <c r="C174" s="438" t="s">
        <v>979</v>
      </c>
      <c r="D174" s="438" t="s">
        <v>1181</v>
      </c>
      <c r="E174" s="438" t="s">
        <v>636</v>
      </c>
      <c r="F174" s="438">
        <v>1</v>
      </c>
      <c r="G174" s="438">
        <v>1</v>
      </c>
      <c r="H174" s="439">
        <v>51.189751999999999</v>
      </c>
      <c r="I174" s="439">
        <v>51.189751999999999</v>
      </c>
      <c r="K174" s="731"/>
    </row>
    <row r="175" spans="1:11" hidden="1">
      <c r="A175" s="438" t="s">
        <v>321</v>
      </c>
      <c r="B175" s="594">
        <v>20876</v>
      </c>
      <c r="C175" s="595" t="s">
        <v>432</v>
      </c>
      <c r="D175" s="595" t="s">
        <v>1180</v>
      </c>
      <c r="E175" s="596" t="s">
        <v>636</v>
      </c>
      <c r="F175" s="438">
        <v>3</v>
      </c>
      <c r="G175" s="438">
        <v>1</v>
      </c>
      <c r="H175" s="439">
        <v>49.099980000000002</v>
      </c>
      <c r="I175" s="439">
        <v>49.099980000000002</v>
      </c>
      <c r="K175" s="731"/>
    </row>
    <row r="176" spans="1:11">
      <c r="A176" s="438" t="s">
        <v>320</v>
      </c>
      <c r="B176" s="593">
        <v>15729</v>
      </c>
      <c r="C176" s="438" t="s">
        <v>536</v>
      </c>
      <c r="D176" s="438" t="s">
        <v>1183</v>
      </c>
      <c r="E176" s="438" t="s">
        <v>649</v>
      </c>
      <c r="F176" s="438">
        <v>44</v>
      </c>
      <c r="G176" s="438">
        <v>13</v>
      </c>
      <c r="H176" s="439">
        <v>47.099879999999999</v>
      </c>
      <c r="I176" s="439">
        <v>47.099879999999999</v>
      </c>
      <c r="K176" s="731"/>
    </row>
    <row r="177" spans="1:11">
      <c r="A177" s="438" t="s">
        <v>320</v>
      </c>
      <c r="B177" s="593">
        <v>12705</v>
      </c>
      <c r="C177" s="438" t="s">
        <v>668</v>
      </c>
      <c r="D177" s="438" t="s">
        <v>1181</v>
      </c>
      <c r="E177" s="438" t="s">
        <v>636</v>
      </c>
      <c r="F177" s="438">
        <v>1</v>
      </c>
      <c r="G177" s="438">
        <v>0</v>
      </c>
      <c r="H177" s="439">
        <v>44.209443999999998</v>
      </c>
      <c r="I177" s="439">
        <v>0</v>
      </c>
      <c r="K177" s="731"/>
    </row>
    <row r="178" spans="1:11">
      <c r="A178" s="438" t="s">
        <v>320</v>
      </c>
      <c r="B178" s="593">
        <v>17127</v>
      </c>
      <c r="C178" s="438" t="s">
        <v>772</v>
      </c>
      <c r="D178" s="438" t="s">
        <v>1183</v>
      </c>
      <c r="E178" s="438" t="s">
        <v>645</v>
      </c>
      <c r="F178" s="438">
        <v>7</v>
      </c>
      <c r="G178" s="438">
        <v>6</v>
      </c>
      <c r="H178" s="439">
        <v>40.900553000000002</v>
      </c>
      <c r="I178" s="439">
        <v>15.405374</v>
      </c>
      <c r="K178" s="731"/>
    </row>
    <row r="179" spans="1:11">
      <c r="A179" s="438" t="s">
        <v>320</v>
      </c>
      <c r="B179" s="593">
        <v>16494</v>
      </c>
      <c r="C179" s="438" t="s">
        <v>1200</v>
      </c>
      <c r="D179" s="438" t="s">
        <v>1186</v>
      </c>
      <c r="E179" s="438" t="s">
        <v>637</v>
      </c>
      <c r="F179" s="438">
        <v>9</v>
      </c>
      <c r="G179" s="438">
        <v>8</v>
      </c>
      <c r="H179" s="439">
        <v>40.506781000000004</v>
      </c>
      <c r="I179" s="439">
        <v>24.565548</v>
      </c>
      <c r="K179" s="731"/>
    </row>
    <row r="180" spans="1:11" hidden="1">
      <c r="A180" s="438" t="s">
        <v>321</v>
      </c>
      <c r="B180" s="594">
        <v>18672</v>
      </c>
      <c r="C180" s="595" t="s">
        <v>359</v>
      </c>
      <c r="D180" s="595" t="s">
        <v>1180</v>
      </c>
      <c r="E180" s="596" t="s">
        <v>675</v>
      </c>
      <c r="F180" s="438">
        <v>68</v>
      </c>
      <c r="G180" s="438">
        <v>0</v>
      </c>
      <c r="H180" s="439">
        <v>39.836182999999998</v>
      </c>
      <c r="I180" s="439">
        <v>0</v>
      </c>
      <c r="K180" s="731"/>
    </row>
    <row r="181" spans="1:11">
      <c r="A181" s="438" t="s">
        <v>320</v>
      </c>
      <c r="B181" s="593">
        <v>16803</v>
      </c>
      <c r="C181" s="438" t="s">
        <v>935</v>
      </c>
      <c r="D181" s="438" t="s">
        <v>1181</v>
      </c>
      <c r="E181" s="438" t="s">
        <v>643</v>
      </c>
      <c r="F181" s="438">
        <v>10</v>
      </c>
      <c r="G181" s="438">
        <v>10</v>
      </c>
      <c r="H181" s="439">
        <v>39.499988999999999</v>
      </c>
      <c r="I181" s="439">
        <v>39.499988999999999</v>
      </c>
      <c r="K181" s="731"/>
    </row>
    <row r="182" spans="1:11">
      <c r="A182" s="438" t="s">
        <v>320</v>
      </c>
      <c r="B182" s="593">
        <v>10843</v>
      </c>
      <c r="C182" s="438" t="s">
        <v>933</v>
      </c>
      <c r="D182" s="438" t="s">
        <v>1183</v>
      </c>
      <c r="E182" s="438" t="s">
        <v>649</v>
      </c>
      <c r="F182" s="438">
        <v>1</v>
      </c>
      <c r="G182" s="438">
        <v>1</v>
      </c>
      <c r="H182" s="439">
        <v>34.222149000000002</v>
      </c>
      <c r="I182" s="439">
        <v>34.222149000000002</v>
      </c>
      <c r="K182" s="731"/>
    </row>
    <row r="183" spans="1:11">
      <c r="A183" s="438" t="s">
        <v>320</v>
      </c>
      <c r="B183" s="593">
        <v>16090</v>
      </c>
      <c r="C183" s="438" t="s">
        <v>765</v>
      </c>
      <c r="D183" s="438" t="s">
        <v>1183</v>
      </c>
      <c r="E183" s="438" t="s">
        <v>645</v>
      </c>
      <c r="F183" s="438">
        <v>3</v>
      </c>
      <c r="G183" s="438">
        <v>2</v>
      </c>
      <c r="H183" s="439">
        <v>33.103523000000003</v>
      </c>
      <c r="I183" s="439">
        <v>33.103523000000003</v>
      </c>
      <c r="K183" s="731"/>
    </row>
    <row r="184" spans="1:11">
      <c r="A184" s="438" t="s">
        <v>320</v>
      </c>
      <c r="B184" s="593">
        <v>12663</v>
      </c>
      <c r="C184" s="438" t="s">
        <v>977</v>
      </c>
      <c r="D184" s="438" t="s">
        <v>1181</v>
      </c>
      <c r="E184" s="438" t="s">
        <v>636</v>
      </c>
      <c r="F184" s="438">
        <v>1</v>
      </c>
      <c r="G184" s="438">
        <v>1</v>
      </c>
      <c r="H184" s="439">
        <v>29.170961999999999</v>
      </c>
      <c r="I184" s="439">
        <v>29.170961999999999</v>
      </c>
      <c r="K184" s="731"/>
    </row>
    <row r="185" spans="1:11">
      <c r="A185" s="438" t="s">
        <v>320</v>
      </c>
      <c r="B185" s="593">
        <v>16955</v>
      </c>
      <c r="C185" s="438" t="s">
        <v>629</v>
      </c>
      <c r="D185" s="438" t="s">
        <v>1181</v>
      </c>
      <c r="E185" s="438" t="s">
        <v>636</v>
      </c>
      <c r="F185" s="438">
        <v>23</v>
      </c>
      <c r="G185" s="438">
        <v>19</v>
      </c>
      <c r="H185" s="439">
        <v>29.068643999999999</v>
      </c>
      <c r="I185" s="439">
        <v>0</v>
      </c>
      <c r="K185" s="731"/>
    </row>
    <row r="186" spans="1:11">
      <c r="A186" s="438" t="s">
        <v>320</v>
      </c>
      <c r="B186" s="593">
        <v>14025</v>
      </c>
      <c r="C186" s="438" t="s">
        <v>600</v>
      </c>
      <c r="D186" s="438" t="s">
        <v>1184</v>
      </c>
      <c r="E186" s="438" t="s">
        <v>886</v>
      </c>
      <c r="F186" s="438">
        <v>18</v>
      </c>
      <c r="G186" s="438">
        <v>9</v>
      </c>
      <c r="H186" s="439">
        <v>25.659882</v>
      </c>
      <c r="I186" s="439">
        <v>25.659882</v>
      </c>
      <c r="K186" s="731"/>
    </row>
    <row r="187" spans="1:11">
      <c r="A187" s="438" t="s">
        <v>320</v>
      </c>
      <c r="B187" s="593">
        <v>16360</v>
      </c>
      <c r="C187" s="438" t="s">
        <v>622</v>
      </c>
      <c r="D187" s="438" t="s">
        <v>1181</v>
      </c>
      <c r="E187" s="438" t="s">
        <v>636</v>
      </c>
      <c r="F187" s="438">
        <v>5</v>
      </c>
      <c r="G187" s="438">
        <v>3</v>
      </c>
      <c r="H187" s="439">
        <v>25.199964000000001</v>
      </c>
      <c r="I187" s="439">
        <v>25.199964000000001</v>
      </c>
      <c r="K187" s="731"/>
    </row>
    <row r="188" spans="1:11">
      <c r="A188" s="438" t="s">
        <v>320</v>
      </c>
      <c r="B188" s="593">
        <v>16052</v>
      </c>
      <c r="C188" s="438" t="s">
        <v>619</v>
      </c>
      <c r="D188" s="438" t="s">
        <v>1186</v>
      </c>
      <c r="E188" s="438" t="s">
        <v>637</v>
      </c>
      <c r="F188" s="438">
        <v>11</v>
      </c>
      <c r="G188" s="438">
        <v>3</v>
      </c>
      <c r="H188" s="439">
        <v>24.258951</v>
      </c>
      <c r="I188" s="439">
        <v>24.258951</v>
      </c>
      <c r="K188" s="731"/>
    </row>
    <row r="189" spans="1:11" hidden="1">
      <c r="A189" s="438" t="s">
        <v>321</v>
      </c>
      <c r="B189" s="594">
        <v>20043</v>
      </c>
      <c r="C189" s="595" t="s">
        <v>408</v>
      </c>
      <c r="D189" s="595" t="s">
        <v>1180</v>
      </c>
      <c r="E189" s="596" t="s">
        <v>888</v>
      </c>
      <c r="F189" s="438">
        <v>5</v>
      </c>
      <c r="G189" s="438">
        <v>2</v>
      </c>
      <c r="H189" s="439">
        <v>21.399998</v>
      </c>
      <c r="I189" s="439">
        <v>21.399998</v>
      </c>
      <c r="K189" s="731"/>
    </row>
    <row r="190" spans="1:11" hidden="1">
      <c r="A190" s="438" t="s">
        <v>321</v>
      </c>
      <c r="B190" s="594">
        <v>21068</v>
      </c>
      <c r="C190" s="595" t="s">
        <v>1107</v>
      </c>
      <c r="D190" s="595" t="s">
        <v>1180</v>
      </c>
      <c r="E190" s="596" t="s">
        <v>736</v>
      </c>
      <c r="F190" s="438">
        <v>1</v>
      </c>
      <c r="G190" s="438">
        <v>0</v>
      </c>
      <c r="H190" s="439">
        <v>21</v>
      </c>
      <c r="I190" s="439">
        <v>0</v>
      </c>
      <c r="K190" s="731"/>
    </row>
    <row r="191" spans="1:11">
      <c r="A191" s="438" t="s">
        <v>320</v>
      </c>
      <c r="B191" s="593">
        <v>17128</v>
      </c>
      <c r="C191" s="438" t="s">
        <v>773</v>
      </c>
      <c r="D191" s="438" t="s">
        <v>1183</v>
      </c>
      <c r="E191" s="438" t="s">
        <v>645</v>
      </c>
      <c r="F191" s="438">
        <v>5</v>
      </c>
      <c r="G191" s="438">
        <v>4</v>
      </c>
      <c r="H191" s="439">
        <v>19.336514999999999</v>
      </c>
      <c r="I191" s="439">
        <v>3.8673920000000002</v>
      </c>
      <c r="K191" s="731"/>
    </row>
    <row r="192" spans="1:11">
      <c r="A192" s="438" t="s">
        <v>320</v>
      </c>
      <c r="B192" s="593">
        <v>16403</v>
      </c>
      <c r="C192" s="438" t="s">
        <v>679</v>
      </c>
      <c r="D192" s="438" t="s">
        <v>1183</v>
      </c>
      <c r="E192" s="438" t="s">
        <v>648</v>
      </c>
      <c r="F192" s="438">
        <v>1</v>
      </c>
      <c r="G192" s="438">
        <v>1</v>
      </c>
      <c r="H192" s="439">
        <v>19.229869000000001</v>
      </c>
      <c r="I192" s="439">
        <v>19.229869000000001</v>
      </c>
      <c r="K192" s="731"/>
    </row>
    <row r="193" spans="1:11" hidden="1">
      <c r="A193" s="438" t="s">
        <v>321</v>
      </c>
      <c r="B193" s="594">
        <v>19098</v>
      </c>
      <c r="C193" s="595" t="s">
        <v>372</v>
      </c>
      <c r="D193" s="595" t="s">
        <v>1180</v>
      </c>
      <c r="E193" s="596" t="s">
        <v>738</v>
      </c>
      <c r="F193" s="438">
        <v>21</v>
      </c>
      <c r="G193" s="438">
        <v>2</v>
      </c>
      <c r="H193" s="439">
        <v>18.799998000000002</v>
      </c>
      <c r="I193" s="439">
        <v>18.799998000000002</v>
      </c>
      <c r="K193" s="731"/>
    </row>
    <row r="194" spans="1:11">
      <c r="A194" s="438" t="s">
        <v>320</v>
      </c>
      <c r="B194" s="593">
        <v>16322</v>
      </c>
      <c r="C194" s="438" t="s">
        <v>621</v>
      </c>
      <c r="D194" s="438" t="s">
        <v>1188</v>
      </c>
      <c r="E194" s="438" t="s">
        <v>637</v>
      </c>
      <c r="F194" s="438">
        <v>4</v>
      </c>
      <c r="G194" s="438">
        <v>2</v>
      </c>
      <c r="H194" s="439">
        <v>17.786426000000002</v>
      </c>
      <c r="I194" s="439">
        <v>17.786426000000002</v>
      </c>
      <c r="K194" s="731"/>
    </row>
    <row r="195" spans="1:11" hidden="1">
      <c r="A195" s="438" t="s">
        <v>321</v>
      </c>
      <c r="B195" s="594">
        <v>21462</v>
      </c>
      <c r="C195" s="595" t="s">
        <v>448</v>
      </c>
      <c r="D195" s="595" t="s">
        <v>1178</v>
      </c>
      <c r="E195" s="596" t="s">
        <v>648</v>
      </c>
      <c r="F195" s="438">
        <v>10</v>
      </c>
      <c r="G195" s="438">
        <v>3</v>
      </c>
      <c r="H195" s="439">
        <v>17</v>
      </c>
      <c r="I195" s="439">
        <v>17</v>
      </c>
      <c r="K195" s="731"/>
    </row>
    <row r="196" spans="1:11" hidden="1">
      <c r="A196" s="438" t="s">
        <v>321</v>
      </c>
      <c r="B196" s="594">
        <v>18819</v>
      </c>
      <c r="C196" s="595" t="s">
        <v>365</v>
      </c>
      <c r="D196" s="595" t="s">
        <v>1180</v>
      </c>
      <c r="E196" s="596" t="s">
        <v>676</v>
      </c>
      <c r="F196" s="438">
        <v>4</v>
      </c>
      <c r="G196" s="438">
        <v>1</v>
      </c>
      <c r="H196" s="439">
        <v>16</v>
      </c>
      <c r="I196" s="439">
        <v>16</v>
      </c>
      <c r="K196" s="731"/>
    </row>
    <row r="197" spans="1:11">
      <c r="A197" s="438" t="s">
        <v>320</v>
      </c>
      <c r="B197" s="593">
        <v>17176</v>
      </c>
      <c r="C197" s="438" t="s">
        <v>634</v>
      </c>
      <c r="D197" s="438" t="s">
        <v>1186</v>
      </c>
      <c r="E197" s="438" t="s">
        <v>657</v>
      </c>
      <c r="F197" s="438">
        <v>32</v>
      </c>
      <c r="G197" s="438">
        <v>1</v>
      </c>
      <c r="H197" s="439">
        <v>15.474752000000001</v>
      </c>
      <c r="I197" s="439">
        <v>1</v>
      </c>
      <c r="K197" s="731"/>
    </row>
    <row r="198" spans="1:11">
      <c r="A198" s="438" t="s">
        <v>320</v>
      </c>
      <c r="B198" s="593">
        <v>14109</v>
      </c>
      <c r="C198" s="438" t="s">
        <v>984</v>
      </c>
      <c r="D198" s="438" t="s">
        <v>1201</v>
      </c>
      <c r="E198" s="438" t="s">
        <v>648</v>
      </c>
      <c r="F198" s="438">
        <v>1</v>
      </c>
      <c r="G198" s="438">
        <v>1</v>
      </c>
      <c r="H198" s="439">
        <v>15.195133</v>
      </c>
      <c r="I198" s="439">
        <v>15.195133</v>
      </c>
      <c r="K198" s="731"/>
    </row>
    <row r="199" spans="1:11" hidden="1">
      <c r="A199" s="438" t="s">
        <v>321</v>
      </c>
      <c r="B199" s="594">
        <v>21601</v>
      </c>
      <c r="C199" s="595" t="s">
        <v>843</v>
      </c>
      <c r="D199" s="595" t="s">
        <v>1178</v>
      </c>
      <c r="E199" s="596" t="s">
        <v>653</v>
      </c>
      <c r="F199" s="438">
        <v>4</v>
      </c>
      <c r="G199" s="438">
        <v>4</v>
      </c>
      <c r="H199" s="439">
        <v>12.073947</v>
      </c>
      <c r="I199" s="439">
        <v>12.073947</v>
      </c>
      <c r="K199" s="731"/>
    </row>
    <row r="200" spans="1:11">
      <c r="A200" s="438" t="s">
        <v>320</v>
      </c>
      <c r="B200" s="593">
        <v>8932</v>
      </c>
      <c r="C200" s="438" t="s">
        <v>768</v>
      </c>
      <c r="D200" s="438" t="s">
        <v>1196</v>
      </c>
      <c r="E200" s="438" t="s">
        <v>648</v>
      </c>
      <c r="F200" s="438">
        <v>1</v>
      </c>
      <c r="G200" s="438">
        <v>0</v>
      </c>
      <c r="H200" s="439">
        <v>10.441986</v>
      </c>
      <c r="I200" s="439">
        <v>0</v>
      </c>
      <c r="K200" s="731"/>
    </row>
    <row r="201" spans="1:11" hidden="1">
      <c r="A201" s="438" t="s">
        <v>321</v>
      </c>
      <c r="B201" s="594">
        <v>19950</v>
      </c>
      <c r="C201" s="595" t="s">
        <v>323</v>
      </c>
      <c r="D201" s="595" t="s">
        <v>1178</v>
      </c>
      <c r="E201" s="596" t="s">
        <v>653</v>
      </c>
      <c r="F201" s="438">
        <v>18</v>
      </c>
      <c r="G201" s="438">
        <v>17</v>
      </c>
      <c r="H201" s="439">
        <v>10.008232</v>
      </c>
      <c r="I201" s="439">
        <v>10.008232</v>
      </c>
      <c r="K201" s="731"/>
    </row>
    <row r="202" spans="1:11">
      <c r="A202" s="438" t="s">
        <v>320</v>
      </c>
      <c r="B202" s="593">
        <v>12527</v>
      </c>
      <c r="C202" s="438" t="s">
        <v>593</v>
      </c>
      <c r="D202" s="438" t="s">
        <v>1181</v>
      </c>
      <c r="E202" s="438" t="s">
        <v>637</v>
      </c>
      <c r="F202" s="438">
        <v>17</v>
      </c>
      <c r="G202" s="438">
        <v>3</v>
      </c>
      <c r="H202" s="439">
        <v>9.4209820000000004</v>
      </c>
      <c r="I202" s="439">
        <v>9.4209820000000004</v>
      </c>
      <c r="K202" s="731"/>
    </row>
    <row r="203" spans="1:11">
      <c r="A203" s="438" t="s">
        <v>320</v>
      </c>
      <c r="B203" s="593">
        <v>10827</v>
      </c>
      <c r="C203" s="438" t="s">
        <v>530</v>
      </c>
      <c r="D203" s="438" t="s">
        <v>1184</v>
      </c>
      <c r="E203" s="438" t="s">
        <v>648</v>
      </c>
      <c r="F203" s="438">
        <v>8</v>
      </c>
      <c r="G203" s="438">
        <v>1</v>
      </c>
      <c r="H203" s="439">
        <v>8.7857160000000007</v>
      </c>
      <c r="I203" s="439">
        <v>0</v>
      </c>
      <c r="K203" s="731"/>
    </row>
    <row r="204" spans="1:11">
      <c r="A204" s="438" t="s">
        <v>320</v>
      </c>
      <c r="B204" s="593">
        <v>16730</v>
      </c>
      <c r="C204" s="438" t="s">
        <v>771</v>
      </c>
      <c r="D204" s="438" t="s">
        <v>1186</v>
      </c>
      <c r="E204" s="438" t="s">
        <v>637</v>
      </c>
      <c r="F204" s="438">
        <v>7</v>
      </c>
      <c r="G204" s="438">
        <v>4</v>
      </c>
      <c r="H204" s="439">
        <v>7.3329979999999999</v>
      </c>
      <c r="I204" s="439">
        <v>0</v>
      </c>
      <c r="K204" s="731"/>
    </row>
    <row r="205" spans="1:11">
      <c r="A205" s="438" t="s">
        <v>320</v>
      </c>
      <c r="B205" s="593">
        <v>23081</v>
      </c>
      <c r="C205" s="438" t="s">
        <v>759</v>
      </c>
      <c r="D205" s="438" t="s">
        <v>1181</v>
      </c>
      <c r="E205" s="438" t="s">
        <v>636</v>
      </c>
      <c r="F205" s="438">
        <v>1</v>
      </c>
      <c r="G205" s="438">
        <v>0</v>
      </c>
      <c r="H205" s="439">
        <v>7.1949969999999999</v>
      </c>
      <c r="I205" s="439">
        <v>0</v>
      </c>
      <c r="K205" s="731"/>
    </row>
    <row r="206" spans="1:11">
      <c r="A206" s="438" t="s">
        <v>320</v>
      </c>
      <c r="B206" s="593">
        <v>6096</v>
      </c>
      <c r="C206" s="438" t="s">
        <v>787</v>
      </c>
      <c r="D206" s="438" t="s">
        <v>1181</v>
      </c>
      <c r="E206" s="438" t="s">
        <v>656</v>
      </c>
      <c r="F206" s="438">
        <v>1</v>
      </c>
      <c r="G206" s="438">
        <v>0</v>
      </c>
      <c r="H206" s="439">
        <v>7.0027179999999998</v>
      </c>
      <c r="I206" s="439">
        <v>0</v>
      </c>
      <c r="K206" s="731"/>
    </row>
    <row r="207" spans="1:11">
      <c r="A207" s="438" t="s">
        <v>320</v>
      </c>
      <c r="B207" s="593">
        <v>16036</v>
      </c>
      <c r="C207" s="438" t="s">
        <v>541</v>
      </c>
      <c r="D207" s="438" t="s">
        <v>1202</v>
      </c>
      <c r="E207" s="438" t="s">
        <v>636</v>
      </c>
      <c r="F207" s="438">
        <v>12</v>
      </c>
      <c r="G207" s="438">
        <v>10</v>
      </c>
      <c r="H207" s="439">
        <v>5.6398789999999996</v>
      </c>
      <c r="I207" s="439">
        <v>5.6398789999999996</v>
      </c>
      <c r="K207" s="731"/>
    </row>
    <row r="208" spans="1:11">
      <c r="A208" s="438" t="s">
        <v>320</v>
      </c>
      <c r="B208" s="593">
        <v>15078</v>
      </c>
      <c r="C208" s="438" t="s">
        <v>609</v>
      </c>
      <c r="D208" s="438" t="s">
        <v>1185</v>
      </c>
      <c r="E208" s="438" t="s">
        <v>639</v>
      </c>
      <c r="F208" s="438">
        <v>87</v>
      </c>
      <c r="G208" s="438">
        <v>2</v>
      </c>
      <c r="H208" s="439">
        <v>4.7894389999999998</v>
      </c>
      <c r="I208" s="439">
        <v>4.7894389999999998</v>
      </c>
      <c r="K208" s="731"/>
    </row>
    <row r="209" spans="1:11" hidden="1">
      <c r="A209" s="438" t="s">
        <v>321</v>
      </c>
      <c r="B209" s="594">
        <v>22339</v>
      </c>
      <c r="C209" s="595" t="s">
        <v>476</v>
      </c>
      <c r="D209" s="595" t="s">
        <v>1178</v>
      </c>
      <c r="E209" s="596" t="s">
        <v>675</v>
      </c>
      <c r="F209" s="438">
        <v>2</v>
      </c>
      <c r="G209" s="438">
        <v>0</v>
      </c>
      <c r="H209" s="439">
        <v>4</v>
      </c>
      <c r="I209" s="439">
        <v>0</v>
      </c>
      <c r="K209" s="731"/>
    </row>
    <row r="210" spans="1:11">
      <c r="A210" s="438" t="s">
        <v>320</v>
      </c>
      <c r="B210" s="593">
        <v>17509</v>
      </c>
      <c r="C210" s="438" t="s">
        <v>729</v>
      </c>
      <c r="D210" s="438" t="s">
        <v>1183</v>
      </c>
      <c r="E210" s="438" t="s">
        <v>649</v>
      </c>
      <c r="F210" s="438">
        <v>5</v>
      </c>
      <c r="G210" s="438">
        <v>4</v>
      </c>
      <c r="H210" s="439">
        <v>3.9464290000000002</v>
      </c>
      <c r="I210" s="439">
        <v>3.9464290000000002</v>
      </c>
      <c r="K210" s="731"/>
    </row>
    <row r="211" spans="1:11">
      <c r="A211" s="438" t="s">
        <v>320</v>
      </c>
      <c r="B211" s="593">
        <v>13676</v>
      </c>
      <c r="C211" s="438" t="s">
        <v>1029</v>
      </c>
      <c r="D211" s="438" t="s">
        <v>1201</v>
      </c>
      <c r="E211" s="438" t="s">
        <v>636</v>
      </c>
      <c r="F211" s="438">
        <v>1</v>
      </c>
      <c r="G211" s="438">
        <v>1</v>
      </c>
      <c r="H211" s="439">
        <v>3.699999</v>
      </c>
      <c r="I211" s="439">
        <v>3.699999</v>
      </c>
      <c r="K211" s="731"/>
    </row>
    <row r="212" spans="1:11">
      <c r="A212" s="438" t="s">
        <v>320</v>
      </c>
      <c r="B212" s="593">
        <v>16181</v>
      </c>
      <c r="C212" s="438" t="s">
        <v>490</v>
      </c>
      <c r="D212" s="438" t="s">
        <v>1181</v>
      </c>
      <c r="E212" s="438" t="s">
        <v>647</v>
      </c>
      <c r="F212" s="438">
        <v>57</v>
      </c>
      <c r="G212" s="438">
        <v>0</v>
      </c>
      <c r="H212" s="439">
        <v>3.2834839999999996</v>
      </c>
      <c r="I212" s="439">
        <v>0</v>
      </c>
      <c r="K212" s="731"/>
    </row>
    <row r="213" spans="1:11">
      <c r="A213" s="438" t="s">
        <v>320</v>
      </c>
      <c r="B213" s="593">
        <v>9461</v>
      </c>
      <c r="C213" s="438" t="s">
        <v>786</v>
      </c>
      <c r="D213" s="438" t="s">
        <v>1210</v>
      </c>
      <c r="E213" s="438" t="s">
        <v>642</v>
      </c>
      <c r="F213" s="438">
        <v>37</v>
      </c>
      <c r="G213" s="438">
        <v>0</v>
      </c>
      <c r="H213" s="439">
        <v>3.0464260000000003</v>
      </c>
      <c r="I213" s="439">
        <v>0</v>
      </c>
      <c r="K213" s="731"/>
    </row>
    <row r="214" spans="1:11">
      <c r="A214" s="438" t="s">
        <v>320</v>
      </c>
      <c r="B214" s="593">
        <v>7776</v>
      </c>
      <c r="C214" s="438" t="s">
        <v>539</v>
      </c>
      <c r="D214" s="438" t="s">
        <v>1177</v>
      </c>
      <c r="E214" s="438" t="s">
        <v>640</v>
      </c>
      <c r="F214" s="438">
        <v>10</v>
      </c>
      <c r="G214" s="438">
        <v>0</v>
      </c>
      <c r="H214" s="439">
        <v>3.0457160000000001</v>
      </c>
      <c r="I214" s="439">
        <v>0</v>
      </c>
      <c r="K214" s="731"/>
    </row>
    <row r="215" spans="1:11">
      <c r="A215" s="438" t="s">
        <v>320</v>
      </c>
      <c r="B215" s="593">
        <v>15655</v>
      </c>
      <c r="C215" s="438" t="s">
        <v>542</v>
      </c>
      <c r="D215" s="438" t="s">
        <v>1188</v>
      </c>
      <c r="E215" s="438" t="s">
        <v>636</v>
      </c>
      <c r="F215" s="438">
        <v>3</v>
      </c>
      <c r="G215" s="438">
        <v>2</v>
      </c>
      <c r="H215" s="439">
        <v>3</v>
      </c>
      <c r="I215" s="439">
        <v>3</v>
      </c>
      <c r="K215" s="731"/>
    </row>
    <row r="216" spans="1:11">
      <c r="A216" s="438" t="s">
        <v>320</v>
      </c>
      <c r="B216" s="593">
        <v>8058</v>
      </c>
      <c r="C216" s="438" t="s">
        <v>556</v>
      </c>
      <c r="D216" s="438" t="s">
        <v>1181</v>
      </c>
      <c r="E216" s="438" t="s">
        <v>658</v>
      </c>
      <c r="F216" s="438">
        <v>2</v>
      </c>
      <c r="G216" s="438">
        <v>0</v>
      </c>
      <c r="H216" s="439">
        <v>2.7042769999999998</v>
      </c>
      <c r="I216" s="439">
        <v>0</v>
      </c>
      <c r="K216" s="731"/>
    </row>
    <row r="217" spans="1:11">
      <c r="A217" s="438" t="s">
        <v>320</v>
      </c>
      <c r="B217" s="593">
        <v>14752</v>
      </c>
      <c r="C217" s="438" t="s">
        <v>951</v>
      </c>
      <c r="D217" s="438" t="s">
        <v>1185</v>
      </c>
      <c r="E217" s="438" t="s">
        <v>636</v>
      </c>
      <c r="F217" s="438">
        <v>1</v>
      </c>
      <c r="G217" s="438">
        <v>1</v>
      </c>
      <c r="H217" s="439">
        <v>1.883486</v>
      </c>
      <c r="I217" s="439">
        <v>1.883486</v>
      </c>
      <c r="K217" s="731"/>
    </row>
    <row r="218" spans="1:11">
      <c r="A218" s="438" t="s">
        <v>320</v>
      </c>
      <c r="B218" s="593">
        <v>12669</v>
      </c>
      <c r="C218" s="438" t="s">
        <v>595</v>
      </c>
      <c r="D218" s="438" t="s">
        <v>1184</v>
      </c>
      <c r="E218" s="438" t="s">
        <v>656</v>
      </c>
      <c r="F218" s="438">
        <v>33</v>
      </c>
      <c r="G218" s="438">
        <v>1</v>
      </c>
      <c r="H218" s="439">
        <v>1.3999980000000001</v>
      </c>
      <c r="I218" s="439">
        <v>0</v>
      </c>
      <c r="K218" s="731"/>
    </row>
    <row r="219" spans="1:11">
      <c r="A219" s="438" t="s">
        <v>320</v>
      </c>
      <c r="B219" s="593">
        <v>17391</v>
      </c>
      <c r="C219" s="438" t="s">
        <v>345</v>
      </c>
      <c r="D219" s="438" t="s">
        <v>1211</v>
      </c>
      <c r="E219" s="438" t="s">
        <v>736</v>
      </c>
      <c r="F219" s="438">
        <v>14</v>
      </c>
      <c r="G219" s="438">
        <v>2</v>
      </c>
      <c r="H219" s="439">
        <v>1.0931040000000001</v>
      </c>
      <c r="I219" s="439">
        <v>0</v>
      </c>
      <c r="K219" s="731"/>
    </row>
    <row r="220" spans="1:11">
      <c r="A220" s="438" t="s">
        <v>320</v>
      </c>
      <c r="B220" s="593">
        <v>15702</v>
      </c>
      <c r="C220" s="438" t="s">
        <v>491</v>
      </c>
      <c r="D220" s="438" t="s">
        <v>1181</v>
      </c>
      <c r="E220" s="438" t="s">
        <v>647</v>
      </c>
      <c r="F220" s="438">
        <v>10</v>
      </c>
      <c r="G220" s="438">
        <v>0</v>
      </c>
      <c r="H220" s="439">
        <v>1.03742</v>
      </c>
      <c r="I220" s="439">
        <v>0</v>
      </c>
      <c r="K220" s="731"/>
    </row>
    <row r="221" spans="1:11">
      <c r="A221" s="438" t="s">
        <v>320</v>
      </c>
      <c r="B221" s="593">
        <v>16364</v>
      </c>
      <c r="C221" s="438" t="s">
        <v>623</v>
      </c>
      <c r="D221" s="438" t="s">
        <v>1181</v>
      </c>
      <c r="E221" s="438" t="s">
        <v>658</v>
      </c>
      <c r="F221" s="438">
        <v>3</v>
      </c>
      <c r="G221" s="438">
        <v>0</v>
      </c>
      <c r="H221" s="439">
        <v>0.94642899999999996</v>
      </c>
      <c r="I221" s="439">
        <v>0</v>
      </c>
      <c r="K221" s="731"/>
    </row>
    <row r="222" spans="1:11">
      <c r="A222" s="438" t="s">
        <v>320</v>
      </c>
      <c r="B222" s="593">
        <v>15185</v>
      </c>
      <c r="C222" s="438" t="s">
        <v>610</v>
      </c>
      <c r="D222" s="438" t="s">
        <v>1212</v>
      </c>
      <c r="E222" s="438" t="s">
        <v>636</v>
      </c>
      <c r="F222" s="438">
        <v>3</v>
      </c>
      <c r="G222" s="438">
        <v>0</v>
      </c>
      <c r="H222" s="439">
        <v>0.63926099999999997</v>
      </c>
      <c r="I222" s="439">
        <v>0</v>
      </c>
      <c r="K222" s="731"/>
    </row>
    <row r="223" spans="1:11">
      <c r="A223" s="438" t="s">
        <v>320</v>
      </c>
      <c r="B223" s="593">
        <v>16154</v>
      </c>
      <c r="C223" s="438" t="s">
        <v>681</v>
      </c>
      <c r="D223" s="438" t="s">
        <v>1213</v>
      </c>
      <c r="E223" s="438" t="s">
        <v>736</v>
      </c>
      <c r="F223" s="438">
        <v>7</v>
      </c>
      <c r="G223" s="438">
        <v>0</v>
      </c>
      <c r="H223" s="439">
        <v>0.27327600000000002</v>
      </c>
      <c r="I223" s="439">
        <v>0</v>
      </c>
      <c r="K223" s="731"/>
    </row>
    <row r="224" spans="1:11">
      <c r="A224" s="438" t="s">
        <v>320</v>
      </c>
      <c r="B224" s="593">
        <v>7</v>
      </c>
      <c r="C224" s="438" t="s">
        <v>758</v>
      </c>
      <c r="D224" s="438" t="s">
        <v>1181</v>
      </c>
      <c r="E224" s="438" t="s">
        <v>636</v>
      </c>
      <c r="F224" s="438">
        <v>1</v>
      </c>
      <c r="G224" s="438">
        <v>0</v>
      </c>
      <c r="H224" s="439">
        <v>0</v>
      </c>
      <c r="I224" s="439">
        <v>0</v>
      </c>
      <c r="K224" s="731"/>
    </row>
    <row r="225" spans="1:11">
      <c r="A225" s="438" t="s">
        <v>320</v>
      </c>
      <c r="B225" s="593">
        <v>1497</v>
      </c>
      <c r="C225" s="438" t="s">
        <v>545</v>
      </c>
      <c r="D225" s="438" t="s">
        <v>1181</v>
      </c>
      <c r="E225" s="438" t="s">
        <v>636</v>
      </c>
      <c r="F225" s="438">
        <v>1</v>
      </c>
      <c r="G225" s="438">
        <v>0</v>
      </c>
      <c r="H225" s="439">
        <v>0</v>
      </c>
      <c r="I225" s="439">
        <v>0</v>
      </c>
      <c r="K225" s="731"/>
    </row>
    <row r="226" spans="1:11">
      <c r="A226" s="438" t="s">
        <v>320</v>
      </c>
      <c r="B226" s="593">
        <v>3894</v>
      </c>
      <c r="C226" s="438" t="s">
        <v>546</v>
      </c>
      <c r="D226" s="438" t="s">
        <v>1181</v>
      </c>
      <c r="E226" s="438" t="s">
        <v>636</v>
      </c>
      <c r="F226" s="438">
        <v>1</v>
      </c>
      <c r="G226" s="438">
        <v>0</v>
      </c>
      <c r="H226" s="439">
        <v>0</v>
      </c>
      <c r="I226" s="439">
        <v>0</v>
      </c>
      <c r="K226" s="731"/>
    </row>
    <row r="227" spans="1:11">
      <c r="A227" s="438" t="s">
        <v>320</v>
      </c>
      <c r="B227" s="593">
        <v>5385</v>
      </c>
      <c r="C227" s="438" t="s">
        <v>547</v>
      </c>
      <c r="D227" s="438" t="s">
        <v>1181</v>
      </c>
      <c r="E227" s="438" t="s">
        <v>636</v>
      </c>
      <c r="F227" s="438">
        <v>1</v>
      </c>
      <c r="G227" s="438">
        <v>0</v>
      </c>
      <c r="H227" s="439">
        <v>0</v>
      </c>
      <c r="I227" s="439">
        <v>0</v>
      </c>
      <c r="K227" s="731"/>
    </row>
    <row r="228" spans="1:11">
      <c r="A228" s="438" t="s">
        <v>320</v>
      </c>
      <c r="B228" s="593">
        <v>7041</v>
      </c>
      <c r="C228" s="438" t="s">
        <v>1224</v>
      </c>
      <c r="D228" s="438" t="s">
        <v>1181</v>
      </c>
      <c r="E228" s="438" t="s">
        <v>636</v>
      </c>
      <c r="F228" s="438">
        <v>1</v>
      </c>
      <c r="G228" s="438">
        <v>0</v>
      </c>
      <c r="H228" s="439">
        <v>0</v>
      </c>
      <c r="I228" s="439">
        <v>0</v>
      </c>
      <c r="K228" s="731"/>
    </row>
    <row r="229" spans="1:11">
      <c r="A229" s="438" t="s">
        <v>320</v>
      </c>
      <c r="B229" s="593">
        <v>7405</v>
      </c>
      <c r="C229" s="438" t="s">
        <v>710</v>
      </c>
      <c r="D229" s="438" t="s">
        <v>1181</v>
      </c>
      <c r="E229" s="438" t="s">
        <v>641</v>
      </c>
      <c r="F229" s="438">
        <v>4</v>
      </c>
      <c r="G229" s="438">
        <v>0</v>
      </c>
      <c r="H229" s="439">
        <v>0</v>
      </c>
      <c r="I229" s="439">
        <v>0</v>
      </c>
      <c r="K229" s="731"/>
    </row>
    <row r="230" spans="1:11">
      <c r="A230" s="438" t="s">
        <v>320</v>
      </c>
      <c r="B230" s="593">
        <v>7431</v>
      </c>
      <c r="C230" s="438" t="s">
        <v>1222</v>
      </c>
      <c r="D230" s="438" t="s">
        <v>1181</v>
      </c>
      <c r="E230" s="438" t="s">
        <v>659</v>
      </c>
      <c r="F230" s="438">
        <v>2</v>
      </c>
      <c r="G230" s="438">
        <v>0</v>
      </c>
      <c r="H230" s="439">
        <v>0</v>
      </c>
      <c r="I230" s="439">
        <v>0</v>
      </c>
      <c r="K230" s="731"/>
    </row>
    <row r="231" spans="1:11">
      <c r="A231" s="438" t="s">
        <v>320</v>
      </c>
      <c r="B231" s="593">
        <v>7514</v>
      </c>
      <c r="C231" s="438" t="s">
        <v>767</v>
      </c>
      <c r="D231" s="438" t="s">
        <v>1183</v>
      </c>
      <c r="E231" s="438" t="s">
        <v>645</v>
      </c>
      <c r="F231" s="438">
        <v>1</v>
      </c>
      <c r="G231" s="438">
        <v>0</v>
      </c>
      <c r="H231" s="439">
        <v>0</v>
      </c>
      <c r="I231" s="439">
        <v>0</v>
      </c>
      <c r="K231" s="731"/>
    </row>
    <row r="232" spans="1:11">
      <c r="A232" s="438" t="s">
        <v>320</v>
      </c>
      <c r="B232" s="593">
        <v>7517</v>
      </c>
      <c r="C232" s="438" t="s">
        <v>549</v>
      </c>
      <c r="D232" s="438" t="s">
        <v>1177</v>
      </c>
      <c r="E232" s="438" t="s">
        <v>638</v>
      </c>
      <c r="F232" s="438">
        <v>9</v>
      </c>
      <c r="G232" s="438">
        <v>8</v>
      </c>
      <c r="H232" s="439">
        <v>0</v>
      </c>
      <c r="I232" s="439">
        <v>0</v>
      </c>
      <c r="K232" s="731"/>
    </row>
    <row r="233" spans="1:11">
      <c r="A233" s="438" t="s">
        <v>320</v>
      </c>
      <c r="B233" s="593">
        <v>7773</v>
      </c>
      <c r="C233" s="438" t="s">
        <v>551</v>
      </c>
      <c r="D233" s="438" t="s">
        <v>1181</v>
      </c>
      <c r="E233" s="438" t="s">
        <v>636</v>
      </c>
      <c r="F233" s="438">
        <v>2</v>
      </c>
      <c r="G233" s="438">
        <v>0</v>
      </c>
      <c r="H233" s="439">
        <v>0</v>
      </c>
      <c r="I233" s="439">
        <v>0</v>
      </c>
      <c r="K233" s="731"/>
    </row>
    <row r="234" spans="1:11">
      <c r="A234" s="438" t="s">
        <v>320</v>
      </c>
      <c r="B234" s="593">
        <v>7931</v>
      </c>
      <c r="C234" s="438" t="s">
        <v>553</v>
      </c>
      <c r="D234" s="438" t="s">
        <v>1189</v>
      </c>
      <c r="E234" s="438" t="s">
        <v>886</v>
      </c>
      <c r="F234" s="438">
        <v>6</v>
      </c>
      <c r="G234" s="438">
        <v>0</v>
      </c>
      <c r="H234" s="439">
        <v>0</v>
      </c>
      <c r="I234" s="439">
        <v>0</v>
      </c>
      <c r="K234" s="731"/>
    </row>
    <row r="235" spans="1:11">
      <c r="A235" s="438" t="s">
        <v>320</v>
      </c>
      <c r="B235" s="593">
        <v>7982</v>
      </c>
      <c r="C235" s="438" t="s">
        <v>554</v>
      </c>
      <c r="D235" s="438" t="s">
        <v>1187</v>
      </c>
      <c r="E235" s="438" t="s">
        <v>646</v>
      </c>
      <c r="F235" s="438">
        <v>1</v>
      </c>
      <c r="G235" s="438">
        <v>0</v>
      </c>
      <c r="H235" s="439">
        <v>0</v>
      </c>
      <c r="I235" s="439">
        <v>0</v>
      </c>
      <c r="K235" s="731"/>
    </row>
    <row r="236" spans="1:11">
      <c r="A236" s="438" t="s">
        <v>320</v>
      </c>
      <c r="B236" s="593">
        <v>8099</v>
      </c>
      <c r="C236" s="438" t="s">
        <v>557</v>
      </c>
      <c r="D236" s="438" t="s">
        <v>1187</v>
      </c>
      <c r="E236" s="438" t="s">
        <v>650</v>
      </c>
      <c r="F236" s="438">
        <v>1</v>
      </c>
      <c r="G236" s="438">
        <v>0</v>
      </c>
      <c r="H236" s="439">
        <v>0</v>
      </c>
      <c r="I236" s="439">
        <v>0</v>
      </c>
      <c r="K236" s="731"/>
    </row>
    <row r="237" spans="1:11">
      <c r="A237" s="438" t="s">
        <v>320</v>
      </c>
      <c r="B237" s="593">
        <v>8244</v>
      </c>
      <c r="C237" s="438" t="s">
        <v>559</v>
      </c>
      <c r="D237" s="438" t="s">
        <v>1201</v>
      </c>
      <c r="E237" s="438" t="s">
        <v>641</v>
      </c>
      <c r="F237" s="438">
        <v>7</v>
      </c>
      <c r="G237" s="438">
        <v>3</v>
      </c>
      <c r="H237" s="439">
        <v>0</v>
      </c>
      <c r="I237" s="439">
        <v>0</v>
      </c>
      <c r="K237" s="731"/>
    </row>
    <row r="238" spans="1:11">
      <c r="A238" s="438" t="s">
        <v>320</v>
      </c>
      <c r="B238" s="593">
        <v>8446</v>
      </c>
      <c r="C238" s="438" t="s">
        <v>1218</v>
      </c>
      <c r="D238" s="438" t="s">
        <v>1181</v>
      </c>
      <c r="E238" s="438" t="s">
        <v>636</v>
      </c>
      <c r="F238" s="438">
        <v>4</v>
      </c>
      <c r="G238" s="438">
        <v>0</v>
      </c>
      <c r="H238" s="439">
        <v>0</v>
      </c>
      <c r="I238" s="439">
        <v>0</v>
      </c>
      <c r="K238" s="731"/>
    </row>
    <row r="239" spans="1:11">
      <c r="A239" s="438" t="s">
        <v>320</v>
      </c>
      <c r="B239" s="593">
        <v>8504</v>
      </c>
      <c r="C239" s="438" t="s">
        <v>561</v>
      </c>
      <c r="D239" s="438" t="s">
        <v>1185</v>
      </c>
      <c r="E239" s="438" t="s">
        <v>636</v>
      </c>
      <c r="F239" s="438">
        <v>1</v>
      </c>
      <c r="G239" s="438">
        <v>0</v>
      </c>
      <c r="H239" s="439">
        <v>0</v>
      </c>
      <c r="I239" s="439">
        <v>0</v>
      </c>
      <c r="K239" s="731"/>
    </row>
    <row r="240" spans="1:11">
      <c r="A240" s="438" t="s">
        <v>320</v>
      </c>
      <c r="B240" s="593">
        <v>8529</v>
      </c>
      <c r="C240" s="438" t="s">
        <v>716</v>
      </c>
      <c r="D240" s="438" t="s">
        <v>1184</v>
      </c>
      <c r="E240" s="438" t="s">
        <v>641</v>
      </c>
      <c r="F240" s="438">
        <v>1</v>
      </c>
      <c r="G240" s="438">
        <v>0</v>
      </c>
      <c r="H240" s="439">
        <v>0</v>
      </c>
      <c r="I240" s="439">
        <v>0</v>
      </c>
      <c r="K240" s="731"/>
    </row>
    <row r="241" spans="1:11">
      <c r="A241" s="438" t="s">
        <v>320</v>
      </c>
      <c r="B241" s="593">
        <v>8659</v>
      </c>
      <c r="C241" s="438" t="s">
        <v>564</v>
      </c>
      <c r="D241" s="438" t="s">
        <v>1181</v>
      </c>
      <c r="E241" s="438" t="s">
        <v>636</v>
      </c>
      <c r="F241" s="438">
        <v>1</v>
      </c>
      <c r="G241" s="438">
        <v>0</v>
      </c>
      <c r="H241" s="439">
        <v>0</v>
      </c>
      <c r="I241" s="439">
        <v>0</v>
      </c>
      <c r="K241" s="731"/>
    </row>
    <row r="242" spans="1:11">
      <c r="A242" s="438" t="s">
        <v>320</v>
      </c>
      <c r="B242" s="593">
        <v>8691</v>
      </c>
      <c r="C242" s="438" t="s">
        <v>969</v>
      </c>
      <c r="D242" s="438" t="s">
        <v>1213</v>
      </c>
      <c r="E242" s="438" t="s">
        <v>736</v>
      </c>
      <c r="F242" s="438">
        <v>1</v>
      </c>
      <c r="G242" s="438">
        <v>1</v>
      </c>
      <c r="H242" s="439">
        <v>0</v>
      </c>
      <c r="I242" s="439">
        <v>0</v>
      </c>
      <c r="K242" s="731"/>
    </row>
    <row r="243" spans="1:11">
      <c r="A243" s="438" t="s">
        <v>320</v>
      </c>
      <c r="B243" s="593">
        <v>8789</v>
      </c>
      <c r="C243" s="438" t="s">
        <v>948</v>
      </c>
      <c r="D243" s="438" t="s">
        <v>1201</v>
      </c>
      <c r="E243" s="438" t="s">
        <v>636</v>
      </c>
      <c r="F243" s="438">
        <v>2</v>
      </c>
      <c r="G243" s="438">
        <v>2</v>
      </c>
      <c r="H243" s="439">
        <v>0</v>
      </c>
      <c r="I243" s="439">
        <v>0</v>
      </c>
      <c r="K243" s="731"/>
    </row>
    <row r="244" spans="1:11">
      <c r="A244" s="438" t="s">
        <v>320</v>
      </c>
      <c r="B244" s="593">
        <v>8860</v>
      </c>
      <c r="C244" s="438" t="s">
        <v>566</v>
      </c>
      <c r="D244" s="438" t="s">
        <v>1187</v>
      </c>
      <c r="E244" s="438" t="s">
        <v>646</v>
      </c>
      <c r="F244" s="438">
        <v>1</v>
      </c>
      <c r="G244" s="438">
        <v>0</v>
      </c>
      <c r="H244" s="439">
        <v>0</v>
      </c>
      <c r="I244" s="439">
        <v>0</v>
      </c>
      <c r="K244" s="731"/>
    </row>
    <row r="245" spans="1:11">
      <c r="A245" s="438" t="s">
        <v>320</v>
      </c>
      <c r="B245" s="593">
        <v>8861</v>
      </c>
      <c r="C245" s="438" t="s">
        <v>567</v>
      </c>
      <c r="D245" s="438" t="s">
        <v>1184</v>
      </c>
      <c r="E245" s="438" t="s">
        <v>886</v>
      </c>
      <c r="F245" s="438">
        <v>1</v>
      </c>
      <c r="G245" s="438">
        <v>0</v>
      </c>
      <c r="H245" s="439">
        <v>0</v>
      </c>
      <c r="I245" s="439">
        <v>0</v>
      </c>
      <c r="K245" s="731"/>
    </row>
    <row r="246" spans="1:11">
      <c r="A246" s="438" t="s">
        <v>320</v>
      </c>
      <c r="B246" s="593">
        <v>8862</v>
      </c>
      <c r="C246" s="438" t="s">
        <v>976</v>
      </c>
      <c r="D246" s="438" t="s">
        <v>1177</v>
      </c>
      <c r="E246" s="438" t="s">
        <v>638</v>
      </c>
      <c r="F246" s="438">
        <v>2</v>
      </c>
      <c r="G246" s="438">
        <v>2</v>
      </c>
      <c r="H246" s="439">
        <v>0</v>
      </c>
      <c r="I246" s="439">
        <v>0</v>
      </c>
      <c r="K246" s="731"/>
    </row>
    <row r="247" spans="1:11">
      <c r="A247" s="438" t="s">
        <v>320</v>
      </c>
      <c r="B247" s="593">
        <v>9157</v>
      </c>
      <c r="C247" s="438" t="s">
        <v>568</v>
      </c>
      <c r="D247" s="438" t="s">
        <v>1187</v>
      </c>
      <c r="E247" s="438" t="s">
        <v>646</v>
      </c>
      <c r="F247" s="438">
        <v>1</v>
      </c>
      <c r="G247" s="438">
        <v>0</v>
      </c>
      <c r="H247" s="439">
        <v>0</v>
      </c>
      <c r="I247" s="439">
        <v>0</v>
      </c>
      <c r="K247" s="731"/>
    </row>
    <row r="248" spans="1:11">
      <c r="A248" s="438" t="s">
        <v>320</v>
      </c>
      <c r="B248" s="593">
        <v>9183</v>
      </c>
      <c r="C248" s="438" t="s">
        <v>569</v>
      </c>
      <c r="D248" s="438" t="s">
        <v>1184</v>
      </c>
      <c r="E248" s="438" t="s">
        <v>644</v>
      </c>
      <c r="F248" s="438">
        <v>7</v>
      </c>
      <c r="G248" s="438">
        <v>0</v>
      </c>
      <c r="H248" s="439">
        <v>0</v>
      </c>
      <c r="I248" s="439">
        <v>0</v>
      </c>
      <c r="K248" s="731"/>
    </row>
    <row r="249" spans="1:11">
      <c r="A249" s="438" t="s">
        <v>320</v>
      </c>
      <c r="B249" s="593">
        <v>9237</v>
      </c>
      <c r="C249" s="438" t="s">
        <v>671</v>
      </c>
      <c r="D249" s="438" t="s">
        <v>1192</v>
      </c>
      <c r="E249" s="438" t="s">
        <v>636</v>
      </c>
      <c r="F249" s="438">
        <v>1</v>
      </c>
      <c r="G249" s="438">
        <v>0</v>
      </c>
      <c r="H249" s="439">
        <v>0</v>
      </c>
      <c r="I249" s="439">
        <v>0</v>
      </c>
      <c r="K249" s="731"/>
    </row>
    <row r="250" spans="1:11">
      <c r="A250" s="438" t="s">
        <v>320</v>
      </c>
      <c r="B250" s="593">
        <v>9258</v>
      </c>
      <c r="C250" s="438" t="s">
        <v>570</v>
      </c>
      <c r="D250" s="438" t="s">
        <v>1185</v>
      </c>
      <c r="E250" s="438" t="s">
        <v>667</v>
      </c>
      <c r="F250" s="438">
        <v>2</v>
      </c>
      <c r="G250" s="438">
        <v>0</v>
      </c>
      <c r="H250" s="439">
        <v>0</v>
      </c>
      <c r="I250" s="439">
        <v>0</v>
      </c>
      <c r="K250" s="731"/>
    </row>
    <row r="251" spans="1:11">
      <c r="A251" s="438" t="s">
        <v>320</v>
      </c>
      <c r="B251" s="593">
        <v>9443</v>
      </c>
      <c r="C251" s="438" t="s">
        <v>783</v>
      </c>
      <c r="D251" s="438" t="s">
        <v>1213</v>
      </c>
      <c r="E251" s="438" t="s">
        <v>736</v>
      </c>
      <c r="F251" s="438">
        <v>1</v>
      </c>
      <c r="G251" s="438">
        <v>0</v>
      </c>
      <c r="H251" s="439">
        <v>0</v>
      </c>
      <c r="I251" s="439">
        <v>0</v>
      </c>
      <c r="K251" s="731"/>
    </row>
    <row r="252" spans="1:11" hidden="1">
      <c r="A252" s="438" t="s">
        <v>321</v>
      </c>
      <c r="B252" s="594">
        <v>10440</v>
      </c>
      <c r="C252" s="595" t="s">
        <v>680</v>
      </c>
      <c r="D252" s="595" t="s">
        <v>1178</v>
      </c>
      <c r="E252" s="596" t="s">
        <v>885</v>
      </c>
      <c r="F252" s="438">
        <v>4</v>
      </c>
      <c r="G252" s="438">
        <v>0</v>
      </c>
      <c r="H252" s="439">
        <v>0</v>
      </c>
      <c r="I252" s="439">
        <v>0</v>
      </c>
      <c r="K252" s="731"/>
    </row>
    <row r="253" spans="1:11">
      <c r="A253" s="438" t="s">
        <v>320</v>
      </c>
      <c r="B253" s="593">
        <v>10755</v>
      </c>
      <c r="C253" s="438" t="s">
        <v>840</v>
      </c>
      <c r="D253" s="438" t="s">
        <v>1211</v>
      </c>
      <c r="E253" s="438" t="s">
        <v>659</v>
      </c>
      <c r="F253" s="438">
        <v>1</v>
      </c>
      <c r="G253" s="438">
        <v>1</v>
      </c>
      <c r="H253" s="439">
        <v>0</v>
      </c>
      <c r="I253" s="439">
        <v>0</v>
      </c>
      <c r="K253" s="731"/>
    </row>
    <row r="254" spans="1:11">
      <c r="A254" s="438" t="s">
        <v>320</v>
      </c>
      <c r="B254" s="593">
        <v>10819</v>
      </c>
      <c r="C254" s="438" t="s">
        <v>735</v>
      </c>
      <c r="D254" s="438" t="s">
        <v>1181</v>
      </c>
      <c r="E254" s="438" t="s">
        <v>658</v>
      </c>
      <c r="F254" s="438">
        <v>3</v>
      </c>
      <c r="G254" s="438">
        <v>2</v>
      </c>
      <c r="H254" s="439">
        <v>0</v>
      </c>
      <c r="I254" s="439">
        <v>0</v>
      </c>
      <c r="K254" s="731"/>
    </row>
    <row r="255" spans="1:11">
      <c r="A255" s="438" t="s">
        <v>320</v>
      </c>
      <c r="B255" s="593">
        <v>10826</v>
      </c>
      <c r="C255" s="438" t="s">
        <v>574</v>
      </c>
      <c r="D255" s="438" t="s">
        <v>1196</v>
      </c>
      <c r="E255" s="438" t="s">
        <v>636</v>
      </c>
      <c r="F255" s="438">
        <v>1</v>
      </c>
      <c r="G255" s="438">
        <v>0</v>
      </c>
      <c r="H255" s="439">
        <v>0</v>
      </c>
      <c r="I255" s="439">
        <v>0</v>
      </c>
      <c r="K255" s="731"/>
    </row>
    <row r="256" spans="1:11">
      <c r="A256" s="438" t="s">
        <v>320</v>
      </c>
      <c r="B256" s="593">
        <v>10858</v>
      </c>
      <c r="C256" s="438" t="s">
        <v>575</v>
      </c>
      <c r="D256" s="438" t="s">
        <v>1225</v>
      </c>
      <c r="E256" s="438" t="s">
        <v>736</v>
      </c>
      <c r="F256" s="438">
        <v>1</v>
      </c>
      <c r="G256" s="438">
        <v>0</v>
      </c>
      <c r="H256" s="439">
        <v>0</v>
      </c>
      <c r="I256" s="439">
        <v>0</v>
      </c>
      <c r="K256" s="731"/>
    </row>
    <row r="257" spans="1:11">
      <c r="A257" s="438" t="s">
        <v>320</v>
      </c>
      <c r="B257" s="593">
        <v>10887</v>
      </c>
      <c r="C257" s="438" t="s">
        <v>576</v>
      </c>
      <c r="D257" s="438" t="s">
        <v>1183</v>
      </c>
      <c r="E257" s="438" t="s">
        <v>649</v>
      </c>
      <c r="F257" s="438">
        <v>2</v>
      </c>
      <c r="G257" s="438">
        <v>0</v>
      </c>
      <c r="H257" s="439">
        <v>0</v>
      </c>
      <c r="I257" s="439">
        <v>0</v>
      </c>
      <c r="K257" s="731"/>
    </row>
    <row r="258" spans="1:11">
      <c r="A258" s="438" t="s">
        <v>320</v>
      </c>
      <c r="B258" s="593">
        <v>10940</v>
      </c>
      <c r="C258" s="438" t="s">
        <v>577</v>
      </c>
      <c r="D258" s="438" t="s">
        <v>1214</v>
      </c>
      <c r="E258" s="438" t="s">
        <v>636</v>
      </c>
      <c r="F258" s="438">
        <v>1</v>
      </c>
      <c r="G258" s="438">
        <v>0</v>
      </c>
      <c r="H258" s="439">
        <v>0</v>
      </c>
      <c r="I258" s="439">
        <v>0</v>
      </c>
      <c r="K258" s="731"/>
    </row>
    <row r="259" spans="1:11">
      <c r="A259" s="438" t="s">
        <v>320</v>
      </c>
      <c r="B259" s="593">
        <v>10942</v>
      </c>
      <c r="C259" s="438" t="s">
        <v>344</v>
      </c>
      <c r="D259" s="438" t="s">
        <v>1184</v>
      </c>
      <c r="E259" s="438" t="s">
        <v>650</v>
      </c>
      <c r="F259" s="438">
        <v>1</v>
      </c>
      <c r="G259" s="438">
        <v>0</v>
      </c>
      <c r="H259" s="439">
        <v>0</v>
      </c>
      <c r="I259" s="439">
        <v>0</v>
      </c>
      <c r="K259" s="731"/>
    </row>
    <row r="260" spans="1:11">
      <c r="A260" s="438" t="s">
        <v>320</v>
      </c>
      <c r="B260" s="593">
        <v>10949</v>
      </c>
      <c r="C260" s="438" t="s">
        <v>578</v>
      </c>
      <c r="D260" s="438" t="s">
        <v>1181</v>
      </c>
      <c r="E260" s="438" t="s">
        <v>636</v>
      </c>
      <c r="F260" s="438">
        <v>1</v>
      </c>
      <c r="G260" s="438">
        <v>0</v>
      </c>
      <c r="H260" s="439">
        <v>0</v>
      </c>
      <c r="I260" s="439">
        <v>0</v>
      </c>
      <c r="K260" s="731"/>
    </row>
    <row r="261" spans="1:11">
      <c r="A261" s="438" t="s">
        <v>320</v>
      </c>
      <c r="B261" s="593">
        <v>10986</v>
      </c>
      <c r="C261" s="438" t="s">
        <v>527</v>
      </c>
      <c r="D261" s="438" t="s">
        <v>1183</v>
      </c>
      <c r="E261" s="438" t="s">
        <v>645</v>
      </c>
      <c r="F261" s="438">
        <v>2</v>
      </c>
      <c r="G261" s="438">
        <v>0</v>
      </c>
      <c r="H261" s="439">
        <v>0</v>
      </c>
      <c r="I261" s="439">
        <v>0</v>
      </c>
      <c r="K261" s="731"/>
    </row>
    <row r="262" spans="1:11">
      <c r="A262" s="438" t="s">
        <v>320</v>
      </c>
      <c r="B262" s="593">
        <v>11003</v>
      </c>
      <c r="C262" s="438" t="s">
        <v>579</v>
      </c>
      <c r="D262" s="438" t="s">
        <v>1181</v>
      </c>
      <c r="E262" s="438" t="s">
        <v>636</v>
      </c>
      <c r="F262" s="438">
        <v>4</v>
      </c>
      <c r="G262" s="438">
        <v>0</v>
      </c>
      <c r="H262" s="439">
        <v>0</v>
      </c>
      <c r="I262" s="439">
        <v>0</v>
      </c>
      <c r="K262" s="731"/>
    </row>
    <row r="263" spans="1:11">
      <c r="A263" s="438" t="s">
        <v>320</v>
      </c>
      <c r="B263" s="593">
        <v>11247</v>
      </c>
      <c r="C263" s="438" t="s">
        <v>580</v>
      </c>
      <c r="D263" s="438" t="s">
        <v>1201</v>
      </c>
      <c r="E263" s="438" t="s">
        <v>636</v>
      </c>
      <c r="F263" s="438">
        <v>33</v>
      </c>
      <c r="G263" s="438">
        <v>18</v>
      </c>
      <c r="H263" s="439">
        <v>0</v>
      </c>
      <c r="I263" s="439">
        <v>0</v>
      </c>
      <c r="K263" s="731"/>
    </row>
    <row r="264" spans="1:11">
      <c r="A264" s="438" t="s">
        <v>320</v>
      </c>
      <c r="B264" s="593">
        <v>11249</v>
      </c>
      <c r="C264" s="438" t="s">
        <v>779</v>
      </c>
      <c r="D264" s="438" t="s">
        <v>1183</v>
      </c>
      <c r="E264" s="438" t="s">
        <v>645</v>
      </c>
      <c r="F264" s="438">
        <v>1</v>
      </c>
      <c r="G264" s="438">
        <v>0</v>
      </c>
      <c r="H264" s="439">
        <v>0</v>
      </c>
      <c r="I264" s="439">
        <v>0</v>
      </c>
      <c r="K264" s="731"/>
    </row>
    <row r="265" spans="1:11">
      <c r="A265" s="438" t="s">
        <v>320</v>
      </c>
      <c r="B265" s="593">
        <v>11288</v>
      </c>
      <c r="C265" s="438" t="s">
        <v>718</v>
      </c>
      <c r="D265" s="438" t="s">
        <v>1213</v>
      </c>
      <c r="E265" s="438" t="s">
        <v>736</v>
      </c>
      <c r="F265" s="438">
        <v>2</v>
      </c>
      <c r="G265" s="438">
        <v>1</v>
      </c>
      <c r="H265" s="439">
        <v>0</v>
      </c>
      <c r="I265" s="439">
        <v>0</v>
      </c>
      <c r="K265" s="731"/>
    </row>
    <row r="266" spans="1:11">
      <c r="A266" s="438" t="s">
        <v>320</v>
      </c>
      <c r="B266" s="593">
        <v>11355</v>
      </c>
      <c r="C266" s="438" t="s">
        <v>581</v>
      </c>
      <c r="D266" s="438" t="s">
        <v>1226</v>
      </c>
      <c r="E266" s="438" t="s">
        <v>636</v>
      </c>
      <c r="F266" s="438">
        <v>1</v>
      </c>
      <c r="G266" s="438">
        <v>0</v>
      </c>
      <c r="H266" s="439">
        <v>0</v>
      </c>
      <c r="I266" s="439">
        <v>0</v>
      </c>
      <c r="K266" s="731"/>
    </row>
    <row r="267" spans="1:11">
      <c r="A267" s="438" t="s">
        <v>320</v>
      </c>
      <c r="B267" s="593">
        <v>11573</v>
      </c>
      <c r="C267" s="438" t="s">
        <v>524</v>
      </c>
      <c r="D267" s="438" t="s">
        <v>1225</v>
      </c>
      <c r="E267" s="438" t="s">
        <v>736</v>
      </c>
      <c r="F267" s="438">
        <v>1</v>
      </c>
      <c r="G267" s="438">
        <v>0</v>
      </c>
      <c r="H267" s="439">
        <v>0</v>
      </c>
      <c r="I267" s="439">
        <v>0</v>
      </c>
      <c r="K267" s="731"/>
    </row>
    <row r="268" spans="1:11">
      <c r="A268" s="438" t="s">
        <v>320</v>
      </c>
      <c r="B268" s="593">
        <v>11605</v>
      </c>
      <c r="C268" s="438" t="s">
        <v>785</v>
      </c>
      <c r="D268" s="438" t="s">
        <v>1181</v>
      </c>
      <c r="E268" s="438" t="s">
        <v>636</v>
      </c>
      <c r="F268" s="438">
        <v>1</v>
      </c>
      <c r="G268" s="438">
        <v>0</v>
      </c>
      <c r="H268" s="439">
        <v>0</v>
      </c>
      <c r="I268" s="439">
        <v>0</v>
      </c>
      <c r="K268" s="731"/>
    </row>
    <row r="269" spans="1:11">
      <c r="A269" s="438" t="s">
        <v>320</v>
      </c>
      <c r="B269" s="593">
        <v>11696</v>
      </c>
      <c r="C269" s="438" t="s">
        <v>343</v>
      </c>
      <c r="D269" s="438" t="s">
        <v>1181</v>
      </c>
      <c r="E269" s="438" t="s">
        <v>651</v>
      </c>
      <c r="F269" s="438">
        <v>2</v>
      </c>
      <c r="G269" s="438">
        <v>0</v>
      </c>
      <c r="H269" s="439">
        <v>0</v>
      </c>
      <c r="I269" s="439">
        <v>0</v>
      </c>
      <c r="K269" s="731"/>
    </row>
    <row r="270" spans="1:11">
      <c r="A270" s="438" t="s">
        <v>320</v>
      </c>
      <c r="B270" s="593">
        <v>11767</v>
      </c>
      <c r="C270" s="438" t="s">
        <v>583</v>
      </c>
      <c r="D270" s="438" t="s">
        <v>1185</v>
      </c>
      <c r="E270" s="438" t="s">
        <v>636</v>
      </c>
      <c r="F270" s="438">
        <v>1</v>
      </c>
      <c r="G270" s="438">
        <v>0</v>
      </c>
      <c r="H270" s="439">
        <v>0</v>
      </c>
      <c r="I270" s="439">
        <v>0</v>
      </c>
      <c r="K270" s="731"/>
    </row>
    <row r="271" spans="1:11">
      <c r="A271" s="438" t="s">
        <v>320</v>
      </c>
      <c r="B271" s="593">
        <v>11955</v>
      </c>
      <c r="C271" s="438" t="s">
        <v>584</v>
      </c>
      <c r="D271" s="438" t="s">
        <v>1181</v>
      </c>
      <c r="E271" s="438" t="s">
        <v>643</v>
      </c>
      <c r="F271" s="438">
        <v>1</v>
      </c>
      <c r="G271" s="438">
        <v>0</v>
      </c>
      <c r="H271" s="439">
        <v>0</v>
      </c>
      <c r="I271" s="439">
        <v>0</v>
      </c>
      <c r="K271" s="731"/>
    </row>
    <row r="272" spans="1:11">
      <c r="A272" s="438" t="s">
        <v>320</v>
      </c>
      <c r="B272" s="593">
        <v>11973</v>
      </c>
      <c r="C272" s="438" t="s">
        <v>585</v>
      </c>
      <c r="D272" s="438" t="s">
        <v>1219</v>
      </c>
      <c r="E272" s="438" t="s">
        <v>654</v>
      </c>
      <c r="F272" s="438">
        <v>4</v>
      </c>
      <c r="G272" s="438">
        <v>0</v>
      </c>
      <c r="H272" s="439">
        <v>0</v>
      </c>
      <c r="I272" s="439">
        <v>0</v>
      </c>
      <c r="K272" s="731"/>
    </row>
    <row r="273" spans="1:11">
      <c r="A273" s="438" t="s">
        <v>320</v>
      </c>
      <c r="B273" s="593">
        <v>12035</v>
      </c>
      <c r="C273" s="438" t="s">
        <v>586</v>
      </c>
      <c r="D273" s="438" t="s">
        <v>1185</v>
      </c>
      <c r="E273" s="438" t="s">
        <v>639</v>
      </c>
      <c r="F273" s="438">
        <v>6</v>
      </c>
      <c r="G273" s="438">
        <v>0</v>
      </c>
      <c r="H273" s="439">
        <v>0</v>
      </c>
      <c r="I273" s="439">
        <v>0</v>
      </c>
      <c r="K273" s="731"/>
    </row>
    <row r="274" spans="1:11">
      <c r="A274" s="438" t="s">
        <v>320</v>
      </c>
      <c r="B274" s="593">
        <v>12188</v>
      </c>
      <c r="C274" s="438" t="s">
        <v>587</v>
      </c>
      <c r="D274" s="438" t="s">
        <v>1181</v>
      </c>
      <c r="E274" s="438" t="s">
        <v>636</v>
      </c>
      <c r="F274" s="438">
        <v>1</v>
      </c>
      <c r="G274" s="438">
        <v>0</v>
      </c>
      <c r="H274" s="439">
        <v>0</v>
      </c>
      <c r="I274" s="439">
        <v>0</v>
      </c>
      <c r="K274" s="731"/>
    </row>
    <row r="275" spans="1:11">
      <c r="A275" s="438" t="s">
        <v>320</v>
      </c>
      <c r="B275" s="593">
        <v>12195</v>
      </c>
      <c r="C275" s="438" t="s">
        <v>588</v>
      </c>
      <c r="D275" s="438" t="s">
        <v>1181</v>
      </c>
      <c r="E275" s="438" t="s">
        <v>655</v>
      </c>
      <c r="F275" s="438">
        <v>4</v>
      </c>
      <c r="G275" s="438">
        <v>0</v>
      </c>
      <c r="H275" s="439">
        <v>0</v>
      </c>
      <c r="I275" s="439">
        <v>0</v>
      </c>
      <c r="K275" s="731"/>
    </row>
    <row r="276" spans="1:11">
      <c r="A276" s="438" t="s">
        <v>320</v>
      </c>
      <c r="B276" s="593">
        <v>12239</v>
      </c>
      <c r="C276" s="438" t="s">
        <v>589</v>
      </c>
      <c r="D276" s="438" t="s">
        <v>1227</v>
      </c>
      <c r="E276" s="438" t="s">
        <v>654</v>
      </c>
      <c r="F276" s="438">
        <v>1</v>
      </c>
      <c r="G276" s="438">
        <v>0</v>
      </c>
      <c r="H276" s="439">
        <v>0</v>
      </c>
      <c r="I276" s="439">
        <v>0</v>
      </c>
      <c r="K276" s="731"/>
    </row>
    <row r="277" spans="1:11">
      <c r="A277" s="438" t="s">
        <v>320</v>
      </c>
      <c r="B277" s="593">
        <v>12397</v>
      </c>
      <c r="C277" s="438" t="s">
        <v>591</v>
      </c>
      <c r="D277" s="438" t="s">
        <v>1196</v>
      </c>
      <c r="E277" s="438" t="s">
        <v>648</v>
      </c>
      <c r="F277" s="438">
        <v>5</v>
      </c>
      <c r="G277" s="438">
        <v>2</v>
      </c>
      <c r="H277" s="439">
        <v>0</v>
      </c>
      <c r="I277" s="439">
        <v>0</v>
      </c>
      <c r="K277" s="731"/>
    </row>
    <row r="278" spans="1:11">
      <c r="A278" s="438" t="s">
        <v>320</v>
      </c>
      <c r="B278" s="593">
        <v>12498</v>
      </c>
      <c r="C278" s="438" t="s">
        <v>592</v>
      </c>
      <c r="D278" s="438" t="s">
        <v>1181</v>
      </c>
      <c r="E278" s="438" t="s">
        <v>636</v>
      </c>
      <c r="F278" s="438">
        <v>46</v>
      </c>
      <c r="G278" s="438">
        <v>0</v>
      </c>
      <c r="H278" s="439">
        <v>0</v>
      </c>
      <c r="I278" s="439">
        <v>0</v>
      </c>
      <c r="K278" s="731"/>
    </row>
    <row r="279" spans="1:11">
      <c r="A279" s="438" t="s">
        <v>320</v>
      </c>
      <c r="B279" s="593">
        <v>12575</v>
      </c>
      <c r="C279" s="438" t="s">
        <v>594</v>
      </c>
      <c r="D279" s="438" t="s">
        <v>1183</v>
      </c>
      <c r="E279" s="438" t="s">
        <v>649</v>
      </c>
      <c r="F279" s="438">
        <v>1</v>
      </c>
      <c r="G279" s="438">
        <v>0</v>
      </c>
      <c r="H279" s="439">
        <v>0</v>
      </c>
      <c r="I279" s="439">
        <v>0</v>
      </c>
      <c r="K279" s="731"/>
    </row>
    <row r="280" spans="1:11">
      <c r="A280" s="438" t="s">
        <v>320</v>
      </c>
      <c r="B280" s="593">
        <v>12714</v>
      </c>
      <c r="C280" s="438" t="s">
        <v>597</v>
      </c>
      <c r="D280" s="438" t="s">
        <v>1181</v>
      </c>
      <c r="E280" s="438" t="s">
        <v>636</v>
      </c>
      <c r="F280" s="438">
        <v>42</v>
      </c>
      <c r="G280" s="438">
        <v>0</v>
      </c>
      <c r="H280" s="439">
        <v>0</v>
      </c>
      <c r="I280" s="439">
        <v>0</v>
      </c>
      <c r="K280" s="731"/>
    </row>
    <row r="281" spans="1:11">
      <c r="A281" s="438" t="s">
        <v>320</v>
      </c>
      <c r="B281" s="593">
        <v>13947</v>
      </c>
      <c r="C281" s="438" t="s">
        <v>598</v>
      </c>
      <c r="D281" s="438" t="s">
        <v>1186</v>
      </c>
      <c r="E281" s="438" t="s">
        <v>636</v>
      </c>
      <c r="F281" s="438">
        <v>3</v>
      </c>
      <c r="G281" s="438">
        <v>0</v>
      </c>
      <c r="H281" s="439">
        <v>0</v>
      </c>
      <c r="I281" s="439">
        <v>0</v>
      </c>
      <c r="K281" s="731"/>
    </row>
    <row r="282" spans="1:11">
      <c r="A282" s="438" t="s">
        <v>320</v>
      </c>
      <c r="B282" s="593">
        <v>13990</v>
      </c>
      <c r="C282" s="438" t="s">
        <v>599</v>
      </c>
      <c r="D282" s="438" t="s">
        <v>1181</v>
      </c>
      <c r="E282" s="438" t="s">
        <v>650</v>
      </c>
      <c r="F282" s="438">
        <v>3</v>
      </c>
      <c r="G282" s="438">
        <v>0</v>
      </c>
      <c r="H282" s="439">
        <v>0</v>
      </c>
      <c r="I282" s="439">
        <v>0</v>
      </c>
      <c r="K282" s="731"/>
    </row>
    <row r="283" spans="1:11">
      <c r="A283" s="438" t="s">
        <v>320</v>
      </c>
      <c r="B283" s="593">
        <v>14010</v>
      </c>
      <c r="C283" s="438" t="s">
        <v>523</v>
      </c>
      <c r="D283" s="438" t="s">
        <v>1214</v>
      </c>
      <c r="E283" s="438" t="s">
        <v>641</v>
      </c>
      <c r="F283" s="438">
        <v>14</v>
      </c>
      <c r="G283" s="438">
        <v>0</v>
      </c>
      <c r="H283" s="439">
        <v>0</v>
      </c>
      <c r="I283" s="439">
        <v>0</v>
      </c>
      <c r="K283" s="731"/>
    </row>
    <row r="284" spans="1:11">
      <c r="A284" s="438" t="s">
        <v>320</v>
      </c>
      <c r="B284" s="593">
        <v>14024</v>
      </c>
      <c r="C284" s="438" t="s">
        <v>750</v>
      </c>
      <c r="D284" s="438" t="s">
        <v>1221</v>
      </c>
      <c r="E284" s="438" t="s">
        <v>636</v>
      </c>
      <c r="F284" s="438">
        <v>3</v>
      </c>
      <c r="G284" s="438">
        <v>1</v>
      </c>
      <c r="H284" s="439">
        <v>0</v>
      </c>
      <c r="I284" s="439">
        <v>0</v>
      </c>
      <c r="K284" s="731"/>
    </row>
    <row r="285" spans="1:11">
      <c r="A285" s="438" t="s">
        <v>320</v>
      </c>
      <c r="B285" s="593">
        <v>14038</v>
      </c>
      <c r="C285" s="438" t="s">
        <v>601</v>
      </c>
      <c r="D285" s="438" t="s">
        <v>1184</v>
      </c>
      <c r="E285" s="438" t="s">
        <v>656</v>
      </c>
      <c r="F285" s="438">
        <v>1</v>
      </c>
      <c r="G285" s="438">
        <v>0</v>
      </c>
      <c r="H285" s="439">
        <v>0</v>
      </c>
      <c r="I285" s="439">
        <v>0</v>
      </c>
      <c r="K285" s="731"/>
    </row>
    <row r="286" spans="1:11">
      <c r="A286" s="438" t="s">
        <v>320</v>
      </c>
      <c r="B286" s="593">
        <v>14044</v>
      </c>
      <c r="C286" s="438" t="s">
        <v>949</v>
      </c>
      <c r="D286" s="438" t="s">
        <v>1221</v>
      </c>
      <c r="E286" s="438" t="s">
        <v>636</v>
      </c>
      <c r="F286" s="438">
        <v>2</v>
      </c>
      <c r="G286" s="438">
        <v>2</v>
      </c>
      <c r="H286" s="439">
        <v>0</v>
      </c>
      <c r="I286" s="439">
        <v>0</v>
      </c>
      <c r="K286" s="731"/>
    </row>
    <row r="287" spans="1:11">
      <c r="A287" s="438" t="s">
        <v>320</v>
      </c>
      <c r="B287" s="593">
        <v>14061</v>
      </c>
      <c r="C287" s="438" t="s">
        <v>602</v>
      </c>
      <c r="D287" s="438" t="s">
        <v>1184</v>
      </c>
      <c r="E287" s="438" t="s">
        <v>640</v>
      </c>
      <c r="F287" s="438">
        <v>9</v>
      </c>
      <c r="G287" s="438">
        <v>0</v>
      </c>
      <c r="H287" s="439">
        <v>0</v>
      </c>
      <c r="I287" s="439">
        <v>0</v>
      </c>
      <c r="K287" s="731"/>
    </row>
    <row r="288" spans="1:11">
      <c r="A288" s="438" t="s">
        <v>320</v>
      </c>
      <c r="B288" s="593">
        <v>14148</v>
      </c>
      <c r="C288" s="438" t="s">
        <v>505</v>
      </c>
      <c r="D288" s="438" t="s">
        <v>1215</v>
      </c>
      <c r="E288" s="438" t="s">
        <v>651</v>
      </c>
      <c r="F288" s="438">
        <v>11</v>
      </c>
      <c r="G288" s="438">
        <v>0</v>
      </c>
      <c r="H288" s="439">
        <v>0</v>
      </c>
      <c r="I288" s="439">
        <v>0</v>
      </c>
      <c r="K288" s="731"/>
    </row>
    <row r="289" spans="1:11">
      <c r="A289" s="438" t="s">
        <v>320</v>
      </c>
      <c r="B289" s="593">
        <v>14183</v>
      </c>
      <c r="C289" s="438" t="s">
        <v>603</v>
      </c>
      <c r="D289" s="438" t="s">
        <v>1181</v>
      </c>
      <c r="E289" s="438" t="s">
        <v>658</v>
      </c>
      <c r="F289" s="438">
        <v>1</v>
      </c>
      <c r="G289" s="438">
        <v>0</v>
      </c>
      <c r="H289" s="439">
        <v>0</v>
      </c>
      <c r="I289" s="439">
        <v>0</v>
      </c>
      <c r="K289" s="731"/>
    </row>
    <row r="290" spans="1:11">
      <c r="A290" s="438" t="s">
        <v>320</v>
      </c>
      <c r="B290" s="593">
        <v>14265</v>
      </c>
      <c r="C290" s="438" t="s">
        <v>604</v>
      </c>
      <c r="D290" s="438" t="s">
        <v>1179</v>
      </c>
      <c r="E290" s="438" t="s">
        <v>886</v>
      </c>
      <c r="F290" s="438">
        <v>2</v>
      </c>
      <c r="G290" s="438">
        <v>0</v>
      </c>
      <c r="H290" s="439">
        <v>0</v>
      </c>
      <c r="I290" s="439">
        <v>0</v>
      </c>
      <c r="K290" s="731"/>
    </row>
    <row r="291" spans="1:11">
      <c r="A291" s="438" t="s">
        <v>320</v>
      </c>
      <c r="B291" s="593">
        <v>14501</v>
      </c>
      <c r="C291" s="438" t="s">
        <v>543</v>
      </c>
      <c r="D291" s="438" t="s">
        <v>1179</v>
      </c>
      <c r="E291" s="438" t="s">
        <v>636</v>
      </c>
      <c r="F291" s="438">
        <v>2</v>
      </c>
      <c r="G291" s="438">
        <v>0</v>
      </c>
      <c r="H291" s="439">
        <v>0</v>
      </c>
      <c r="I291" s="439">
        <v>0</v>
      </c>
      <c r="K291" s="731"/>
    </row>
    <row r="292" spans="1:11">
      <c r="A292" s="438" t="s">
        <v>320</v>
      </c>
      <c r="B292" s="593">
        <v>14649</v>
      </c>
      <c r="C292" s="438" t="s">
        <v>605</v>
      </c>
      <c r="D292" s="438" t="s">
        <v>1179</v>
      </c>
      <c r="E292" s="438" t="s">
        <v>636</v>
      </c>
      <c r="F292" s="438">
        <v>3</v>
      </c>
      <c r="G292" s="438">
        <v>0</v>
      </c>
      <c r="H292" s="439">
        <v>0</v>
      </c>
      <c r="I292" s="439">
        <v>0</v>
      </c>
      <c r="K292" s="731"/>
    </row>
    <row r="293" spans="1:11">
      <c r="A293" s="438" t="s">
        <v>320</v>
      </c>
      <c r="B293" s="593">
        <v>14676</v>
      </c>
      <c r="C293" s="438" t="s">
        <v>504</v>
      </c>
      <c r="D293" s="438" t="s">
        <v>1187</v>
      </c>
      <c r="E293" s="438" t="s">
        <v>646</v>
      </c>
      <c r="F293" s="438">
        <v>3</v>
      </c>
      <c r="G293" s="438">
        <v>0</v>
      </c>
      <c r="H293" s="439">
        <v>0</v>
      </c>
      <c r="I293" s="439">
        <v>0</v>
      </c>
      <c r="K293" s="731"/>
    </row>
    <row r="294" spans="1:11">
      <c r="A294" s="438" t="s">
        <v>320</v>
      </c>
      <c r="B294" s="593">
        <v>14900</v>
      </c>
      <c r="C294" s="438" t="s">
        <v>512</v>
      </c>
      <c r="D294" s="438" t="s">
        <v>1208</v>
      </c>
      <c r="E294" s="438" t="s">
        <v>643</v>
      </c>
      <c r="F294" s="438">
        <v>5</v>
      </c>
      <c r="G294" s="438">
        <v>0</v>
      </c>
      <c r="H294" s="439">
        <v>0</v>
      </c>
      <c r="I294" s="439">
        <v>0</v>
      </c>
      <c r="K294" s="731"/>
    </row>
    <row r="295" spans="1:11">
      <c r="A295" s="438" t="s">
        <v>320</v>
      </c>
      <c r="B295" s="593">
        <v>15043</v>
      </c>
      <c r="C295" s="438" t="s">
        <v>608</v>
      </c>
      <c r="D295" s="438" t="s">
        <v>1181</v>
      </c>
      <c r="E295" s="438" t="s">
        <v>650</v>
      </c>
      <c r="F295" s="438">
        <v>1</v>
      </c>
      <c r="G295" s="438">
        <v>0</v>
      </c>
      <c r="H295" s="439">
        <v>0</v>
      </c>
      <c r="I295" s="439">
        <v>0</v>
      </c>
      <c r="K295" s="731"/>
    </row>
    <row r="296" spans="1:11">
      <c r="A296" s="438" t="s">
        <v>320</v>
      </c>
      <c r="B296" s="593">
        <v>15103</v>
      </c>
      <c r="C296" s="438" t="s">
        <v>722</v>
      </c>
      <c r="D296" s="438" t="s">
        <v>1201</v>
      </c>
      <c r="E296" s="438" t="s">
        <v>659</v>
      </c>
      <c r="F296" s="438">
        <v>3</v>
      </c>
      <c r="G296" s="438">
        <v>0</v>
      </c>
      <c r="H296" s="439">
        <v>0</v>
      </c>
      <c r="I296" s="439">
        <v>0</v>
      </c>
      <c r="K296" s="731"/>
    </row>
    <row r="297" spans="1:11">
      <c r="A297" s="438" t="s">
        <v>320</v>
      </c>
      <c r="B297" s="593">
        <v>15260</v>
      </c>
      <c r="C297" s="438" t="s">
        <v>485</v>
      </c>
      <c r="D297" s="438" t="s">
        <v>1181</v>
      </c>
      <c r="E297" s="438" t="s">
        <v>643</v>
      </c>
      <c r="F297" s="438">
        <v>816</v>
      </c>
      <c r="G297" s="438">
        <v>0</v>
      </c>
      <c r="H297" s="439">
        <v>0</v>
      </c>
      <c r="I297" s="439">
        <v>0</v>
      </c>
      <c r="K297" s="731"/>
    </row>
    <row r="298" spans="1:11">
      <c r="A298" s="438" t="s">
        <v>320</v>
      </c>
      <c r="B298" s="593">
        <v>15273</v>
      </c>
      <c r="C298" s="438" t="s">
        <v>535</v>
      </c>
      <c r="D298" s="438" t="s">
        <v>1181</v>
      </c>
      <c r="E298" s="438" t="s">
        <v>643</v>
      </c>
      <c r="F298" s="438">
        <v>76</v>
      </c>
      <c r="G298" s="438">
        <v>0</v>
      </c>
      <c r="H298" s="439">
        <v>0</v>
      </c>
      <c r="I298" s="439">
        <v>0</v>
      </c>
      <c r="K298" s="731"/>
    </row>
    <row r="299" spans="1:11">
      <c r="A299" s="438" t="s">
        <v>320</v>
      </c>
      <c r="B299" s="593">
        <v>15316</v>
      </c>
      <c r="C299" s="438" t="s">
        <v>611</v>
      </c>
      <c r="D299" s="438" t="s">
        <v>1181</v>
      </c>
      <c r="E299" s="438" t="s">
        <v>636</v>
      </c>
      <c r="F299" s="438">
        <v>13</v>
      </c>
      <c r="G299" s="438">
        <v>0</v>
      </c>
      <c r="H299" s="439">
        <v>0</v>
      </c>
      <c r="I299" s="439">
        <v>0</v>
      </c>
      <c r="K299" s="731"/>
    </row>
    <row r="300" spans="1:11">
      <c r="A300" s="438" t="s">
        <v>320</v>
      </c>
      <c r="B300" s="593">
        <v>15384</v>
      </c>
      <c r="C300" s="438" t="s">
        <v>669</v>
      </c>
      <c r="D300" s="438" t="s">
        <v>1183</v>
      </c>
      <c r="E300" s="438" t="s">
        <v>645</v>
      </c>
      <c r="F300" s="438">
        <v>5</v>
      </c>
      <c r="G300" s="438">
        <v>0</v>
      </c>
      <c r="H300" s="439">
        <v>0</v>
      </c>
      <c r="I300" s="439">
        <v>0</v>
      </c>
      <c r="K300" s="731"/>
    </row>
    <row r="301" spans="1:11">
      <c r="A301" s="438" t="s">
        <v>320</v>
      </c>
      <c r="B301" s="593">
        <v>15426</v>
      </c>
      <c r="C301" s="438" t="s">
        <v>506</v>
      </c>
      <c r="D301" s="438" t="s">
        <v>1223</v>
      </c>
      <c r="E301" s="438" t="s">
        <v>667</v>
      </c>
      <c r="F301" s="438">
        <v>2</v>
      </c>
      <c r="G301" s="438">
        <v>0</v>
      </c>
      <c r="H301" s="439">
        <v>0</v>
      </c>
      <c r="I301" s="439">
        <v>0</v>
      </c>
      <c r="K301" s="731"/>
    </row>
    <row r="302" spans="1:11">
      <c r="A302" s="438" t="s">
        <v>320</v>
      </c>
      <c r="B302" s="593">
        <v>15524</v>
      </c>
      <c r="C302" s="438" t="s">
        <v>613</v>
      </c>
      <c r="D302" s="438" t="s">
        <v>1181</v>
      </c>
      <c r="E302" s="438" t="s">
        <v>650</v>
      </c>
      <c r="F302" s="438">
        <v>5</v>
      </c>
      <c r="G302" s="438">
        <v>0</v>
      </c>
      <c r="H302" s="439">
        <v>0</v>
      </c>
      <c r="I302" s="439">
        <v>0</v>
      </c>
      <c r="K302" s="731"/>
    </row>
    <row r="303" spans="1:11">
      <c r="A303" s="438" t="s">
        <v>320</v>
      </c>
      <c r="B303" s="593">
        <v>15620</v>
      </c>
      <c r="C303" s="438" t="s">
        <v>484</v>
      </c>
      <c r="D303" s="438" t="s">
        <v>1181</v>
      </c>
      <c r="E303" s="438" t="s">
        <v>643</v>
      </c>
      <c r="F303" s="438">
        <v>794</v>
      </c>
      <c r="G303" s="438">
        <v>0</v>
      </c>
      <c r="H303" s="439">
        <v>0</v>
      </c>
      <c r="I303" s="439">
        <v>0</v>
      </c>
      <c r="K303" s="731"/>
    </row>
    <row r="304" spans="1:11">
      <c r="A304" s="438" t="s">
        <v>320</v>
      </c>
      <c r="B304" s="593">
        <v>15849</v>
      </c>
      <c r="C304" s="438" t="s">
        <v>939</v>
      </c>
      <c r="D304" s="438" t="s">
        <v>1183</v>
      </c>
      <c r="E304" s="438" t="s">
        <v>648</v>
      </c>
      <c r="F304" s="438">
        <v>4</v>
      </c>
      <c r="G304" s="438">
        <v>4</v>
      </c>
      <c r="H304" s="439">
        <v>0</v>
      </c>
      <c r="I304" s="439">
        <v>0</v>
      </c>
      <c r="K304" s="731"/>
    </row>
    <row r="305" spans="1:11">
      <c r="A305" s="438" t="s">
        <v>320</v>
      </c>
      <c r="B305" s="593">
        <v>15919</v>
      </c>
      <c r="C305" s="438" t="s">
        <v>616</v>
      </c>
      <c r="D305" s="438" t="s">
        <v>1183</v>
      </c>
      <c r="E305" s="438" t="s">
        <v>649</v>
      </c>
      <c r="F305" s="438">
        <v>16</v>
      </c>
      <c r="G305" s="438">
        <v>3</v>
      </c>
      <c r="H305" s="439">
        <v>0</v>
      </c>
      <c r="I305" s="439">
        <v>0</v>
      </c>
      <c r="K305" s="731"/>
    </row>
    <row r="306" spans="1:11">
      <c r="A306" s="438" t="s">
        <v>320</v>
      </c>
      <c r="B306" s="593">
        <v>15974</v>
      </c>
      <c r="C306" s="438" t="s">
        <v>617</v>
      </c>
      <c r="D306" s="438" t="s">
        <v>1186</v>
      </c>
      <c r="E306" s="438" t="s">
        <v>648</v>
      </c>
      <c r="F306" s="438">
        <v>1</v>
      </c>
      <c r="G306" s="438">
        <v>0</v>
      </c>
      <c r="H306" s="439">
        <v>0</v>
      </c>
      <c r="I306" s="439">
        <v>0</v>
      </c>
      <c r="K306" s="731"/>
    </row>
    <row r="307" spans="1:11">
      <c r="A307" s="438" t="s">
        <v>320</v>
      </c>
      <c r="B307" s="593">
        <v>15982</v>
      </c>
      <c r="C307" s="438" t="s">
        <v>1228</v>
      </c>
      <c r="D307" s="438" t="s">
        <v>1187</v>
      </c>
      <c r="E307" s="438" t="s">
        <v>738</v>
      </c>
      <c r="F307" s="438">
        <v>1</v>
      </c>
      <c r="G307" s="438">
        <v>1</v>
      </c>
      <c r="H307" s="439">
        <v>0</v>
      </c>
      <c r="I307" s="439">
        <v>0</v>
      </c>
      <c r="K307" s="731"/>
    </row>
    <row r="308" spans="1:11">
      <c r="A308" s="438" t="s">
        <v>320</v>
      </c>
      <c r="B308" s="593">
        <v>16096</v>
      </c>
      <c r="C308" s="438" t="s">
        <v>1229</v>
      </c>
      <c r="D308" s="438" t="s">
        <v>1183</v>
      </c>
      <c r="E308" s="438" t="s">
        <v>649</v>
      </c>
      <c r="F308" s="438">
        <v>1</v>
      </c>
      <c r="G308" s="438">
        <v>1</v>
      </c>
      <c r="H308" s="439">
        <v>0</v>
      </c>
      <c r="I308" s="439">
        <v>0</v>
      </c>
      <c r="K308" s="731"/>
    </row>
    <row r="309" spans="1:11">
      <c r="A309" s="438" t="s">
        <v>320</v>
      </c>
      <c r="B309" s="593">
        <v>16151</v>
      </c>
      <c r="C309" s="438" t="s">
        <v>670</v>
      </c>
      <c r="D309" s="438" t="s">
        <v>1183</v>
      </c>
      <c r="E309" s="438" t="s">
        <v>645</v>
      </c>
      <c r="F309" s="438">
        <v>4</v>
      </c>
      <c r="G309" s="438">
        <v>0</v>
      </c>
      <c r="H309" s="439">
        <v>0</v>
      </c>
      <c r="I309" s="439">
        <v>0</v>
      </c>
      <c r="K309" s="731"/>
    </row>
    <row r="310" spans="1:11">
      <c r="A310" s="438" t="s">
        <v>320</v>
      </c>
      <c r="B310" s="593">
        <v>16212</v>
      </c>
      <c r="C310" s="438" t="s">
        <v>513</v>
      </c>
      <c r="D310" s="438" t="s">
        <v>1181</v>
      </c>
      <c r="E310" s="438" t="s">
        <v>643</v>
      </c>
      <c r="F310" s="438">
        <v>4</v>
      </c>
      <c r="G310" s="438">
        <v>0</v>
      </c>
      <c r="H310" s="439">
        <v>0</v>
      </c>
      <c r="I310" s="439">
        <v>0</v>
      </c>
      <c r="K310" s="731"/>
    </row>
    <row r="311" spans="1:11">
      <c r="A311" s="438" t="s">
        <v>320</v>
      </c>
      <c r="B311" s="593">
        <v>16329</v>
      </c>
      <c r="C311" s="438" t="s">
        <v>540</v>
      </c>
      <c r="D311" s="438" t="s">
        <v>1205</v>
      </c>
      <c r="E311" s="438" t="s">
        <v>636</v>
      </c>
      <c r="F311" s="438">
        <v>3</v>
      </c>
      <c r="G311" s="438">
        <v>0</v>
      </c>
      <c r="H311" s="439">
        <v>0</v>
      </c>
      <c r="I311" s="439">
        <v>0</v>
      </c>
      <c r="K311" s="731"/>
    </row>
    <row r="312" spans="1:11">
      <c r="A312" s="438" t="s">
        <v>320</v>
      </c>
      <c r="B312" s="593">
        <v>16401</v>
      </c>
      <c r="C312" s="438" t="s">
        <v>672</v>
      </c>
      <c r="D312" s="438" t="s">
        <v>1210</v>
      </c>
      <c r="E312" s="438" t="s">
        <v>642</v>
      </c>
      <c r="F312" s="438">
        <v>2</v>
      </c>
      <c r="G312" s="438">
        <v>0</v>
      </c>
      <c r="H312" s="439">
        <v>0</v>
      </c>
      <c r="I312" s="439">
        <v>0</v>
      </c>
      <c r="K312" s="731"/>
    </row>
    <row r="313" spans="1:11">
      <c r="A313" s="438" t="s">
        <v>320</v>
      </c>
      <c r="B313" s="593">
        <v>16420</v>
      </c>
      <c r="C313" s="438" t="s">
        <v>624</v>
      </c>
      <c r="D313" s="438" t="s">
        <v>1186</v>
      </c>
      <c r="E313" s="438" t="s">
        <v>636</v>
      </c>
      <c r="F313" s="438">
        <v>1</v>
      </c>
      <c r="G313" s="438">
        <v>0</v>
      </c>
      <c r="H313" s="439">
        <v>0</v>
      </c>
      <c r="I313" s="439">
        <v>0</v>
      </c>
      <c r="K313" s="731"/>
    </row>
    <row r="314" spans="1:11">
      <c r="A314" s="438" t="s">
        <v>320</v>
      </c>
      <c r="B314" s="593">
        <v>16728</v>
      </c>
      <c r="C314" s="438" t="s">
        <v>982</v>
      </c>
      <c r="D314" s="438" t="s">
        <v>1181</v>
      </c>
      <c r="E314" s="438" t="s">
        <v>636</v>
      </c>
      <c r="F314" s="438">
        <v>2</v>
      </c>
      <c r="G314" s="438">
        <v>2</v>
      </c>
      <c r="H314" s="439">
        <v>0</v>
      </c>
      <c r="I314" s="439">
        <v>0</v>
      </c>
      <c r="K314" s="731"/>
    </row>
    <row r="315" spans="1:11">
      <c r="A315" s="438" t="s">
        <v>320</v>
      </c>
      <c r="B315" s="593">
        <v>16769</v>
      </c>
      <c r="C315" s="438" t="s">
        <v>1031</v>
      </c>
      <c r="D315" s="438" t="s">
        <v>1183</v>
      </c>
      <c r="E315" s="438" t="s">
        <v>649</v>
      </c>
      <c r="F315" s="438">
        <v>1</v>
      </c>
      <c r="G315" s="438">
        <v>1</v>
      </c>
      <c r="H315" s="439">
        <v>0</v>
      </c>
      <c r="I315" s="439">
        <v>0</v>
      </c>
      <c r="K315" s="731"/>
    </row>
    <row r="316" spans="1:11">
      <c r="A316" s="438" t="s">
        <v>320</v>
      </c>
      <c r="B316" s="593">
        <v>16814</v>
      </c>
      <c r="C316" s="438" t="s">
        <v>956</v>
      </c>
      <c r="D316" s="438" t="s">
        <v>1186</v>
      </c>
      <c r="E316" s="438" t="s">
        <v>641</v>
      </c>
      <c r="F316" s="438">
        <v>1</v>
      </c>
      <c r="G316" s="438">
        <v>1</v>
      </c>
      <c r="H316" s="439">
        <v>0</v>
      </c>
      <c r="I316" s="439">
        <v>0</v>
      </c>
      <c r="K316" s="731"/>
    </row>
    <row r="317" spans="1:11">
      <c r="A317" s="438" t="s">
        <v>320</v>
      </c>
      <c r="B317" s="593">
        <v>16838</v>
      </c>
      <c r="C317" s="438" t="s">
        <v>727</v>
      </c>
      <c r="D317" s="438" t="s">
        <v>1186</v>
      </c>
      <c r="E317" s="438" t="s">
        <v>636</v>
      </c>
      <c r="F317" s="438">
        <v>1</v>
      </c>
      <c r="G317" s="438">
        <v>0</v>
      </c>
      <c r="H317" s="439">
        <v>0</v>
      </c>
      <c r="I317" s="439">
        <v>0</v>
      </c>
      <c r="K317" s="731"/>
    </row>
    <row r="318" spans="1:11">
      <c r="A318" s="438" t="s">
        <v>320</v>
      </c>
      <c r="B318" s="593">
        <v>16894</v>
      </c>
      <c r="C318" s="438" t="s">
        <v>726</v>
      </c>
      <c r="D318" s="438" t="s">
        <v>1183</v>
      </c>
      <c r="E318" s="438" t="s">
        <v>645</v>
      </c>
      <c r="F318" s="438">
        <v>3</v>
      </c>
      <c r="G318" s="438">
        <v>0</v>
      </c>
      <c r="H318" s="439">
        <v>0</v>
      </c>
      <c r="I318" s="439">
        <v>0</v>
      </c>
      <c r="K318" s="731"/>
    </row>
    <row r="319" spans="1:11" hidden="1">
      <c r="A319" s="438" t="s">
        <v>320</v>
      </c>
      <c r="B319" s="593">
        <v>17103</v>
      </c>
      <c r="C319" s="438" t="s">
        <v>928</v>
      </c>
      <c r="D319" s="438" t="s">
        <v>1178</v>
      </c>
      <c r="E319" s="438" t="s">
        <v>738</v>
      </c>
      <c r="F319" s="438">
        <v>1</v>
      </c>
      <c r="G319" s="438">
        <v>1</v>
      </c>
      <c r="H319" s="439">
        <v>0</v>
      </c>
      <c r="I319" s="439">
        <v>0</v>
      </c>
      <c r="K319" s="731"/>
    </row>
    <row r="320" spans="1:11">
      <c r="A320" s="438" t="s">
        <v>320</v>
      </c>
      <c r="B320" s="593">
        <v>17104</v>
      </c>
      <c r="C320" s="438" t="s">
        <v>631</v>
      </c>
      <c r="D320" s="438" t="s">
        <v>1181</v>
      </c>
      <c r="E320" s="438" t="s">
        <v>652</v>
      </c>
      <c r="F320" s="438">
        <v>3</v>
      </c>
      <c r="G320" s="438">
        <v>1</v>
      </c>
      <c r="H320" s="439">
        <v>0</v>
      </c>
      <c r="I320" s="439">
        <v>0</v>
      </c>
      <c r="K320" s="731"/>
    </row>
    <row r="321" spans="1:11">
      <c r="A321" s="438" t="s">
        <v>320</v>
      </c>
      <c r="B321" s="593">
        <v>17132</v>
      </c>
      <c r="C321" s="438" t="s">
        <v>871</v>
      </c>
      <c r="D321" s="438" t="s">
        <v>1183</v>
      </c>
      <c r="E321" s="438" t="s">
        <v>649</v>
      </c>
      <c r="F321" s="438">
        <v>5</v>
      </c>
      <c r="G321" s="438">
        <v>5</v>
      </c>
      <c r="H321" s="439">
        <v>0</v>
      </c>
      <c r="I321" s="439">
        <v>0</v>
      </c>
      <c r="K321" s="731"/>
    </row>
    <row r="322" spans="1:11" hidden="1">
      <c r="A322" s="438" t="s">
        <v>321</v>
      </c>
      <c r="B322" s="594">
        <v>17166</v>
      </c>
      <c r="C322" s="595" t="s">
        <v>842</v>
      </c>
      <c r="D322" s="595" t="s">
        <v>1178</v>
      </c>
      <c r="E322" s="596" t="s">
        <v>844</v>
      </c>
      <c r="F322" s="438">
        <v>1</v>
      </c>
      <c r="G322" s="438">
        <v>1</v>
      </c>
      <c r="H322" s="439">
        <v>0</v>
      </c>
      <c r="I322" s="439">
        <v>0</v>
      </c>
      <c r="K322" s="731"/>
    </row>
    <row r="323" spans="1:11">
      <c r="A323" s="438" t="s">
        <v>320</v>
      </c>
      <c r="B323" s="593">
        <v>17173</v>
      </c>
      <c r="C323" s="438" t="s">
        <v>633</v>
      </c>
      <c r="D323" s="438" t="s">
        <v>1181</v>
      </c>
      <c r="E323" s="438" t="s">
        <v>636</v>
      </c>
      <c r="F323" s="438">
        <v>1</v>
      </c>
      <c r="G323" s="438">
        <v>0</v>
      </c>
      <c r="H323" s="439">
        <v>0</v>
      </c>
      <c r="I323" s="439">
        <v>0</v>
      </c>
      <c r="K323" s="731"/>
    </row>
    <row r="324" spans="1:11" hidden="1">
      <c r="A324" s="438" t="s">
        <v>321</v>
      </c>
      <c r="B324" s="594">
        <v>17174</v>
      </c>
      <c r="C324" s="595" t="s">
        <v>684</v>
      </c>
      <c r="D324" s="595" t="s">
        <v>1178</v>
      </c>
      <c r="E324" s="596" t="s">
        <v>648</v>
      </c>
      <c r="F324" s="438">
        <v>3</v>
      </c>
      <c r="G324" s="438">
        <v>0</v>
      </c>
      <c r="H324" s="439">
        <v>0</v>
      </c>
      <c r="I324" s="439">
        <v>0</v>
      </c>
      <c r="K324" s="731"/>
    </row>
    <row r="325" spans="1:11">
      <c r="A325" s="438" t="s">
        <v>320</v>
      </c>
      <c r="B325" s="593">
        <v>17237</v>
      </c>
      <c r="C325" s="438" t="s">
        <v>875</v>
      </c>
      <c r="D325" s="438" t="s">
        <v>1216</v>
      </c>
      <c r="E325" s="438" t="s">
        <v>643</v>
      </c>
      <c r="F325" s="438">
        <v>1</v>
      </c>
      <c r="G325" s="438">
        <v>1</v>
      </c>
      <c r="H325" s="439">
        <v>0</v>
      </c>
      <c r="I325" s="439">
        <v>0</v>
      </c>
      <c r="K325" s="731"/>
    </row>
    <row r="326" spans="1:11">
      <c r="A326" s="438" t="s">
        <v>320</v>
      </c>
      <c r="B326" s="593">
        <v>17270</v>
      </c>
      <c r="C326" s="438" t="s">
        <v>766</v>
      </c>
      <c r="D326" s="438" t="s">
        <v>1216</v>
      </c>
      <c r="E326" s="438" t="s">
        <v>636</v>
      </c>
      <c r="F326" s="438">
        <v>8</v>
      </c>
      <c r="G326" s="438">
        <v>0</v>
      </c>
      <c r="H326" s="439">
        <v>0</v>
      </c>
      <c r="I326" s="439">
        <v>0</v>
      </c>
      <c r="K326" s="731"/>
    </row>
    <row r="327" spans="1:11">
      <c r="A327" s="438" t="s">
        <v>320</v>
      </c>
      <c r="B327" s="593">
        <v>17296</v>
      </c>
      <c r="C327" s="438" t="s">
        <v>673</v>
      </c>
      <c r="D327" s="438" t="s">
        <v>1186</v>
      </c>
      <c r="E327" s="438" t="s">
        <v>636</v>
      </c>
      <c r="F327" s="438">
        <v>1</v>
      </c>
      <c r="G327" s="438">
        <v>0</v>
      </c>
      <c r="H327" s="439">
        <v>0</v>
      </c>
      <c r="I327" s="439">
        <v>0</v>
      </c>
      <c r="K327" s="731"/>
    </row>
    <row r="328" spans="1:11">
      <c r="A328" s="438" t="s">
        <v>320</v>
      </c>
      <c r="B328" s="593">
        <v>17527</v>
      </c>
      <c r="C328" s="438" t="s">
        <v>635</v>
      </c>
      <c r="D328" s="438" t="s">
        <v>1190</v>
      </c>
      <c r="E328" s="438" t="s">
        <v>636</v>
      </c>
      <c r="F328" s="438">
        <v>1</v>
      </c>
      <c r="G328" s="438">
        <v>0</v>
      </c>
      <c r="H328" s="439">
        <v>0</v>
      </c>
      <c r="I328" s="439">
        <v>0</v>
      </c>
      <c r="K328" s="731"/>
    </row>
    <row r="329" spans="1:11" hidden="1">
      <c r="A329" s="438" t="s">
        <v>321</v>
      </c>
      <c r="B329" s="594">
        <v>17965</v>
      </c>
      <c r="C329" s="595" t="s">
        <v>688</v>
      </c>
      <c r="D329" s="595" t="s">
        <v>1178</v>
      </c>
      <c r="E329" s="596" t="s">
        <v>652</v>
      </c>
      <c r="F329" s="438">
        <v>1</v>
      </c>
      <c r="G329" s="438">
        <v>0</v>
      </c>
      <c r="H329" s="439">
        <v>0</v>
      </c>
      <c r="I329" s="439">
        <v>0</v>
      </c>
      <c r="K329" s="731"/>
    </row>
    <row r="330" spans="1:11" hidden="1">
      <c r="A330" s="438" t="s">
        <v>321</v>
      </c>
      <c r="B330" s="594">
        <v>18000</v>
      </c>
      <c r="C330" s="595" t="s">
        <v>324</v>
      </c>
      <c r="D330" s="595" t="s">
        <v>1178</v>
      </c>
      <c r="E330" s="596" t="s">
        <v>887</v>
      </c>
      <c r="F330" s="438">
        <v>1</v>
      </c>
      <c r="G330" s="438">
        <v>0</v>
      </c>
      <c r="H330" s="439">
        <v>0</v>
      </c>
      <c r="I330" s="439">
        <v>0</v>
      </c>
      <c r="K330" s="731"/>
    </row>
    <row r="331" spans="1:11" hidden="1">
      <c r="A331" s="438" t="s">
        <v>321</v>
      </c>
      <c r="B331" s="594">
        <v>18076</v>
      </c>
      <c r="C331" s="595" t="s">
        <v>346</v>
      </c>
      <c r="D331" s="595" t="s">
        <v>1180</v>
      </c>
      <c r="E331" s="596" t="s">
        <v>653</v>
      </c>
      <c r="F331" s="438">
        <v>1</v>
      </c>
      <c r="G331" s="438">
        <v>0</v>
      </c>
      <c r="H331" s="439">
        <v>0</v>
      </c>
      <c r="I331" s="439">
        <v>0</v>
      </c>
      <c r="K331" s="731"/>
    </row>
    <row r="332" spans="1:11" hidden="1">
      <c r="A332" s="438" t="s">
        <v>321</v>
      </c>
      <c r="B332" s="594">
        <v>18080</v>
      </c>
      <c r="C332" s="595" t="s">
        <v>347</v>
      </c>
      <c r="D332" s="595" t="s">
        <v>1180</v>
      </c>
      <c r="E332" s="596" t="s">
        <v>676</v>
      </c>
      <c r="F332" s="438">
        <v>7</v>
      </c>
      <c r="G332" s="438">
        <v>0</v>
      </c>
      <c r="H332" s="439">
        <v>0</v>
      </c>
      <c r="I332" s="439">
        <v>0</v>
      </c>
      <c r="K332" s="731"/>
    </row>
    <row r="333" spans="1:11" hidden="1">
      <c r="A333" s="438" t="s">
        <v>321</v>
      </c>
      <c r="B333" s="594">
        <v>18134</v>
      </c>
      <c r="C333" s="595" t="s">
        <v>348</v>
      </c>
      <c r="D333" s="595" t="s">
        <v>1180</v>
      </c>
      <c r="E333" s="596" t="s">
        <v>636</v>
      </c>
      <c r="F333" s="438">
        <v>1</v>
      </c>
      <c r="G333" s="438">
        <v>0</v>
      </c>
      <c r="H333" s="439">
        <v>0</v>
      </c>
      <c r="I333" s="439">
        <v>0</v>
      </c>
      <c r="K333" s="731"/>
    </row>
    <row r="334" spans="1:11" hidden="1">
      <c r="A334" s="438" t="s">
        <v>321</v>
      </c>
      <c r="B334" s="594">
        <v>18141</v>
      </c>
      <c r="C334" s="595" t="s">
        <v>349</v>
      </c>
      <c r="D334" s="595" t="s">
        <v>1180</v>
      </c>
      <c r="E334" s="596" t="s">
        <v>636</v>
      </c>
      <c r="F334" s="438">
        <v>1</v>
      </c>
      <c r="G334" s="438">
        <v>0</v>
      </c>
      <c r="H334" s="439">
        <v>0</v>
      </c>
      <c r="I334" s="439">
        <v>0</v>
      </c>
      <c r="K334" s="731"/>
    </row>
    <row r="335" spans="1:11" hidden="1">
      <c r="A335" s="438" t="s">
        <v>321</v>
      </c>
      <c r="B335" s="594">
        <v>18155</v>
      </c>
      <c r="C335" s="595" t="s">
        <v>350</v>
      </c>
      <c r="D335" s="595" t="s">
        <v>1180</v>
      </c>
      <c r="E335" s="596" t="s">
        <v>636</v>
      </c>
      <c r="F335" s="438">
        <v>1</v>
      </c>
      <c r="G335" s="438">
        <v>0</v>
      </c>
      <c r="H335" s="439">
        <v>0</v>
      </c>
      <c r="I335" s="439">
        <v>0</v>
      </c>
      <c r="K335" s="731"/>
    </row>
    <row r="336" spans="1:11" hidden="1">
      <c r="A336" s="438" t="s">
        <v>321</v>
      </c>
      <c r="B336" s="594">
        <v>18193</v>
      </c>
      <c r="C336" s="595" t="s">
        <v>351</v>
      </c>
      <c r="D336" s="595" t="s">
        <v>1180</v>
      </c>
      <c r="E336" s="596" t="s">
        <v>636</v>
      </c>
      <c r="F336" s="438">
        <v>1</v>
      </c>
      <c r="G336" s="438">
        <v>0</v>
      </c>
      <c r="H336" s="439">
        <v>0</v>
      </c>
      <c r="I336" s="439">
        <v>0</v>
      </c>
      <c r="K336" s="731"/>
    </row>
    <row r="337" spans="1:11" hidden="1">
      <c r="A337" s="438" t="s">
        <v>321</v>
      </c>
      <c r="B337" s="594">
        <v>18198</v>
      </c>
      <c r="C337" s="595" t="s">
        <v>983</v>
      </c>
      <c r="D337" s="595" t="s">
        <v>1180</v>
      </c>
      <c r="E337" s="596" t="s">
        <v>636</v>
      </c>
      <c r="F337" s="438">
        <v>1</v>
      </c>
      <c r="G337" s="438">
        <v>1</v>
      </c>
      <c r="H337" s="439">
        <v>0</v>
      </c>
      <c r="I337" s="439">
        <v>0</v>
      </c>
      <c r="K337" s="731"/>
    </row>
    <row r="338" spans="1:11" hidden="1">
      <c r="A338" s="438" t="s">
        <v>321</v>
      </c>
      <c r="B338" s="594">
        <v>18223</v>
      </c>
      <c r="C338" s="595" t="s">
        <v>352</v>
      </c>
      <c r="D338" s="595" t="s">
        <v>1180</v>
      </c>
      <c r="E338" s="596" t="s">
        <v>636</v>
      </c>
      <c r="F338" s="438">
        <v>33</v>
      </c>
      <c r="G338" s="438">
        <v>0</v>
      </c>
      <c r="H338" s="439">
        <v>0</v>
      </c>
      <c r="I338" s="439">
        <v>0</v>
      </c>
      <c r="K338" s="731"/>
    </row>
    <row r="339" spans="1:11" hidden="1">
      <c r="A339" s="438" t="s">
        <v>321</v>
      </c>
      <c r="B339" s="594">
        <v>18230</v>
      </c>
      <c r="C339" s="595" t="s">
        <v>947</v>
      </c>
      <c r="D339" s="595" t="s">
        <v>1180</v>
      </c>
      <c r="E339" s="596" t="s">
        <v>640</v>
      </c>
      <c r="F339" s="438">
        <v>25</v>
      </c>
      <c r="G339" s="438">
        <v>25</v>
      </c>
      <c r="H339" s="439">
        <v>0</v>
      </c>
      <c r="I339" s="439">
        <v>0</v>
      </c>
      <c r="K339" s="731"/>
    </row>
    <row r="340" spans="1:11">
      <c r="A340" s="438" t="s">
        <v>321</v>
      </c>
      <c r="B340" s="594">
        <v>18252</v>
      </c>
      <c r="C340" s="595" t="s">
        <v>1090</v>
      </c>
      <c r="D340" s="595" t="s">
        <v>1181</v>
      </c>
      <c r="E340" s="596" t="s">
        <v>643</v>
      </c>
      <c r="F340" s="438">
        <v>3</v>
      </c>
      <c r="G340" s="438">
        <v>0</v>
      </c>
      <c r="H340" s="439">
        <v>0</v>
      </c>
      <c r="I340" s="439">
        <v>0</v>
      </c>
      <c r="K340" s="731"/>
    </row>
    <row r="341" spans="1:11" hidden="1">
      <c r="A341" s="438" t="s">
        <v>321</v>
      </c>
      <c r="B341" s="594">
        <v>18407</v>
      </c>
      <c r="C341" s="595" t="s">
        <v>327</v>
      </c>
      <c r="D341" s="595" t="s">
        <v>1180</v>
      </c>
      <c r="E341" s="596" t="s">
        <v>885</v>
      </c>
      <c r="F341" s="438">
        <v>1</v>
      </c>
      <c r="G341" s="438">
        <v>0</v>
      </c>
      <c r="H341" s="439">
        <v>0</v>
      </c>
      <c r="I341" s="439">
        <v>0</v>
      </c>
      <c r="K341" s="731"/>
    </row>
    <row r="342" spans="1:11" hidden="1">
      <c r="A342" s="438" t="s">
        <v>321</v>
      </c>
      <c r="B342" s="594">
        <v>18430</v>
      </c>
      <c r="C342" s="595" t="s">
        <v>354</v>
      </c>
      <c r="D342" s="595" t="s">
        <v>1180</v>
      </c>
      <c r="E342" s="596" t="s">
        <v>676</v>
      </c>
      <c r="F342" s="438">
        <v>7</v>
      </c>
      <c r="G342" s="438">
        <v>0</v>
      </c>
      <c r="H342" s="439">
        <v>0</v>
      </c>
      <c r="I342" s="439">
        <v>0</v>
      </c>
      <c r="K342" s="731"/>
    </row>
    <row r="343" spans="1:11" hidden="1">
      <c r="A343" s="438" t="s">
        <v>321</v>
      </c>
      <c r="B343" s="594">
        <v>18503</v>
      </c>
      <c r="C343" s="595" t="s">
        <v>355</v>
      </c>
      <c r="D343" s="595" t="s">
        <v>1180</v>
      </c>
      <c r="E343" s="596" t="s">
        <v>675</v>
      </c>
      <c r="F343" s="438">
        <v>1</v>
      </c>
      <c r="G343" s="438">
        <v>0</v>
      </c>
      <c r="H343" s="439">
        <v>0</v>
      </c>
      <c r="I343" s="439">
        <v>0</v>
      </c>
      <c r="K343" s="731"/>
    </row>
    <row r="344" spans="1:11" hidden="1">
      <c r="A344" s="438" t="s">
        <v>321</v>
      </c>
      <c r="B344" s="594">
        <v>18563</v>
      </c>
      <c r="C344" s="595" t="s">
        <v>357</v>
      </c>
      <c r="D344" s="595" t="s">
        <v>1180</v>
      </c>
      <c r="E344" s="596" t="s">
        <v>676</v>
      </c>
      <c r="F344" s="438">
        <v>1</v>
      </c>
      <c r="G344" s="438">
        <v>0</v>
      </c>
      <c r="H344" s="439">
        <v>0</v>
      </c>
      <c r="I344" s="439">
        <v>0</v>
      </c>
      <c r="K344" s="731"/>
    </row>
    <row r="345" spans="1:11" hidden="1">
      <c r="A345" s="438" t="s">
        <v>321</v>
      </c>
      <c r="B345" s="594">
        <v>18582</v>
      </c>
      <c r="C345" s="595" t="s">
        <v>358</v>
      </c>
      <c r="D345" s="595" t="s">
        <v>1180</v>
      </c>
      <c r="E345" s="596" t="s">
        <v>636</v>
      </c>
      <c r="F345" s="438">
        <v>1</v>
      </c>
      <c r="G345" s="438">
        <v>0</v>
      </c>
      <c r="H345" s="439">
        <v>0</v>
      </c>
      <c r="I345" s="439">
        <v>0</v>
      </c>
      <c r="K345" s="731"/>
    </row>
    <row r="346" spans="1:11" hidden="1">
      <c r="A346" s="438" t="s">
        <v>321</v>
      </c>
      <c r="B346" s="594">
        <v>18799</v>
      </c>
      <c r="C346" s="595" t="s">
        <v>361</v>
      </c>
      <c r="D346" s="595" t="s">
        <v>1180</v>
      </c>
      <c r="E346" s="596" t="s">
        <v>660</v>
      </c>
      <c r="F346" s="438">
        <v>1</v>
      </c>
      <c r="G346" s="438">
        <v>0</v>
      </c>
      <c r="H346" s="439">
        <v>0</v>
      </c>
      <c r="I346" s="439">
        <v>0</v>
      </c>
      <c r="K346" s="731"/>
    </row>
    <row r="347" spans="1:11" hidden="1">
      <c r="A347" s="438" t="s">
        <v>321</v>
      </c>
      <c r="B347" s="594">
        <v>18808</v>
      </c>
      <c r="C347" s="595" t="s">
        <v>362</v>
      </c>
      <c r="D347" s="595" t="s">
        <v>1180</v>
      </c>
      <c r="E347" s="596" t="s">
        <v>636</v>
      </c>
      <c r="F347" s="438">
        <v>1</v>
      </c>
      <c r="G347" s="438">
        <v>0</v>
      </c>
      <c r="H347" s="439">
        <v>0</v>
      </c>
      <c r="I347" s="439">
        <v>0</v>
      </c>
      <c r="K347" s="731"/>
    </row>
    <row r="348" spans="1:11" hidden="1">
      <c r="A348" s="438" t="s">
        <v>321</v>
      </c>
      <c r="B348" s="594">
        <v>18810</v>
      </c>
      <c r="C348" s="595" t="s">
        <v>363</v>
      </c>
      <c r="D348" s="595" t="s">
        <v>1178</v>
      </c>
      <c r="E348" s="596" t="s">
        <v>660</v>
      </c>
      <c r="F348" s="438">
        <v>6</v>
      </c>
      <c r="G348" s="438">
        <v>0</v>
      </c>
      <c r="H348" s="439">
        <v>0</v>
      </c>
      <c r="I348" s="439">
        <v>0</v>
      </c>
      <c r="K348" s="731"/>
    </row>
    <row r="349" spans="1:11" hidden="1">
      <c r="A349" s="438" t="s">
        <v>321</v>
      </c>
      <c r="B349" s="594">
        <v>18811</v>
      </c>
      <c r="C349" s="595" t="s">
        <v>364</v>
      </c>
      <c r="D349" s="595" t="s">
        <v>1180</v>
      </c>
      <c r="E349" s="596" t="s">
        <v>675</v>
      </c>
      <c r="F349" s="438">
        <v>1</v>
      </c>
      <c r="G349" s="438">
        <v>0</v>
      </c>
      <c r="H349" s="439">
        <v>0</v>
      </c>
      <c r="I349" s="439">
        <v>0</v>
      </c>
      <c r="K349" s="731"/>
    </row>
    <row r="350" spans="1:11" hidden="1">
      <c r="A350" s="438" t="s">
        <v>320</v>
      </c>
      <c r="B350" s="593">
        <v>18819</v>
      </c>
      <c r="C350" s="438" t="s">
        <v>365</v>
      </c>
      <c r="D350" s="438" t="s">
        <v>1180</v>
      </c>
      <c r="E350" s="438" t="s">
        <v>676</v>
      </c>
      <c r="F350" s="438">
        <v>1</v>
      </c>
      <c r="G350" s="438">
        <v>1</v>
      </c>
      <c r="H350" s="439">
        <v>0</v>
      </c>
      <c r="I350" s="439">
        <v>0</v>
      </c>
      <c r="K350" s="731"/>
    </row>
    <row r="351" spans="1:11" hidden="1">
      <c r="A351" s="438" t="s">
        <v>321</v>
      </c>
      <c r="B351" s="594">
        <v>18905</v>
      </c>
      <c r="C351" s="595" t="s">
        <v>366</v>
      </c>
      <c r="D351" s="595" t="s">
        <v>1180</v>
      </c>
      <c r="E351" s="596" t="s">
        <v>639</v>
      </c>
      <c r="F351" s="438">
        <v>1</v>
      </c>
      <c r="G351" s="438">
        <v>0</v>
      </c>
      <c r="H351" s="439">
        <v>0</v>
      </c>
      <c r="I351" s="439">
        <v>0</v>
      </c>
      <c r="K351" s="731"/>
    </row>
    <row r="352" spans="1:11" hidden="1">
      <c r="A352" s="438" t="s">
        <v>321</v>
      </c>
      <c r="B352" s="594">
        <v>18910</v>
      </c>
      <c r="C352" s="595" t="s">
        <v>342</v>
      </c>
      <c r="D352" s="595" t="s">
        <v>1180</v>
      </c>
      <c r="E352" s="596" t="s">
        <v>639</v>
      </c>
      <c r="F352" s="438">
        <v>1</v>
      </c>
      <c r="G352" s="438">
        <v>0</v>
      </c>
      <c r="H352" s="439">
        <v>0</v>
      </c>
      <c r="I352" s="439">
        <v>0</v>
      </c>
      <c r="K352" s="731"/>
    </row>
    <row r="353" spans="1:11" hidden="1">
      <c r="A353" s="438" t="s">
        <v>321</v>
      </c>
      <c r="B353" s="594">
        <v>18993</v>
      </c>
      <c r="C353" s="595" t="s">
        <v>367</v>
      </c>
      <c r="D353" s="595" t="s">
        <v>1180</v>
      </c>
      <c r="E353" s="596" t="s">
        <v>636</v>
      </c>
      <c r="F353" s="438">
        <v>1</v>
      </c>
      <c r="G353" s="438">
        <v>0</v>
      </c>
      <c r="H353" s="439">
        <v>0</v>
      </c>
      <c r="I353" s="439">
        <v>0</v>
      </c>
      <c r="K353" s="731"/>
    </row>
    <row r="354" spans="1:11" hidden="1">
      <c r="A354" s="438" t="s">
        <v>321</v>
      </c>
      <c r="B354" s="594">
        <v>19013</v>
      </c>
      <c r="C354" s="595" t="s">
        <v>368</v>
      </c>
      <c r="D354" s="595" t="s">
        <v>1180</v>
      </c>
      <c r="E354" s="596" t="s">
        <v>888</v>
      </c>
      <c r="F354" s="438">
        <v>1</v>
      </c>
      <c r="G354" s="438">
        <v>0</v>
      </c>
      <c r="H354" s="439">
        <v>0</v>
      </c>
      <c r="I354" s="439">
        <v>0</v>
      </c>
      <c r="K354" s="731"/>
    </row>
    <row r="355" spans="1:11" hidden="1">
      <c r="A355" s="438" t="s">
        <v>321</v>
      </c>
      <c r="B355" s="594">
        <v>19047</v>
      </c>
      <c r="C355" s="595" t="s">
        <v>369</v>
      </c>
      <c r="D355" s="595" t="s">
        <v>1180</v>
      </c>
      <c r="E355" s="596" t="s">
        <v>888</v>
      </c>
      <c r="F355" s="438">
        <v>1</v>
      </c>
      <c r="G355" s="438">
        <v>0</v>
      </c>
      <c r="H355" s="439">
        <v>0</v>
      </c>
      <c r="I355" s="439">
        <v>0</v>
      </c>
      <c r="K355" s="731"/>
    </row>
    <row r="356" spans="1:11" hidden="1">
      <c r="A356" s="438" t="s">
        <v>321</v>
      </c>
      <c r="B356" s="594">
        <v>19049</v>
      </c>
      <c r="C356" s="595" t="s">
        <v>370</v>
      </c>
      <c r="D356" s="595" t="s">
        <v>1180</v>
      </c>
      <c r="E356" s="596" t="s">
        <v>636</v>
      </c>
      <c r="F356" s="438">
        <v>1</v>
      </c>
      <c r="G356" s="438">
        <v>0</v>
      </c>
      <c r="H356" s="439">
        <v>0</v>
      </c>
      <c r="I356" s="439">
        <v>0</v>
      </c>
      <c r="K356" s="731"/>
    </row>
    <row r="357" spans="1:11" hidden="1">
      <c r="A357" s="438" t="s">
        <v>321</v>
      </c>
      <c r="B357" s="594">
        <v>19097</v>
      </c>
      <c r="C357" s="595" t="s">
        <v>371</v>
      </c>
      <c r="D357" s="595" t="s">
        <v>1180</v>
      </c>
      <c r="E357" s="596" t="s">
        <v>653</v>
      </c>
      <c r="F357" s="438">
        <v>2</v>
      </c>
      <c r="G357" s="438">
        <v>0</v>
      </c>
      <c r="H357" s="439">
        <v>0</v>
      </c>
      <c r="I357" s="439">
        <v>0</v>
      </c>
      <c r="K357" s="731"/>
    </row>
    <row r="358" spans="1:11" hidden="1">
      <c r="A358" s="438" t="s">
        <v>321</v>
      </c>
      <c r="B358" s="594">
        <v>19099</v>
      </c>
      <c r="C358" s="595" t="s">
        <v>373</v>
      </c>
      <c r="D358" s="595" t="s">
        <v>1180</v>
      </c>
      <c r="E358" s="596" t="s">
        <v>677</v>
      </c>
      <c r="F358" s="438">
        <v>1</v>
      </c>
      <c r="G358" s="438">
        <v>0</v>
      </c>
      <c r="H358" s="439">
        <v>0</v>
      </c>
      <c r="I358" s="439">
        <v>0</v>
      </c>
      <c r="K358" s="731"/>
    </row>
    <row r="359" spans="1:11" hidden="1">
      <c r="A359" s="438" t="s">
        <v>321</v>
      </c>
      <c r="B359" s="594">
        <v>19119</v>
      </c>
      <c r="C359" s="595" t="s">
        <v>374</v>
      </c>
      <c r="D359" s="595" t="s">
        <v>1180</v>
      </c>
      <c r="E359" s="596" t="s">
        <v>888</v>
      </c>
      <c r="F359" s="438">
        <v>2</v>
      </c>
      <c r="G359" s="438">
        <v>0</v>
      </c>
      <c r="H359" s="439">
        <v>0</v>
      </c>
      <c r="I359" s="439">
        <v>0</v>
      </c>
      <c r="K359" s="731"/>
    </row>
    <row r="360" spans="1:11" hidden="1">
      <c r="A360" s="438" t="s">
        <v>321</v>
      </c>
      <c r="B360" s="594">
        <v>19141</v>
      </c>
      <c r="C360" s="595" t="s">
        <v>375</v>
      </c>
      <c r="D360" s="595" t="s">
        <v>1180</v>
      </c>
      <c r="E360" s="596" t="s">
        <v>636</v>
      </c>
      <c r="F360" s="438">
        <v>1</v>
      </c>
      <c r="G360" s="438">
        <v>0</v>
      </c>
      <c r="H360" s="439">
        <v>0</v>
      </c>
      <c r="I360" s="439">
        <v>0</v>
      </c>
      <c r="K360" s="731"/>
    </row>
    <row r="361" spans="1:11" hidden="1">
      <c r="A361" s="438" t="s">
        <v>321</v>
      </c>
      <c r="B361" s="594">
        <v>19160</v>
      </c>
      <c r="C361" s="595" t="s">
        <v>926</v>
      </c>
      <c r="D361" s="595" t="s">
        <v>1180</v>
      </c>
      <c r="E361" s="596" t="s">
        <v>636</v>
      </c>
      <c r="F361" s="438">
        <v>1</v>
      </c>
      <c r="G361" s="438">
        <v>1</v>
      </c>
      <c r="H361" s="439">
        <v>0</v>
      </c>
      <c r="I361" s="439">
        <v>0</v>
      </c>
      <c r="K361" s="731"/>
    </row>
    <row r="362" spans="1:11" hidden="1">
      <c r="A362" s="438" t="s">
        <v>321</v>
      </c>
      <c r="B362" s="594">
        <v>19215</v>
      </c>
      <c r="C362" s="595" t="s">
        <v>376</v>
      </c>
      <c r="D362" s="595" t="s">
        <v>1180</v>
      </c>
      <c r="E362" s="596" t="s">
        <v>636</v>
      </c>
      <c r="F362" s="438">
        <v>1</v>
      </c>
      <c r="G362" s="438">
        <v>0</v>
      </c>
      <c r="H362" s="439">
        <v>0</v>
      </c>
      <c r="I362" s="439">
        <v>0</v>
      </c>
      <c r="K362" s="731"/>
    </row>
    <row r="363" spans="1:11" hidden="1">
      <c r="A363" s="438" t="s">
        <v>320</v>
      </c>
      <c r="B363" s="593">
        <v>19257</v>
      </c>
      <c r="C363" s="438" t="s">
        <v>378</v>
      </c>
      <c r="D363" s="438" t="s">
        <v>1178</v>
      </c>
      <c r="E363" s="438" t="s">
        <v>643</v>
      </c>
      <c r="F363" s="438">
        <v>9</v>
      </c>
      <c r="G363" s="438">
        <v>9</v>
      </c>
      <c r="H363" s="439">
        <v>0</v>
      </c>
      <c r="I363" s="439">
        <v>0</v>
      </c>
      <c r="K363" s="731"/>
    </row>
    <row r="364" spans="1:11" hidden="1">
      <c r="A364" s="438" t="s">
        <v>321</v>
      </c>
      <c r="B364" s="594">
        <v>19257</v>
      </c>
      <c r="C364" s="595" t="s">
        <v>378</v>
      </c>
      <c r="D364" s="595" t="s">
        <v>1178</v>
      </c>
      <c r="E364" s="596" t="s">
        <v>643</v>
      </c>
      <c r="F364" s="438">
        <v>7</v>
      </c>
      <c r="G364" s="438">
        <v>0</v>
      </c>
      <c r="H364" s="439">
        <v>0</v>
      </c>
      <c r="I364" s="439">
        <v>0</v>
      </c>
      <c r="K364" s="731"/>
    </row>
    <row r="365" spans="1:11" hidden="1">
      <c r="A365" s="438" t="s">
        <v>321</v>
      </c>
      <c r="B365" s="594">
        <v>19269</v>
      </c>
      <c r="C365" s="595" t="s">
        <v>379</v>
      </c>
      <c r="D365" s="595" t="s">
        <v>1180</v>
      </c>
      <c r="E365" s="596" t="s">
        <v>636</v>
      </c>
      <c r="F365" s="438">
        <v>3</v>
      </c>
      <c r="G365" s="438">
        <v>0</v>
      </c>
      <c r="H365" s="439">
        <v>0</v>
      </c>
      <c r="I365" s="439">
        <v>0</v>
      </c>
      <c r="K365" s="731"/>
    </row>
    <row r="366" spans="1:11" hidden="1">
      <c r="A366" s="438" t="s">
        <v>321</v>
      </c>
      <c r="B366" s="594">
        <v>19298</v>
      </c>
      <c r="C366" s="595" t="s">
        <v>1106</v>
      </c>
      <c r="D366" s="595" t="s">
        <v>1178</v>
      </c>
      <c r="E366" s="596" t="s">
        <v>675</v>
      </c>
      <c r="F366" s="438">
        <v>1</v>
      </c>
      <c r="G366" s="438">
        <v>1</v>
      </c>
      <c r="H366" s="439">
        <v>0</v>
      </c>
      <c r="I366" s="439">
        <v>0</v>
      </c>
      <c r="K366" s="731"/>
    </row>
    <row r="367" spans="1:11" hidden="1">
      <c r="A367" s="438" t="s">
        <v>321</v>
      </c>
      <c r="B367" s="594">
        <v>19335</v>
      </c>
      <c r="C367" s="595" t="s">
        <v>381</v>
      </c>
      <c r="D367" s="595" t="s">
        <v>1180</v>
      </c>
      <c r="E367" s="596" t="s">
        <v>636</v>
      </c>
      <c r="F367" s="438">
        <v>2</v>
      </c>
      <c r="G367" s="438">
        <v>0</v>
      </c>
      <c r="H367" s="439">
        <v>0</v>
      </c>
      <c r="I367" s="439">
        <v>0</v>
      </c>
      <c r="K367" s="731"/>
    </row>
    <row r="368" spans="1:11" hidden="1">
      <c r="A368" s="438" t="s">
        <v>320</v>
      </c>
      <c r="B368" s="593">
        <v>19353</v>
      </c>
      <c r="C368" s="438" t="s">
        <v>382</v>
      </c>
      <c r="D368" s="438" t="s">
        <v>1180</v>
      </c>
      <c r="E368" s="438" t="s">
        <v>660</v>
      </c>
      <c r="F368" s="438">
        <v>6</v>
      </c>
      <c r="G368" s="438">
        <v>6</v>
      </c>
      <c r="H368" s="439">
        <v>0</v>
      </c>
      <c r="I368" s="439">
        <v>0</v>
      </c>
      <c r="K368" s="731"/>
    </row>
    <row r="369" spans="1:11" hidden="1">
      <c r="A369" s="438" t="s">
        <v>321</v>
      </c>
      <c r="B369" s="594">
        <v>19353</v>
      </c>
      <c r="C369" s="595" t="s">
        <v>382</v>
      </c>
      <c r="D369" s="595" t="s">
        <v>1180</v>
      </c>
      <c r="E369" s="596" t="s">
        <v>660</v>
      </c>
      <c r="F369" s="438">
        <v>5</v>
      </c>
      <c r="G369" s="438">
        <v>1</v>
      </c>
      <c r="H369" s="439">
        <v>0</v>
      </c>
      <c r="I369" s="439">
        <v>0</v>
      </c>
      <c r="K369" s="731"/>
    </row>
    <row r="370" spans="1:11" hidden="1">
      <c r="A370" s="438" t="s">
        <v>321</v>
      </c>
      <c r="B370" s="594">
        <v>19447</v>
      </c>
      <c r="C370" s="595" t="s">
        <v>384</v>
      </c>
      <c r="D370" s="595" t="s">
        <v>1180</v>
      </c>
      <c r="E370" s="596" t="s">
        <v>636</v>
      </c>
      <c r="F370" s="438">
        <v>1</v>
      </c>
      <c r="G370" s="438">
        <v>0</v>
      </c>
      <c r="H370" s="439">
        <v>0</v>
      </c>
      <c r="I370" s="439">
        <v>0</v>
      </c>
      <c r="K370" s="731"/>
    </row>
    <row r="371" spans="1:11" hidden="1">
      <c r="A371" s="438" t="s">
        <v>321</v>
      </c>
      <c r="B371" s="594">
        <v>19454</v>
      </c>
      <c r="C371" s="595" t="s">
        <v>385</v>
      </c>
      <c r="D371" s="595" t="s">
        <v>1180</v>
      </c>
      <c r="E371" s="596" t="s">
        <v>676</v>
      </c>
      <c r="F371" s="438">
        <v>1</v>
      </c>
      <c r="G371" s="438">
        <v>0</v>
      </c>
      <c r="H371" s="439">
        <v>0</v>
      </c>
      <c r="I371" s="439">
        <v>0</v>
      </c>
      <c r="K371" s="731"/>
    </row>
    <row r="372" spans="1:11" hidden="1">
      <c r="A372" s="438" t="s">
        <v>321</v>
      </c>
      <c r="B372" s="594">
        <v>19457</v>
      </c>
      <c r="C372" s="595" t="s">
        <v>386</v>
      </c>
      <c r="D372" s="595" t="s">
        <v>1180</v>
      </c>
      <c r="E372" s="596" t="s">
        <v>641</v>
      </c>
      <c r="F372" s="438">
        <v>6</v>
      </c>
      <c r="G372" s="438">
        <v>0</v>
      </c>
      <c r="H372" s="439">
        <v>0</v>
      </c>
      <c r="I372" s="439">
        <v>0</v>
      </c>
      <c r="K372" s="731"/>
    </row>
    <row r="373" spans="1:11" hidden="1">
      <c r="A373" s="438" t="s">
        <v>320</v>
      </c>
      <c r="B373" s="593">
        <v>19457</v>
      </c>
      <c r="C373" s="438" t="s">
        <v>386</v>
      </c>
      <c r="D373" s="438" t="s">
        <v>1180</v>
      </c>
      <c r="E373" s="438" t="s">
        <v>641</v>
      </c>
      <c r="F373" s="438">
        <v>1</v>
      </c>
      <c r="G373" s="438">
        <v>0</v>
      </c>
      <c r="H373" s="439">
        <v>0</v>
      </c>
      <c r="I373" s="439">
        <v>0</v>
      </c>
      <c r="K373" s="731"/>
    </row>
    <row r="374" spans="1:11" hidden="1">
      <c r="A374" s="438" t="s">
        <v>321</v>
      </c>
      <c r="B374" s="594">
        <v>19458</v>
      </c>
      <c r="C374" s="595" t="s">
        <v>387</v>
      </c>
      <c r="D374" s="595" t="s">
        <v>1180</v>
      </c>
      <c r="E374" s="596" t="s">
        <v>675</v>
      </c>
      <c r="F374" s="438">
        <v>3</v>
      </c>
      <c r="G374" s="438">
        <v>0</v>
      </c>
      <c r="H374" s="439">
        <v>0</v>
      </c>
      <c r="I374" s="439">
        <v>0</v>
      </c>
      <c r="K374" s="731"/>
    </row>
    <row r="375" spans="1:11" hidden="1">
      <c r="A375" s="438" t="s">
        <v>321</v>
      </c>
      <c r="B375" s="594">
        <v>19491</v>
      </c>
      <c r="C375" s="595" t="s">
        <v>388</v>
      </c>
      <c r="D375" s="595" t="s">
        <v>1180</v>
      </c>
      <c r="E375" s="596" t="s">
        <v>636</v>
      </c>
      <c r="F375" s="438">
        <v>2</v>
      </c>
      <c r="G375" s="438">
        <v>0</v>
      </c>
      <c r="H375" s="439">
        <v>0</v>
      </c>
      <c r="I375" s="439">
        <v>0</v>
      </c>
      <c r="K375" s="731"/>
    </row>
    <row r="376" spans="1:11" hidden="1">
      <c r="A376" s="438" t="s">
        <v>321</v>
      </c>
      <c r="B376" s="594">
        <v>19493</v>
      </c>
      <c r="C376" s="595" t="s">
        <v>389</v>
      </c>
      <c r="D376" s="595" t="s">
        <v>1180</v>
      </c>
      <c r="E376" s="596" t="s">
        <v>660</v>
      </c>
      <c r="F376" s="438">
        <v>1</v>
      </c>
      <c r="G376" s="438">
        <v>0</v>
      </c>
      <c r="H376" s="439">
        <v>0</v>
      </c>
      <c r="I376" s="439">
        <v>0</v>
      </c>
      <c r="K376" s="731"/>
    </row>
    <row r="377" spans="1:11" hidden="1">
      <c r="A377" s="438" t="s">
        <v>321</v>
      </c>
      <c r="B377" s="594">
        <v>19517</v>
      </c>
      <c r="C377" s="595" t="s">
        <v>390</v>
      </c>
      <c r="D377" s="595" t="s">
        <v>1180</v>
      </c>
      <c r="E377" s="596" t="s">
        <v>636</v>
      </c>
      <c r="F377" s="438">
        <v>1</v>
      </c>
      <c r="G377" s="438">
        <v>0</v>
      </c>
      <c r="H377" s="439">
        <v>0</v>
      </c>
      <c r="I377" s="439">
        <v>0</v>
      </c>
      <c r="K377" s="731"/>
    </row>
    <row r="378" spans="1:11" hidden="1">
      <c r="A378" s="438" t="s">
        <v>321</v>
      </c>
      <c r="B378" s="594">
        <v>19544</v>
      </c>
      <c r="C378" s="595" t="s">
        <v>391</v>
      </c>
      <c r="D378" s="595" t="s">
        <v>1180</v>
      </c>
      <c r="E378" s="596" t="s">
        <v>636</v>
      </c>
      <c r="F378" s="438">
        <v>2</v>
      </c>
      <c r="G378" s="438">
        <v>0</v>
      </c>
      <c r="H378" s="439">
        <v>0</v>
      </c>
      <c r="I378" s="439">
        <v>0</v>
      </c>
      <c r="K378" s="731"/>
    </row>
    <row r="379" spans="1:11" hidden="1">
      <c r="A379" s="438" t="s">
        <v>321</v>
      </c>
      <c r="B379" s="594">
        <v>19581</v>
      </c>
      <c r="C379" s="595" t="s">
        <v>392</v>
      </c>
      <c r="D379" s="595" t="s">
        <v>1180</v>
      </c>
      <c r="E379" s="596" t="s">
        <v>636</v>
      </c>
      <c r="F379" s="438">
        <v>2</v>
      </c>
      <c r="G379" s="438">
        <v>0</v>
      </c>
      <c r="H379" s="439">
        <v>0</v>
      </c>
      <c r="I379" s="439">
        <v>0</v>
      </c>
      <c r="K379" s="731"/>
    </row>
    <row r="380" spans="1:11" hidden="1">
      <c r="A380" s="438" t="s">
        <v>320</v>
      </c>
      <c r="B380" s="593">
        <v>19582</v>
      </c>
      <c r="C380" s="438" t="s">
        <v>804</v>
      </c>
      <c r="D380" s="438" t="s">
        <v>1178</v>
      </c>
      <c r="E380" s="438" t="s">
        <v>636</v>
      </c>
      <c r="F380" s="438">
        <v>1</v>
      </c>
      <c r="G380" s="438">
        <v>0</v>
      </c>
      <c r="H380" s="439">
        <v>0</v>
      </c>
      <c r="I380" s="439">
        <v>0</v>
      </c>
      <c r="K380" s="731"/>
    </row>
    <row r="381" spans="1:11" hidden="1">
      <c r="A381" s="438" t="s">
        <v>321</v>
      </c>
      <c r="B381" s="594">
        <v>19605</v>
      </c>
      <c r="C381" s="595" t="s">
        <v>394</v>
      </c>
      <c r="D381" s="595" t="s">
        <v>1180</v>
      </c>
      <c r="E381" s="596" t="s">
        <v>636</v>
      </c>
      <c r="F381" s="438">
        <v>1</v>
      </c>
      <c r="G381" s="438">
        <v>0</v>
      </c>
      <c r="H381" s="439">
        <v>0</v>
      </c>
      <c r="I381" s="439">
        <v>0</v>
      </c>
      <c r="K381" s="731"/>
    </row>
    <row r="382" spans="1:11" hidden="1">
      <c r="A382" s="438" t="s">
        <v>321</v>
      </c>
      <c r="B382" s="594">
        <v>19654</v>
      </c>
      <c r="C382" s="595" t="s">
        <v>395</v>
      </c>
      <c r="D382" s="595" t="s">
        <v>1180</v>
      </c>
      <c r="E382" s="596" t="s">
        <v>636</v>
      </c>
      <c r="F382" s="438">
        <v>1</v>
      </c>
      <c r="G382" s="438">
        <v>0</v>
      </c>
      <c r="H382" s="439">
        <v>0</v>
      </c>
      <c r="I382" s="439">
        <v>0</v>
      </c>
      <c r="K382" s="731"/>
    </row>
    <row r="383" spans="1:11" hidden="1">
      <c r="A383" s="438" t="s">
        <v>321</v>
      </c>
      <c r="B383" s="594">
        <v>19661</v>
      </c>
      <c r="C383" s="595" t="s">
        <v>396</v>
      </c>
      <c r="D383" s="595" t="s">
        <v>1180</v>
      </c>
      <c r="E383" s="596" t="s">
        <v>887</v>
      </c>
      <c r="F383" s="438">
        <v>1</v>
      </c>
      <c r="G383" s="438">
        <v>0</v>
      </c>
      <c r="H383" s="439">
        <v>0</v>
      </c>
      <c r="I383" s="439">
        <v>0</v>
      </c>
      <c r="K383" s="731"/>
    </row>
    <row r="384" spans="1:11" hidden="1">
      <c r="A384" s="438" t="s">
        <v>321</v>
      </c>
      <c r="B384" s="594">
        <v>19674</v>
      </c>
      <c r="C384" s="595" t="s">
        <v>397</v>
      </c>
      <c r="D384" s="595" t="s">
        <v>1180</v>
      </c>
      <c r="E384" s="596" t="s">
        <v>636</v>
      </c>
      <c r="F384" s="438">
        <v>2</v>
      </c>
      <c r="G384" s="438">
        <v>0</v>
      </c>
      <c r="H384" s="439">
        <v>0</v>
      </c>
      <c r="I384" s="439">
        <v>0</v>
      </c>
      <c r="K384" s="731"/>
    </row>
    <row r="385" spans="1:11" hidden="1">
      <c r="A385" s="438" t="s">
        <v>321</v>
      </c>
      <c r="B385" s="594">
        <v>19717</v>
      </c>
      <c r="C385" s="595" t="s">
        <v>398</v>
      </c>
      <c r="D385" s="595" t="s">
        <v>1180</v>
      </c>
      <c r="E385" s="596" t="s">
        <v>636</v>
      </c>
      <c r="F385" s="438">
        <v>1</v>
      </c>
      <c r="G385" s="438">
        <v>0</v>
      </c>
      <c r="H385" s="439">
        <v>0</v>
      </c>
      <c r="I385" s="439">
        <v>0</v>
      </c>
      <c r="K385" s="731"/>
    </row>
    <row r="386" spans="1:11" hidden="1">
      <c r="A386" s="438" t="s">
        <v>321</v>
      </c>
      <c r="B386" s="594">
        <v>19757</v>
      </c>
      <c r="C386" s="595" t="s">
        <v>399</v>
      </c>
      <c r="D386" s="595" t="s">
        <v>1180</v>
      </c>
      <c r="E386" s="596" t="s">
        <v>660</v>
      </c>
      <c r="F386" s="438">
        <v>1</v>
      </c>
      <c r="G386" s="438">
        <v>0</v>
      </c>
      <c r="H386" s="439">
        <v>0</v>
      </c>
      <c r="I386" s="439">
        <v>0</v>
      </c>
      <c r="K386" s="731"/>
    </row>
    <row r="387" spans="1:11" hidden="1">
      <c r="A387" s="438" t="s">
        <v>321</v>
      </c>
      <c r="B387" s="594">
        <v>19765</v>
      </c>
      <c r="C387" s="595" t="s">
        <v>400</v>
      </c>
      <c r="D387" s="595" t="s">
        <v>1180</v>
      </c>
      <c r="E387" s="596" t="s">
        <v>636</v>
      </c>
      <c r="F387" s="438">
        <v>1</v>
      </c>
      <c r="G387" s="438">
        <v>0</v>
      </c>
      <c r="H387" s="439">
        <v>0</v>
      </c>
      <c r="I387" s="439">
        <v>0</v>
      </c>
      <c r="K387" s="731"/>
    </row>
    <row r="388" spans="1:11" hidden="1">
      <c r="A388" s="438" t="s">
        <v>321</v>
      </c>
      <c r="B388" s="594">
        <v>19766</v>
      </c>
      <c r="C388" s="595" t="s">
        <v>401</v>
      </c>
      <c r="D388" s="595" t="s">
        <v>1180</v>
      </c>
      <c r="E388" s="596" t="s">
        <v>636</v>
      </c>
      <c r="F388" s="438">
        <v>2</v>
      </c>
      <c r="G388" s="438">
        <v>0</v>
      </c>
      <c r="H388" s="439">
        <v>0</v>
      </c>
      <c r="I388" s="439">
        <v>0</v>
      </c>
      <c r="K388" s="731"/>
    </row>
    <row r="389" spans="1:11" hidden="1">
      <c r="A389" s="438" t="s">
        <v>321</v>
      </c>
      <c r="B389" s="594">
        <v>19768</v>
      </c>
      <c r="C389" s="595" t="s">
        <v>402</v>
      </c>
      <c r="D389" s="595" t="s">
        <v>1180</v>
      </c>
      <c r="E389" s="596" t="s">
        <v>888</v>
      </c>
      <c r="F389" s="438">
        <v>6</v>
      </c>
      <c r="G389" s="438">
        <v>0</v>
      </c>
      <c r="H389" s="439">
        <v>0</v>
      </c>
      <c r="I389" s="439">
        <v>0</v>
      </c>
      <c r="K389" s="731"/>
    </row>
    <row r="390" spans="1:11" hidden="1">
      <c r="A390" s="438" t="s">
        <v>321</v>
      </c>
      <c r="B390" s="594">
        <v>19804</v>
      </c>
      <c r="C390" s="595" t="s">
        <v>403</v>
      </c>
      <c r="D390" s="595" t="s">
        <v>1180</v>
      </c>
      <c r="E390" s="596" t="s">
        <v>636</v>
      </c>
      <c r="F390" s="438">
        <v>1</v>
      </c>
      <c r="G390" s="438">
        <v>0</v>
      </c>
      <c r="H390" s="439">
        <v>0</v>
      </c>
      <c r="I390" s="439">
        <v>0</v>
      </c>
      <c r="K390" s="731"/>
    </row>
    <row r="391" spans="1:11" hidden="1">
      <c r="A391" s="438" t="s">
        <v>321</v>
      </c>
      <c r="B391" s="594">
        <v>19870</v>
      </c>
      <c r="C391" s="595" t="s">
        <v>404</v>
      </c>
      <c r="D391" s="595" t="s">
        <v>1180</v>
      </c>
      <c r="E391" s="596" t="s">
        <v>636</v>
      </c>
      <c r="F391" s="438">
        <v>1</v>
      </c>
      <c r="G391" s="438">
        <v>0</v>
      </c>
      <c r="H391" s="439">
        <v>0</v>
      </c>
      <c r="I391" s="439">
        <v>0</v>
      </c>
      <c r="K391" s="731"/>
    </row>
    <row r="392" spans="1:11" hidden="1">
      <c r="A392" s="438" t="s">
        <v>321</v>
      </c>
      <c r="B392" s="594">
        <v>19908</v>
      </c>
      <c r="C392" s="595" t="s">
        <v>405</v>
      </c>
      <c r="D392" s="595" t="s">
        <v>1180</v>
      </c>
      <c r="E392" s="596" t="s">
        <v>636</v>
      </c>
      <c r="F392" s="438">
        <v>1</v>
      </c>
      <c r="G392" s="438">
        <v>0</v>
      </c>
      <c r="H392" s="439">
        <v>0</v>
      </c>
      <c r="I392" s="439">
        <v>0</v>
      </c>
      <c r="K392" s="731"/>
    </row>
    <row r="393" spans="1:11" hidden="1">
      <c r="A393" s="438" t="s">
        <v>321</v>
      </c>
      <c r="B393" s="594">
        <v>20022</v>
      </c>
      <c r="C393" s="595" t="s">
        <v>407</v>
      </c>
      <c r="D393" s="595" t="s">
        <v>1180</v>
      </c>
      <c r="E393" s="596" t="s">
        <v>636</v>
      </c>
      <c r="F393" s="438">
        <v>8</v>
      </c>
      <c r="G393" s="438">
        <v>0</v>
      </c>
      <c r="H393" s="439">
        <v>0</v>
      </c>
      <c r="I393" s="439">
        <v>0</v>
      </c>
      <c r="K393" s="731"/>
    </row>
    <row r="394" spans="1:11" hidden="1">
      <c r="A394" s="438" t="s">
        <v>321</v>
      </c>
      <c r="B394" s="594">
        <v>20084</v>
      </c>
      <c r="C394" s="595" t="s">
        <v>409</v>
      </c>
      <c r="D394" s="595" t="s">
        <v>1178</v>
      </c>
      <c r="E394" s="596" t="s">
        <v>658</v>
      </c>
      <c r="F394" s="438">
        <v>1</v>
      </c>
      <c r="G394" s="438">
        <v>0</v>
      </c>
      <c r="H394" s="439">
        <v>0</v>
      </c>
      <c r="I394" s="439">
        <v>0</v>
      </c>
      <c r="K394" s="731"/>
    </row>
    <row r="395" spans="1:11" hidden="1">
      <c r="A395" s="438" t="s">
        <v>321</v>
      </c>
      <c r="B395" s="594">
        <v>20133</v>
      </c>
      <c r="C395" s="595" t="s">
        <v>929</v>
      </c>
      <c r="D395" s="595" t="s">
        <v>1178</v>
      </c>
      <c r="E395" s="596" t="s">
        <v>676</v>
      </c>
      <c r="F395" s="438">
        <v>7</v>
      </c>
      <c r="G395" s="438">
        <v>7</v>
      </c>
      <c r="H395" s="439">
        <v>0</v>
      </c>
      <c r="I395" s="439">
        <v>0</v>
      </c>
      <c r="K395" s="731"/>
    </row>
    <row r="396" spans="1:11" hidden="1">
      <c r="A396" s="438" t="s">
        <v>321</v>
      </c>
      <c r="B396" s="594">
        <v>20135</v>
      </c>
      <c r="C396" s="595" t="s">
        <v>410</v>
      </c>
      <c r="D396" s="595" t="s">
        <v>1180</v>
      </c>
      <c r="E396" s="596" t="s">
        <v>636</v>
      </c>
      <c r="F396" s="438">
        <v>1</v>
      </c>
      <c r="G396" s="438">
        <v>0</v>
      </c>
      <c r="H396" s="439">
        <v>0</v>
      </c>
      <c r="I396" s="439">
        <v>0</v>
      </c>
      <c r="K396" s="731"/>
    </row>
    <row r="397" spans="1:11" hidden="1">
      <c r="A397" s="438" t="s">
        <v>321</v>
      </c>
      <c r="B397" s="594">
        <v>20149</v>
      </c>
      <c r="C397" s="595" t="s">
        <v>411</v>
      </c>
      <c r="D397" s="595" t="s">
        <v>1180</v>
      </c>
      <c r="E397" s="596" t="s">
        <v>636</v>
      </c>
      <c r="F397" s="438">
        <v>2</v>
      </c>
      <c r="G397" s="438">
        <v>0</v>
      </c>
      <c r="H397" s="439">
        <v>0</v>
      </c>
      <c r="I397" s="439">
        <v>0</v>
      </c>
      <c r="K397" s="731"/>
    </row>
    <row r="398" spans="1:11" hidden="1">
      <c r="A398" s="438" t="s">
        <v>321</v>
      </c>
      <c r="B398" s="594">
        <v>20151</v>
      </c>
      <c r="C398" s="595" t="s">
        <v>326</v>
      </c>
      <c r="D398" s="595" t="s">
        <v>1178</v>
      </c>
      <c r="E398" s="596" t="s">
        <v>653</v>
      </c>
      <c r="F398" s="438">
        <v>4</v>
      </c>
      <c r="G398" s="438">
        <v>2</v>
      </c>
      <c r="H398" s="439">
        <v>0</v>
      </c>
      <c r="I398" s="439">
        <v>0</v>
      </c>
      <c r="K398" s="731"/>
    </row>
    <row r="399" spans="1:11" hidden="1">
      <c r="A399" s="438" t="s">
        <v>321</v>
      </c>
      <c r="B399" s="594">
        <v>20173</v>
      </c>
      <c r="C399" s="595" t="s">
        <v>412</v>
      </c>
      <c r="D399" s="595" t="s">
        <v>1180</v>
      </c>
      <c r="E399" s="596" t="s">
        <v>636</v>
      </c>
      <c r="F399" s="438">
        <v>1</v>
      </c>
      <c r="G399" s="438">
        <v>0</v>
      </c>
      <c r="H399" s="439">
        <v>0</v>
      </c>
      <c r="I399" s="439">
        <v>0</v>
      </c>
      <c r="K399" s="731"/>
    </row>
    <row r="400" spans="1:11" hidden="1">
      <c r="A400" s="438" t="s">
        <v>321</v>
      </c>
      <c r="B400" s="594">
        <v>20243</v>
      </c>
      <c r="C400" s="595" t="s">
        <v>414</v>
      </c>
      <c r="D400" s="595" t="s">
        <v>1180</v>
      </c>
      <c r="E400" s="596" t="s">
        <v>636</v>
      </c>
      <c r="F400" s="438">
        <v>1</v>
      </c>
      <c r="G400" s="438">
        <v>0</v>
      </c>
      <c r="H400" s="439">
        <v>0</v>
      </c>
      <c r="I400" s="439">
        <v>0</v>
      </c>
      <c r="K400" s="731"/>
    </row>
    <row r="401" spans="1:11" hidden="1">
      <c r="A401" s="438" t="s">
        <v>321</v>
      </c>
      <c r="B401" s="594">
        <v>20246</v>
      </c>
      <c r="C401" s="595" t="s">
        <v>415</v>
      </c>
      <c r="D401" s="595" t="s">
        <v>1180</v>
      </c>
      <c r="E401" s="596" t="s">
        <v>636</v>
      </c>
      <c r="F401" s="438">
        <v>1</v>
      </c>
      <c r="G401" s="438">
        <v>0</v>
      </c>
      <c r="H401" s="439">
        <v>0</v>
      </c>
      <c r="I401" s="439">
        <v>0</v>
      </c>
      <c r="K401" s="731"/>
    </row>
    <row r="402" spans="1:11" hidden="1">
      <c r="A402" s="438" t="s">
        <v>321</v>
      </c>
      <c r="B402" s="594">
        <v>20274</v>
      </c>
      <c r="C402" s="595" t="s">
        <v>416</v>
      </c>
      <c r="D402" s="595" t="s">
        <v>1180</v>
      </c>
      <c r="E402" s="596" t="s">
        <v>660</v>
      </c>
      <c r="F402" s="438">
        <v>1</v>
      </c>
      <c r="G402" s="438">
        <v>0</v>
      </c>
      <c r="H402" s="439">
        <v>0</v>
      </c>
      <c r="I402" s="439">
        <v>0</v>
      </c>
      <c r="K402" s="731"/>
    </row>
    <row r="403" spans="1:11" hidden="1">
      <c r="A403" s="438" t="s">
        <v>321</v>
      </c>
      <c r="B403" s="594">
        <v>20305</v>
      </c>
      <c r="C403" s="595" t="s">
        <v>678</v>
      </c>
      <c r="D403" s="595" t="s">
        <v>1180</v>
      </c>
      <c r="E403" s="596" t="s">
        <v>657</v>
      </c>
      <c r="F403" s="438">
        <v>1</v>
      </c>
      <c r="G403" s="438">
        <v>0</v>
      </c>
      <c r="H403" s="439">
        <v>0</v>
      </c>
      <c r="I403" s="439">
        <v>0</v>
      </c>
      <c r="K403" s="731"/>
    </row>
    <row r="404" spans="1:11" hidden="1">
      <c r="A404" s="438" t="s">
        <v>321</v>
      </c>
      <c r="B404" s="594">
        <v>20470</v>
      </c>
      <c r="C404" s="595" t="s">
        <v>932</v>
      </c>
      <c r="D404" s="595" t="s">
        <v>1180</v>
      </c>
      <c r="E404" s="596" t="s">
        <v>636</v>
      </c>
      <c r="F404" s="438">
        <v>6</v>
      </c>
      <c r="G404" s="438">
        <v>6</v>
      </c>
      <c r="H404" s="439">
        <v>0</v>
      </c>
      <c r="I404" s="439">
        <v>0</v>
      </c>
      <c r="K404" s="731"/>
    </row>
    <row r="405" spans="1:11" hidden="1">
      <c r="A405" s="438" t="s">
        <v>321</v>
      </c>
      <c r="B405" s="594">
        <v>20487</v>
      </c>
      <c r="C405" s="595" t="s">
        <v>418</v>
      </c>
      <c r="D405" s="595" t="s">
        <v>1180</v>
      </c>
      <c r="E405" s="596" t="s">
        <v>636</v>
      </c>
      <c r="F405" s="438">
        <v>4</v>
      </c>
      <c r="G405" s="438">
        <v>0</v>
      </c>
      <c r="H405" s="439">
        <v>0</v>
      </c>
      <c r="I405" s="439">
        <v>0</v>
      </c>
      <c r="K405" s="731"/>
    </row>
    <row r="406" spans="1:11" hidden="1">
      <c r="A406" s="438" t="s">
        <v>321</v>
      </c>
      <c r="B406" s="594">
        <v>20489</v>
      </c>
      <c r="C406" s="595" t="s">
        <v>419</v>
      </c>
      <c r="D406" s="595" t="s">
        <v>1178</v>
      </c>
      <c r="E406" s="596" t="s">
        <v>660</v>
      </c>
      <c r="F406" s="438">
        <v>6</v>
      </c>
      <c r="G406" s="438">
        <v>1</v>
      </c>
      <c r="H406" s="439">
        <v>0</v>
      </c>
      <c r="I406" s="439">
        <v>0</v>
      </c>
      <c r="K406" s="731"/>
    </row>
    <row r="407" spans="1:11" hidden="1">
      <c r="A407" s="438" t="s">
        <v>320</v>
      </c>
      <c r="B407" s="593">
        <v>20489</v>
      </c>
      <c r="C407" s="438" t="s">
        <v>419</v>
      </c>
      <c r="D407" s="438" t="s">
        <v>1178</v>
      </c>
      <c r="E407" s="438" t="s">
        <v>660</v>
      </c>
      <c r="F407" s="438">
        <v>1</v>
      </c>
      <c r="G407" s="438">
        <v>0</v>
      </c>
      <c r="H407" s="439">
        <v>0</v>
      </c>
      <c r="I407" s="439">
        <v>0</v>
      </c>
      <c r="K407" s="731"/>
    </row>
    <row r="408" spans="1:11" hidden="1">
      <c r="A408" s="438" t="s">
        <v>320</v>
      </c>
      <c r="B408" s="593">
        <v>20493</v>
      </c>
      <c r="C408" s="438" t="s">
        <v>876</v>
      </c>
      <c r="D408" s="438" t="s">
        <v>1178</v>
      </c>
      <c r="E408" s="438" t="s">
        <v>659</v>
      </c>
      <c r="F408" s="438">
        <v>1</v>
      </c>
      <c r="G408" s="438">
        <v>1</v>
      </c>
      <c r="H408" s="439">
        <v>0</v>
      </c>
      <c r="I408" s="439">
        <v>0</v>
      </c>
      <c r="K408" s="731"/>
    </row>
    <row r="409" spans="1:11" hidden="1">
      <c r="A409" s="438" t="s">
        <v>321</v>
      </c>
      <c r="B409" s="594">
        <v>20509</v>
      </c>
      <c r="C409" s="595" t="s">
        <v>420</v>
      </c>
      <c r="D409" s="595" t="s">
        <v>1180</v>
      </c>
      <c r="E409" s="596" t="s">
        <v>887</v>
      </c>
      <c r="F409" s="438">
        <v>1</v>
      </c>
      <c r="G409" s="438">
        <v>0</v>
      </c>
      <c r="H409" s="439">
        <v>0</v>
      </c>
      <c r="I409" s="439">
        <v>0</v>
      </c>
      <c r="K409" s="731"/>
    </row>
    <row r="410" spans="1:11" hidden="1">
      <c r="A410" s="438" t="s">
        <v>321</v>
      </c>
      <c r="B410" s="594">
        <v>20530</v>
      </c>
      <c r="C410" s="595" t="s">
        <v>689</v>
      </c>
      <c r="D410" s="595" t="s">
        <v>1178</v>
      </c>
      <c r="E410" s="596" t="s">
        <v>643</v>
      </c>
      <c r="F410" s="438">
        <v>1</v>
      </c>
      <c r="G410" s="438">
        <v>0</v>
      </c>
      <c r="H410" s="439">
        <v>0</v>
      </c>
      <c r="I410" s="439">
        <v>0</v>
      </c>
      <c r="K410" s="731"/>
    </row>
    <row r="411" spans="1:11" hidden="1">
      <c r="A411" s="438" t="s">
        <v>321</v>
      </c>
      <c r="B411" s="594">
        <v>20548</v>
      </c>
      <c r="C411" s="595" t="s">
        <v>421</v>
      </c>
      <c r="D411" s="595" t="s">
        <v>1180</v>
      </c>
      <c r="E411" s="596" t="s">
        <v>636</v>
      </c>
      <c r="F411" s="438">
        <v>1</v>
      </c>
      <c r="G411" s="438">
        <v>0</v>
      </c>
      <c r="H411" s="439">
        <v>0</v>
      </c>
      <c r="I411" s="439">
        <v>0</v>
      </c>
      <c r="K411" s="731"/>
    </row>
    <row r="412" spans="1:11" hidden="1">
      <c r="A412" s="438" t="s">
        <v>321</v>
      </c>
      <c r="B412" s="594">
        <v>20567</v>
      </c>
      <c r="C412" s="595" t="s">
        <v>422</v>
      </c>
      <c r="D412" s="595" t="s">
        <v>1180</v>
      </c>
      <c r="E412" s="596" t="s">
        <v>660</v>
      </c>
      <c r="F412" s="438">
        <v>1</v>
      </c>
      <c r="G412" s="438">
        <v>0</v>
      </c>
      <c r="H412" s="439">
        <v>0</v>
      </c>
      <c r="I412" s="439">
        <v>0</v>
      </c>
      <c r="K412" s="731"/>
    </row>
    <row r="413" spans="1:11" hidden="1">
      <c r="A413" s="438" t="s">
        <v>321</v>
      </c>
      <c r="B413" s="594">
        <v>20598</v>
      </c>
      <c r="C413" s="595" t="s">
        <v>940</v>
      </c>
      <c r="D413" s="595" t="s">
        <v>1180</v>
      </c>
      <c r="E413" s="596" t="s">
        <v>636</v>
      </c>
      <c r="F413" s="438">
        <v>3</v>
      </c>
      <c r="G413" s="438">
        <v>3</v>
      </c>
      <c r="H413" s="439">
        <v>0</v>
      </c>
      <c r="I413" s="439">
        <v>0</v>
      </c>
      <c r="K413" s="731"/>
    </row>
    <row r="414" spans="1:11" hidden="1">
      <c r="A414" s="438" t="s">
        <v>320</v>
      </c>
      <c r="B414" s="593">
        <v>20650</v>
      </c>
      <c r="C414" s="438" t="s">
        <v>690</v>
      </c>
      <c r="D414" s="438" t="s">
        <v>1180</v>
      </c>
      <c r="E414" s="438" t="s">
        <v>676</v>
      </c>
      <c r="F414" s="438">
        <v>1</v>
      </c>
      <c r="G414" s="438">
        <v>0</v>
      </c>
      <c r="H414" s="439">
        <v>0</v>
      </c>
      <c r="I414" s="439">
        <v>0</v>
      </c>
      <c r="K414" s="731"/>
    </row>
    <row r="415" spans="1:11" hidden="1">
      <c r="A415" s="438" t="s">
        <v>321</v>
      </c>
      <c r="B415" s="594">
        <v>20655</v>
      </c>
      <c r="C415" s="595" t="s">
        <v>423</v>
      </c>
      <c r="D415" s="595" t="s">
        <v>1180</v>
      </c>
      <c r="E415" s="596" t="s">
        <v>651</v>
      </c>
      <c r="F415" s="438">
        <v>38</v>
      </c>
      <c r="G415" s="438">
        <v>0</v>
      </c>
      <c r="H415" s="439">
        <v>0</v>
      </c>
      <c r="I415" s="439">
        <v>0</v>
      </c>
      <c r="K415" s="731"/>
    </row>
    <row r="416" spans="1:11" hidden="1">
      <c r="A416" s="438" t="s">
        <v>320</v>
      </c>
      <c r="B416" s="593">
        <v>20655</v>
      </c>
      <c r="C416" s="438" t="s">
        <v>423</v>
      </c>
      <c r="D416" s="438" t="s">
        <v>1180</v>
      </c>
      <c r="E416" s="438" t="s">
        <v>651</v>
      </c>
      <c r="F416" s="438">
        <v>6</v>
      </c>
      <c r="G416" s="438">
        <v>0</v>
      </c>
      <c r="H416" s="439">
        <v>0</v>
      </c>
      <c r="I416" s="439">
        <v>0</v>
      </c>
      <c r="K416" s="731"/>
    </row>
    <row r="417" spans="1:11" hidden="1">
      <c r="A417" s="438" t="s">
        <v>321</v>
      </c>
      <c r="B417" s="594">
        <v>20722</v>
      </c>
      <c r="C417" s="595" t="s">
        <v>425</v>
      </c>
      <c r="D417" s="595" t="s">
        <v>1180</v>
      </c>
      <c r="E417" s="596" t="s">
        <v>636</v>
      </c>
      <c r="F417" s="438">
        <v>1</v>
      </c>
      <c r="G417" s="438">
        <v>0</v>
      </c>
      <c r="H417" s="439">
        <v>0</v>
      </c>
      <c r="I417" s="439">
        <v>0</v>
      </c>
      <c r="K417" s="731"/>
    </row>
    <row r="418" spans="1:11" hidden="1">
      <c r="A418" s="438" t="s">
        <v>321</v>
      </c>
      <c r="B418" s="594">
        <v>20753</v>
      </c>
      <c r="C418" s="595" t="s">
        <v>426</v>
      </c>
      <c r="D418" s="595" t="s">
        <v>1180</v>
      </c>
      <c r="E418" s="596" t="s">
        <v>636</v>
      </c>
      <c r="F418" s="438">
        <v>1</v>
      </c>
      <c r="G418" s="438">
        <v>0</v>
      </c>
      <c r="H418" s="439">
        <v>0</v>
      </c>
      <c r="I418" s="439">
        <v>0</v>
      </c>
      <c r="K418" s="731"/>
    </row>
    <row r="419" spans="1:11" hidden="1">
      <c r="A419" s="438" t="s">
        <v>321</v>
      </c>
      <c r="B419" s="594">
        <v>20775</v>
      </c>
      <c r="C419" s="595" t="s">
        <v>427</v>
      </c>
      <c r="D419" s="595" t="s">
        <v>1180</v>
      </c>
      <c r="E419" s="596" t="s">
        <v>636</v>
      </c>
      <c r="F419" s="438">
        <v>2</v>
      </c>
      <c r="G419" s="438">
        <v>0</v>
      </c>
      <c r="H419" s="439">
        <v>0</v>
      </c>
      <c r="I419" s="439">
        <v>0</v>
      </c>
      <c r="K419" s="731"/>
    </row>
    <row r="420" spans="1:11" hidden="1">
      <c r="A420" s="438" t="s">
        <v>321</v>
      </c>
      <c r="B420" s="594">
        <v>20796</v>
      </c>
      <c r="C420" s="595" t="s">
        <v>428</v>
      </c>
      <c r="D420" s="595" t="s">
        <v>1180</v>
      </c>
      <c r="E420" s="596" t="s">
        <v>636</v>
      </c>
      <c r="F420" s="438">
        <v>1</v>
      </c>
      <c r="G420" s="438">
        <v>0</v>
      </c>
      <c r="H420" s="439">
        <v>0</v>
      </c>
      <c r="I420" s="439">
        <v>0</v>
      </c>
      <c r="K420" s="731"/>
    </row>
    <row r="421" spans="1:11" hidden="1">
      <c r="A421" s="438" t="s">
        <v>321</v>
      </c>
      <c r="B421" s="594">
        <v>20825</v>
      </c>
      <c r="C421" s="595" t="s">
        <v>429</v>
      </c>
      <c r="D421" s="595" t="s">
        <v>1180</v>
      </c>
      <c r="E421" s="596" t="s">
        <v>636</v>
      </c>
      <c r="F421" s="438">
        <v>5</v>
      </c>
      <c r="G421" s="438">
        <v>0</v>
      </c>
      <c r="H421" s="439">
        <v>0</v>
      </c>
      <c r="I421" s="439">
        <v>0</v>
      </c>
      <c r="K421" s="731"/>
    </row>
    <row r="422" spans="1:11" hidden="1">
      <c r="A422" s="438" t="s">
        <v>321</v>
      </c>
      <c r="B422" s="594">
        <v>20855</v>
      </c>
      <c r="C422" s="595" t="s">
        <v>431</v>
      </c>
      <c r="D422" s="595" t="s">
        <v>1180</v>
      </c>
      <c r="E422" s="596" t="s">
        <v>636</v>
      </c>
      <c r="F422" s="438">
        <v>1</v>
      </c>
      <c r="G422" s="438">
        <v>0</v>
      </c>
      <c r="H422" s="439">
        <v>0</v>
      </c>
      <c r="I422" s="439">
        <v>0</v>
      </c>
      <c r="K422" s="731"/>
    </row>
    <row r="423" spans="1:11" hidden="1">
      <c r="A423" s="438" t="s">
        <v>320</v>
      </c>
      <c r="B423" s="593">
        <v>20892</v>
      </c>
      <c r="C423" s="438" t="s">
        <v>433</v>
      </c>
      <c r="D423" s="438" t="s">
        <v>1178</v>
      </c>
      <c r="E423" s="438" t="s">
        <v>657</v>
      </c>
      <c r="F423" s="438">
        <v>1</v>
      </c>
      <c r="G423" s="438">
        <v>1</v>
      </c>
      <c r="H423" s="439">
        <v>0</v>
      </c>
      <c r="I423" s="439">
        <v>0</v>
      </c>
      <c r="K423" s="731"/>
    </row>
    <row r="424" spans="1:11" hidden="1">
      <c r="A424" s="438" t="s">
        <v>321</v>
      </c>
      <c r="B424" s="594">
        <v>20904</v>
      </c>
      <c r="C424" s="595" t="s">
        <v>434</v>
      </c>
      <c r="D424" s="595" t="s">
        <v>1180</v>
      </c>
      <c r="E424" s="596" t="s">
        <v>659</v>
      </c>
      <c r="F424" s="438">
        <v>1</v>
      </c>
      <c r="G424" s="438">
        <v>0</v>
      </c>
      <c r="H424" s="439">
        <v>0</v>
      </c>
      <c r="I424" s="439">
        <v>0</v>
      </c>
      <c r="K424" s="731"/>
    </row>
    <row r="425" spans="1:11" hidden="1">
      <c r="A425" s="438" t="s">
        <v>321</v>
      </c>
      <c r="B425" s="594">
        <v>20943</v>
      </c>
      <c r="C425" s="595" t="s">
        <v>438</v>
      </c>
      <c r="D425" s="595" t="s">
        <v>1180</v>
      </c>
      <c r="E425" s="596" t="s">
        <v>636</v>
      </c>
      <c r="F425" s="438">
        <v>2</v>
      </c>
      <c r="G425" s="438">
        <v>0</v>
      </c>
      <c r="H425" s="439">
        <v>0</v>
      </c>
      <c r="I425" s="439">
        <v>0</v>
      </c>
      <c r="K425" s="731"/>
    </row>
    <row r="426" spans="1:11" hidden="1">
      <c r="A426" s="438" t="s">
        <v>321</v>
      </c>
      <c r="B426" s="594">
        <v>21005</v>
      </c>
      <c r="C426" s="595" t="s">
        <v>439</v>
      </c>
      <c r="D426" s="595" t="s">
        <v>1180</v>
      </c>
      <c r="E426" s="596" t="s">
        <v>636</v>
      </c>
      <c r="F426" s="438">
        <v>3</v>
      </c>
      <c r="G426" s="438">
        <v>0</v>
      </c>
      <c r="H426" s="439">
        <v>0</v>
      </c>
      <c r="I426" s="439">
        <v>0</v>
      </c>
      <c r="K426" s="731"/>
    </row>
    <row r="427" spans="1:11" hidden="1">
      <c r="A427" s="438" t="s">
        <v>320</v>
      </c>
      <c r="B427" s="593">
        <v>21015</v>
      </c>
      <c r="C427" s="438" t="s">
        <v>878</v>
      </c>
      <c r="D427" s="438" t="s">
        <v>1180</v>
      </c>
      <c r="E427" s="438" t="s">
        <v>636</v>
      </c>
      <c r="F427" s="438">
        <v>8</v>
      </c>
      <c r="G427" s="438">
        <v>8</v>
      </c>
      <c r="H427" s="439">
        <v>0</v>
      </c>
      <c r="I427" s="439">
        <v>0</v>
      </c>
      <c r="K427" s="731"/>
    </row>
    <row r="428" spans="1:11" hidden="1">
      <c r="A428" s="438" t="s">
        <v>321</v>
      </c>
      <c r="B428" s="594">
        <v>21060</v>
      </c>
      <c r="C428" s="595" t="s">
        <v>440</v>
      </c>
      <c r="D428" s="595" t="s">
        <v>1180</v>
      </c>
      <c r="E428" s="596" t="s">
        <v>636</v>
      </c>
      <c r="F428" s="438">
        <v>1</v>
      </c>
      <c r="G428" s="438">
        <v>0</v>
      </c>
      <c r="H428" s="439">
        <v>0</v>
      </c>
      <c r="I428" s="439">
        <v>0</v>
      </c>
      <c r="K428" s="731"/>
    </row>
    <row r="429" spans="1:11" hidden="1">
      <c r="A429" s="438" t="s">
        <v>320</v>
      </c>
      <c r="B429" s="593">
        <v>21086</v>
      </c>
      <c r="C429" s="438" t="s">
        <v>441</v>
      </c>
      <c r="D429" s="438" t="s">
        <v>1180</v>
      </c>
      <c r="E429" s="438" t="s">
        <v>636</v>
      </c>
      <c r="F429" s="438">
        <v>4</v>
      </c>
      <c r="G429" s="438">
        <v>4</v>
      </c>
      <c r="H429" s="439">
        <v>0</v>
      </c>
      <c r="I429" s="439">
        <v>0</v>
      </c>
      <c r="K429" s="731"/>
    </row>
    <row r="430" spans="1:11" hidden="1">
      <c r="A430" s="438" t="s">
        <v>321</v>
      </c>
      <c r="B430" s="594">
        <v>21114</v>
      </c>
      <c r="C430" s="595" t="s">
        <v>1108</v>
      </c>
      <c r="D430" s="595" t="s">
        <v>1178</v>
      </c>
      <c r="E430" s="596" t="s">
        <v>636</v>
      </c>
      <c r="F430" s="438">
        <v>2</v>
      </c>
      <c r="G430" s="438">
        <v>0</v>
      </c>
      <c r="H430" s="439">
        <v>0</v>
      </c>
      <c r="I430" s="439">
        <v>0</v>
      </c>
      <c r="K430" s="731"/>
    </row>
    <row r="431" spans="1:11" hidden="1">
      <c r="A431" s="438" t="s">
        <v>320</v>
      </c>
      <c r="B431" s="593">
        <v>21114</v>
      </c>
      <c r="C431" s="438" t="s">
        <v>1108</v>
      </c>
      <c r="D431" s="438" t="s">
        <v>1178</v>
      </c>
      <c r="E431" s="438" t="s">
        <v>636</v>
      </c>
      <c r="F431" s="438">
        <v>1</v>
      </c>
      <c r="G431" s="438">
        <v>1</v>
      </c>
      <c r="H431" s="439">
        <v>0</v>
      </c>
      <c r="I431" s="439">
        <v>0</v>
      </c>
      <c r="K431" s="731"/>
    </row>
    <row r="432" spans="1:11" hidden="1">
      <c r="A432" s="438" t="s">
        <v>321</v>
      </c>
      <c r="B432" s="594">
        <v>21347</v>
      </c>
      <c r="C432" s="595" t="s">
        <v>443</v>
      </c>
      <c r="D432" s="595" t="s">
        <v>1180</v>
      </c>
      <c r="E432" s="596" t="s">
        <v>885</v>
      </c>
      <c r="F432" s="438">
        <v>1</v>
      </c>
      <c r="G432" s="438">
        <v>0</v>
      </c>
      <c r="H432" s="439">
        <v>0</v>
      </c>
      <c r="I432" s="439">
        <v>0</v>
      </c>
      <c r="K432" s="731"/>
    </row>
    <row r="433" spans="1:11" hidden="1">
      <c r="A433" s="438" t="s">
        <v>320</v>
      </c>
      <c r="B433" s="593">
        <v>21384</v>
      </c>
      <c r="C433" s="438" t="s">
        <v>445</v>
      </c>
      <c r="D433" s="438" t="s">
        <v>1180</v>
      </c>
      <c r="E433" s="438" t="s">
        <v>886</v>
      </c>
      <c r="F433" s="438">
        <v>1</v>
      </c>
      <c r="G433" s="438">
        <v>1</v>
      </c>
      <c r="H433" s="439">
        <v>0</v>
      </c>
      <c r="I433" s="439">
        <v>0</v>
      </c>
      <c r="K433" s="731"/>
    </row>
    <row r="434" spans="1:11" hidden="1">
      <c r="A434" s="438" t="s">
        <v>321</v>
      </c>
      <c r="B434" s="594">
        <v>21420</v>
      </c>
      <c r="C434" s="595" t="s">
        <v>446</v>
      </c>
      <c r="D434" s="595" t="s">
        <v>1180</v>
      </c>
      <c r="E434" s="596" t="s">
        <v>636</v>
      </c>
      <c r="F434" s="438">
        <v>1</v>
      </c>
      <c r="G434" s="438">
        <v>0</v>
      </c>
      <c r="H434" s="439">
        <v>0</v>
      </c>
      <c r="I434" s="439">
        <v>0</v>
      </c>
      <c r="K434" s="731"/>
    </row>
    <row r="435" spans="1:11" hidden="1">
      <c r="A435" s="438" t="s">
        <v>321</v>
      </c>
      <c r="B435" s="594">
        <v>21427</v>
      </c>
      <c r="C435" s="595" t="s">
        <v>447</v>
      </c>
      <c r="D435" s="595" t="s">
        <v>1180</v>
      </c>
      <c r="E435" s="596" t="s">
        <v>636</v>
      </c>
      <c r="F435" s="438">
        <v>8</v>
      </c>
      <c r="G435" s="438">
        <v>0</v>
      </c>
      <c r="H435" s="439">
        <v>0</v>
      </c>
      <c r="I435" s="439">
        <v>0</v>
      </c>
      <c r="K435" s="731"/>
    </row>
    <row r="436" spans="1:11" hidden="1">
      <c r="A436" s="438" t="s">
        <v>320</v>
      </c>
      <c r="B436" s="593">
        <v>21462</v>
      </c>
      <c r="C436" s="438" t="s">
        <v>448</v>
      </c>
      <c r="D436" s="438" t="s">
        <v>1178</v>
      </c>
      <c r="E436" s="438" t="s">
        <v>648</v>
      </c>
      <c r="F436" s="438">
        <v>1</v>
      </c>
      <c r="G436" s="438">
        <v>1</v>
      </c>
      <c r="H436" s="439">
        <v>0</v>
      </c>
      <c r="I436" s="439">
        <v>0</v>
      </c>
      <c r="K436" s="731"/>
    </row>
    <row r="437" spans="1:11" hidden="1">
      <c r="A437" s="438" t="s">
        <v>321</v>
      </c>
      <c r="B437" s="594">
        <v>21493</v>
      </c>
      <c r="C437" s="595" t="s">
        <v>931</v>
      </c>
      <c r="D437" s="595" t="s">
        <v>1178</v>
      </c>
      <c r="E437" s="596" t="s">
        <v>676</v>
      </c>
      <c r="F437" s="438">
        <v>1</v>
      </c>
      <c r="G437" s="438">
        <v>1</v>
      </c>
      <c r="H437" s="439">
        <v>0</v>
      </c>
      <c r="I437" s="439">
        <v>0</v>
      </c>
      <c r="K437" s="731"/>
    </row>
    <row r="438" spans="1:11" hidden="1">
      <c r="A438" s="438" t="s">
        <v>320</v>
      </c>
      <c r="B438" s="593">
        <v>21497</v>
      </c>
      <c r="C438" s="438" t="s">
        <v>449</v>
      </c>
      <c r="D438" s="438" t="s">
        <v>1180</v>
      </c>
      <c r="E438" s="438" t="s">
        <v>660</v>
      </c>
      <c r="F438" s="438">
        <v>1</v>
      </c>
      <c r="G438" s="438">
        <v>0</v>
      </c>
      <c r="H438" s="439">
        <v>0</v>
      </c>
      <c r="I438" s="439">
        <v>0</v>
      </c>
      <c r="K438" s="731"/>
    </row>
    <row r="439" spans="1:11" hidden="1">
      <c r="A439" s="438" t="s">
        <v>321</v>
      </c>
      <c r="B439" s="594">
        <v>21501</v>
      </c>
      <c r="C439" s="595" t="s">
        <v>450</v>
      </c>
      <c r="D439" s="595" t="s">
        <v>1180</v>
      </c>
      <c r="E439" s="596" t="s">
        <v>675</v>
      </c>
      <c r="F439" s="438">
        <v>2</v>
      </c>
      <c r="G439" s="438">
        <v>0</v>
      </c>
      <c r="H439" s="439">
        <v>0</v>
      </c>
      <c r="I439" s="439">
        <v>0</v>
      </c>
      <c r="K439" s="731"/>
    </row>
    <row r="440" spans="1:11" hidden="1">
      <c r="A440" s="438" t="s">
        <v>321</v>
      </c>
      <c r="B440" s="594">
        <v>21506</v>
      </c>
      <c r="C440" s="595" t="s">
        <v>451</v>
      </c>
      <c r="D440" s="595" t="s">
        <v>1178</v>
      </c>
      <c r="E440" s="596" t="s">
        <v>636</v>
      </c>
      <c r="F440" s="438">
        <v>2</v>
      </c>
      <c r="G440" s="438">
        <v>0</v>
      </c>
      <c r="H440" s="439">
        <v>0</v>
      </c>
      <c r="I440" s="439">
        <v>0</v>
      </c>
      <c r="K440" s="731"/>
    </row>
    <row r="441" spans="1:11" hidden="1">
      <c r="A441" s="438" t="s">
        <v>321</v>
      </c>
      <c r="B441" s="594">
        <v>21561</v>
      </c>
      <c r="C441" s="595" t="s">
        <v>452</v>
      </c>
      <c r="D441" s="595" t="s">
        <v>1180</v>
      </c>
      <c r="E441" s="596" t="s">
        <v>636</v>
      </c>
      <c r="F441" s="438">
        <v>6</v>
      </c>
      <c r="G441" s="438">
        <v>0</v>
      </c>
      <c r="H441" s="439">
        <v>0</v>
      </c>
      <c r="I441" s="439">
        <v>0</v>
      </c>
      <c r="K441" s="731"/>
    </row>
    <row r="442" spans="1:11" hidden="1">
      <c r="A442" s="438" t="s">
        <v>321</v>
      </c>
      <c r="B442" s="594">
        <v>21588</v>
      </c>
      <c r="C442" s="595" t="s">
        <v>453</v>
      </c>
      <c r="D442" s="595" t="s">
        <v>1180</v>
      </c>
      <c r="E442" s="596" t="s">
        <v>675</v>
      </c>
      <c r="F442" s="438">
        <v>1</v>
      </c>
      <c r="G442" s="438">
        <v>0</v>
      </c>
      <c r="H442" s="439">
        <v>0</v>
      </c>
      <c r="I442" s="439">
        <v>0</v>
      </c>
      <c r="K442" s="731"/>
    </row>
    <row r="443" spans="1:11" hidden="1">
      <c r="A443" s="438" t="s">
        <v>321</v>
      </c>
      <c r="B443" s="594">
        <v>21604</v>
      </c>
      <c r="C443" s="595" t="s">
        <v>454</v>
      </c>
      <c r="D443" s="595" t="s">
        <v>1178</v>
      </c>
      <c r="E443" s="596" t="s">
        <v>675</v>
      </c>
      <c r="F443" s="438">
        <v>1</v>
      </c>
      <c r="G443" s="438">
        <v>0</v>
      </c>
      <c r="H443" s="439">
        <v>0</v>
      </c>
      <c r="I443" s="439">
        <v>0</v>
      </c>
      <c r="K443" s="731"/>
    </row>
    <row r="444" spans="1:11" hidden="1">
      <c r="A444" s="438" t="s">
        <v>321</v>
      </c>
      <c r="B444" s="594">
        <v>21614</v>
      </c>
      <c r="C444" s="595" t="s">
        <v>455</v>
      </c>
      <c r="D444" s="595" t="s">
        <v>1180</v>
      </c>
      <c r="E444" s="596" t="s">
        <v>636</v>
      </c>
      <c r="F444" s="438">
        <v>1</v>
      </c>
      <c r="G444" s="438">
        <v>0</v>
      </c>
      <c r="H444" s="439">
        <v>0</v>
      </c>
      <c r="I444" s="439">
        <v>0</v>
      </c>
      <c r="K444" s="731"/>
    </row>
    <row r="445" spans="1:11" hidden="1">
      <c r="A445" s="438" t="s">
        <v>321</v>
      </c>
      <c r="B445" s="594">
        <v>21619</v>
      </c>
      <c r="C445" s="595" t="s">
        <v>456</v>
      </c>
      <c r="D445" s="595" t="s">
        <v>1178</v>
      </c>
      <c r="E445" s="596" t="s">
        <v>888</v>
      </c>
      <c r="F445" s="438">
        <v>3</v>
      </c>
      <c r="G445" s="438">
        <v>1</v>
      </c>
      <c r="H445" s="439">
        <v>0</v>
      </c>
      <c r="I445" s="439">
        <v>0</v>
      </c>
      <c r="K445" s="731"/>
    </row>
    <row r="446" spans="1:11" hidden="1">
      <c r="A446" s="438" t="s">
        <v>321</v>
      </c>
      <c r="B446" s="594">
        <v>21620</v>
      </c>
      <c r="C446" s="595" t="s">
        <v>457</v>
      </c>
      <c r="D446" s="595" t="s">
        <v>1180</v>
      </c>
      <c r="E446" s="596" t="s">
        <v>636</v>
      </c>
      <c r="F446" s="438">
        <v>1</v>
      </c>
      <c r="G446" s="438">
        <v>0</v>
      </c>
      <c r="H446" s="439">
        <v>0</v>
      </c>
      <c r="I446" s="439">
        <v>0</v>
      </c>
      <c r="K446" s="731"/>
    </row>
    <row r="447" spans="1:11" hidden="1">
      <c r="A447" s="438" t="s">
        <v>321</v>
      </c>
      <c r="B447" s="594">
        <v>21651</v>
      </c>
      <c r="C447" s="595" t="s">
        <v>458</v>
      </c>
      <c r="D447" s="595" t="s">
        <v>1180</v>
      </c>
      <c r="E447" s="596" t="s">
        <v>636</v>
      </c>
      <c r="F447" s="438">
        <v>1</v>
      </c>
      <c r="G447" s="438">
        <v>0</v>
      </c>
      <c r="H447" s="439">
        <v>0</v>
      </c>
      <c r="I447" s="439">
        <v>0</v>
      </c>
      <c r="K447" s="731"/>
    </row>
    <row r="448" spans="1:11" hidden="1">
      <c r="A448" s="438" t="s">
        <v>321</v>
      </c>
      <c r="B448" s="594">
        <v>21784</v>
      </c>
      <c r="C448" s="595" t="s">
        <v>721</v>
      </c>
      <c r="D448" s="595" t="s">
        <v>1180</v>
      </c>
      <c r="E448" s="596" t="s">
        <v>636</v>
      </c>
      <c r="F448" s="438">
        <v>1</v>
      </c>
      <c r="G448" s="438">
        <v>0</v>
      </c>
      <c r="H448" s="439">
        <v>0</v>
      </c>
      <c r="I448" s="439">
        <v>0</v>
      </c>
      <c r="K448" s="731"/>
    </row>
    <row r="449" spans="1:11" hidden="1">
      <c r="A449" s="438" t="s">
        <v>321</v>
      </c>
      <c r="B449" s="594">
        <v>21806</v>
      </c>
      <c r="C449" s="595" t="s">
        <v>460</v>
      </c>
      <c r="D449" s="595" t="s">
        <v>1180</v>
      </c>
      <c r="E449" s="596" t="s">
        <v>675</v>
      </c>
      <c r="F449" s="438">
        <v>1</v>
      </c>
      <c r="G449" s="438">
        <v>0</v>
      </c>
      <c r="H449" s="439">
        <v>0</v>
      </c>
      <c r="I449" s="439">
        <v>0</v>
      </c>
      <c r="K449" s="731"/>
    </row>
    <row r="450" spans="1:11" hidden="1">
      <c r="A450" s="438" t="s">
        <v>321</v>
      </c>
      <c r="B450" s="594">
        <v>21837</v>
      </c>
      <c r="C450" s="595" t="s">
        <v>461</v>
      </c>
      <c r="D450" s="595" t="s">
        <v>1180</v>
      </c>
      <c r="E450" s="596" t="s">
        <v>636</v>
      </c>
      <c r="F450" s="438">
        <v>2</v>
      </c>
      <c r="G450" s="438">
        <v>0</v>
      </c>
      <c r="H450" s="439">
        <v>0</v>
      </c>
      <c r="I450" s="439">
        <v>0</v>
      </c>
      <c r="K450" s="731"/>
    </row>
    <row r="451" spans="1:11" hidden="1">
      <c r="A451" s="438" t="s">
        <v>321</v>
      </c>
      <c r="B451" s="594">
        <v>21914</v>
      </c>
      <c r="C451" s="595" t="s">
        <v>463</v>
      </c>
      <c r="D451" s="595" t="s">
        <v>1180</v>
      </c>
      <c r="E451" s="596" t="s">
        <v>636</v>
      </c>
      <c r="F451" s="438">
        <v>1</v>
      </c>
      <c r="G451" s="438">
        <v>0</v>
      </c>
      <c r="H451" s="439">
        <v>0</v>
      </c>
      <c r="I451" s="439">
        <v>0</v>
      </c>
      <c r="K451" s="731"/>
    </row>
    <row r="452" spans="1:11">
      <c r="A452" s="438" t="s">
        <v>320</v>
      </c>
      <c r="B452" s="593">
        <v>21953</v>
      </c>
      <c r="C452" s="438" t="s">
        <v>955</v>
      </c>
      <c r="D452" s="438" t="s">
        <v>723</v>
      </c>
      <c r="E452" s="438" t="s">
        <v>653</v>
      </c>
      <c r="F452" s="438">
        <v>4</v>
      </c>
      <c r="G452" s="438">
        <v>4</v>
      </c>
      <c r="H452" s="439">
        <v>0</v>
      </c>
      <c r="I452" s="439">
        <v>0</v>
      </c>
      <c r="K452" s="731"/>
    </row>
    <row r="453" spans="1:11">
      <c r="A453" s="438" t="s">
        <v>320</v>
      </c>
      <c r="B453" s="593">
        <v>21986</v>
      </c>
      <c r="C453" s="438" t="s">
        <v>934</v>
      </c>
      <c r="D453" s="438" t="s">
        <v>723</v>
      </c>
      <c r="E453" s="438" t="s">
        <v>653</v>
      </c>
      <c r="F453" s="438">
        <v>1</v>
      </c>
      <c r="G453" s="438">
        <v>1</v>
      </c>
      <c r="H453" s="439">
        <v>0</v>
      </c>
      <c r="I453" s="439">
        <v>0</v>
      </c>
      <c r="K453" s="731"/>
    </row>
    <row r="454" spans="1:11" hidden="1">
      <c r="A454" s="438" t="s">
        <v>321</v>
      </c>
      <c r="B454" s="594">
        <v>22098</v>
      </c>
      <c r="C454" s="595" t="s">
        <v>465</v>
      </c>
      <c r="D454" s="595" t="s">
        <v>1180</v>
      </c>
      <c r="E454" s="596" t="s">
        <v>636</v>
      </c>
      <c r="F454" s="438">
        <v>3</v>
      </c>
      <c r="G454" s="438">
        <v>0</v>
      </c>
      <c r="H454" s="439">
        <v>0</v>
      </c>
      <c r="I454" s="439">
        <v>0</v>
      </c>
      <c r="K454" s="731"/>
    </row>
    <row r="455" spans="1:11" hidden="1">
      <c r="A455" s="438" t="s">
        <v>321</v>
      </c>
      <c r="B455" s="594">
        <v>22125</v>
      </c>
      <c r="C455" s="595" t="s">
        <v>466</v>
      </c>
      <c r="D455" s="595" t="s">
        <v>1180</v>
      </c>
      <c r="E455" s="596" t="s">
        <v>636</v>
      </c>
      <c r="F455" s="438">
        <v>5</v>
      </c>
      <c r="G455" s="438">
        <v>1</v>
      </c>
      <c r="H455" s="439">
        <v>0</v>
      </c>
      <c r="I455" s="439">
        <v>0</v>
      </c>
      <c r="K455" s="731"/>
    </row>
    <row r="456" spans="1:11" hidden="1">
      <c r="A456" s="438" t="s">
        <v>321</v>
      </c>
      <c r="B456" s="594">
        <v>22170</v>
      </c>
      <c r="C456" s="595" t="s">
        <v>467</v>
      </c>
      <c r="D456" s="595" t="s">
        <v>1180</v>
      </c>
      <c r="E456" s="596" t="s">
        <v>636</v>
      </c>
      <c r="F456" s="438">
        <v>39</v>
      </c>
      <c r="G456" s="438">
        <v>11</v>
      </c>
      <c r="H456" s="439">
        <v>0</v>
      </c>
      <c r="I456" s="439">
        <v>0</v>
      </c>
      <c r="K456" s="731"/>
    </row>
    <row r="457" spans="1:11" hidden="1">
      <c r="A457" s="438" t="s">
        <v>321</v>
      </c>
      <c r="B457" s="594">
        <v>22175</v>
      </c>
      <c r="C457" s="595" t="s">
        <v>468</v>
      </c>
      <c r="D457" s="595" t="s">
        <v>1180</v>
      </c>
      <c r="E457" s="596" t="s">
        <v>636</v>
      </c>
      <c r="F457" s="438">
        <v>1</v>
      </c>
      <c r="G457" s="438">
        <v>0</v>
      </c>
      <c r="H457" s="439">
        <v>0</v>
      </c>
      <c r="I457" s="439">
        <v>0</v>
      </c>
      <c r="K457" s="731"/>
    </row>
    <row r="458" spans="1:11" hidden="1">
      <c r="A458" s="438" t="s">
        <v>321</v>
      </c>
      <c r="B458" s="594">
        <v>22252</v>
      </c>
      <c r="C458" s="595" t="s">
        <v>471</v>
      </c>
      <c r="D458" s="595" t="s">
        <v>1180</v>
      </c>
      <c r="E458" s="596" t="s">
        <v>888</v>
      </c>
      <c r="F458" s="438">
        <v>2</v>
      </c>
      <c r="G458" s="438">
        <v>0</v>
      </c>
      <c r="H458" s="439">
        <v>0</v>
      </c>
      <c r="I458" s="439">
        <v>0</v>
      </c>
      <c r="K458" s="731"/>
    </row>
    <row r="459" spans="1:11" hidden="1">
      <c r="A459" s="438" t="s">
        <v>321</v>
      </c>
      <c r="B459" s="594">
        <v>22269</v>
      </c>
      <c r="C459" s="595" t="s">
        <v>715</v>
      </c>
      <c r="D459" s="595" t="s">
        <v>1180</v>
      </c>
      <c r="E459" s="596" t="s">
        <v>641</v>
      </c>
      <c r="F459" s="438">
        <v>2</v>
      </c>
      <c r="G459" s="438">
        <v>0</v>
      </c>
      <c r="H459" s="439">
        <v>0</v>
      </c>
      <c r="I459" s="439">
        <v>0</v>
      </c>
      <c r="K459" s="731"/>
    </row>
    <row r="460" spans="1:11" hidden="1">
      <c r="A460" s="438" t="s">
        <v>321</v>
      </c>
      <c r="B460" s="594">
        <v>22273</v>
      </c>
      <c r="C460" s="595" t="s">
        <v>472</v>
      </c>
      <c r="D460" s="595" t="s">
        <v>1180</v>
      </c>
      <c r="E460" s="596" t="s">
        <v>676</v>
      </c>
      <c r="F460" s="438">
        <v>155</v>
      </c>
      <c r="G460" s="438">
        <v>0</v>
      </c>
      <c r="H460" s="439">
        <v>0</v>
      </c>
      <c r="I460" s="439">
        <v>0</v>
      </c>
      <c r="K460" s="731"/>
    </row>
    <row r="461" spans="1:11" hidden="1">
      <c r="A461" s="438" t="s">
        <v>321</v>
      </c>
      <c r="B461" s="594">
        <v>22285</v>
      </c>
      <c r="C461" s="595" t="s">
        <v>473</v>
      </c>
      <c r="D461" s="595" t="s">
        <v>1178</v>
      </c>
      <c r="E461" s="596" t="s">
        <v>676</v>
      </c>
      <c r="F461" s="438">
        <v>3</v>
      </c>
      <c r="G461" s="438">
        <v>0</v>
      </c>
      <c r="H461" s="439">
        <v>0</v>
      </c>
      <c r="I461" s="439">
        <v>0</v>
      </c>
      <c r="K461" s="731"/>
    </row>
    <row r="462" spans="1:11" hidden="1">
      <c r="A462" s="438" t="s">
        <v>320</v>
      </c>
      <c r="B462" s="593">
        <v>22301</v>
      </c>
      <c r="C462" s="438" t="s">
        <v>872</v>
      </c>
      <c r="D462" s="438" t="s">
        <v>1180</v>
      </c>
      <c r="E462" s="438" t="s">
        <v>658</v>
      </c>
      <c r="F462" s="438">
        <v>1</v>
      </c>
      <c r="G462" s="438">
        <v>1</v>
      </c>
      <c r="H462" s="439">
        <v>0</v>
      </c>
      <c r="I462" s="439">
        <v>0</v>
      </c>
      <c r="K462" s="731"/>
    </row>
    <row r="463" spans="1:11" hidden="1">
      <c r="A463" s="438" t="s">
        <v>321</v>
      </c>
      <c r="B463" s="594">
        <v>22305</v>
      </c>
      <c r="C463" s="595" t="s">
        <v>474</v>
      </c>
      <c r="D463" s="595" t="s">
        <v>1180</v>
      </c>
      <c r="E463" s="596" t="s">
        <v>636</v>
      </c>
      <c r="F463" s="438">
        <v>51</v>
      </c>
      <c r="G463" s="438">
        <v>35</v>
      </c>
      <c r="H463" s="439">
        <v>0</v>
      </c>
      <c r="I463" s="439">
        <v>0</v>
      </c>
      <c r="K463" s="731"/>
    </row>
    <row r="464" spans="1:11" hidden="1">
      <c r="A464" s="438" t="s">
        <v>321</v>
      </c>
      <c r="B464" s="594">
        <v>22382</v>
      </c>
      <c r="C464" s="595" t="s">
        <v>477</v>
      </c>
      <c r="D464" s="595" t="s">
        <v>1178</v>
      </c>
      <c r="E464" s="596" t="s">
        <v>675</v>
      </c>
      <c r="F464" s="438">
        <v>1</v>
      </c>
      <c r="G464" s="438">
        <v>0</v>
      </c>
      <c r="H464" s="439">
        <v>0</v>
      </c>
      <c r="I464" s="439">
        <v>0</v>
      </c>
      <c r="K464" s="731"/>
    </row>
    <row r="465" spans="1:11">
      <c r="A465" s="438" t="s">
        <v>320</v>
      </c>
      <c r="B465" s="593">
        <v>22431</v>
      </c>
      <c r="C465" s="438" t="s">
        <v>978</v>
      </c>
      <c r="D465" s="438" t="s">
        <v>723</v>
      </c>
      <c r="E465" s="438" t="s">
        <v>653</v>
      </c>
      <c r="F465" s="438">
        <v>1</v>
      </c>
      <c r="G465" s="438">
        <v>1</v>
      </c>
      <c r="H465" s="439">
        <v>0</v>
      </c>
      <c r="I465" s="439">
        <v>0</v>
      </c>
      <c r="K465" s="731"/>
    </row>
    <row r="466" spans="1:11">
      <c r="A466" s="438" t="s">
        <v>320</v>
      </c>
      <c r="B466" s="593">
        <v>22503</v>
      </c>
      <c r="C466" s="438" t="s">
        <v>740</v>
      </c>
      <c r="D466" s="438" t="s">
        <v>1181</v>
      </c>
      <c r="E466" s="438" t="s">
        <v>636</v>
      </c>
      <c r="F466" s="438">
        <v>1</v>
      </c>
      <c r="G466" s="438">
        <v>0</v>
      </c>
      <c r="H466" s="439">
        <v>0</v>
      </c>
      <c r="I466" s="439">
        <v>0</v>
      </c>
      <c r="K466" s="731"/>
    </row>
    <row r="467" spans="1:11">
      <c r="A467" s="438" t="s">
        <v>320</v>
      </c>
      <c r="B467" s="593">
        <v>22592</v>
      </c>
      <c r="C467" s="438" t="s">
        <v>970</v>
      </c>
      <c r="D467" s="438" t="s">
        <v>1183</v>
      </c>
      <c r="E467" s="438" t="s">
        <v>645</v>
      </c>
      <c r="F467" s="438">
        <v>17</v>
      </c>
      <c r="G467" s="438">
        <v>14</v>
      </c>
      <c r="H467" s="439">
        <v>0</v>
      </c>
      <c r="I467" s="439">
        <v>0</v>
      </c>
      <c r="K467" s="731"/>
    </row>
    <row r="468" spans="1:11">
      <c r="A468" s="438" t="s">
        <v>320</v>
      </c>
      <c r="B468" s="593">
        <v>22609</v>
      </c>
      <c r="C468" s="438" t="s">
        <v>805</v>
      </c>
      <c r="D468" s="438" t="s">
        <v>1181</v>
      </c>
      <c r="E468" s="438" t="s">
        <v>806</v>
      </c>
      <c r="F468" s="438">
        <v>2</v>
      </c>
      <c r="G468" s="438">
        <v>0</v>
      </c>
      <c r="H468" s="439">
        <v>0</v>
      </c>
      <c r="I468" s="439">
        <v>0</v>
      </c>
      <c r="K468" s="731"/>
    </row>
    <row r="469" spans="1:11">
      <c r="A469" s="438" t="s">
        <v>320</v>
      </c>
      <c r="B469" s="593">
        <v>22697</v>
      </c>
      <c r="C469" s="438" t="s">
        <v>792</v>
      </c>
      <c r="D469" s="438" t="s">
        <v>1183</v>
      </c>
      <c r="E469" s="438" t="s">
        <v>648</v>
      </c>
      <c r="F469" s="438">
        <v>3</v>
      </c>
      <c r="G469" s="438">
        <v>0</v>
      </c>
      <c r="H469" s="439">
        <v>0</v>
      </c>
      <c r="I469" s="439">
        <v>0</v>
      </c>
      <c r="K469" s="731"/>
    </row>
    <row r="470" spans="1:11">
      <c r="A470" s="438" t="s">
        <v>320</v>
      </c>
      <c r="B470" s="593">
        <v>22732</v>
      </c>
      <c r="C470" s="438" t="s">
        <v>741</v>
      </c>
      <c r="D470" s="438" t="s">
        <v>1208</v>
      </c>
      <c r="E470" s="438" t="s">
        <v>736</v>
      </c>
      <c r="F470" s="438">
        <v>1</v>
      </c>
      <c r="G470" s="438">
        <v>0</v>
      </c>
      <c r="H470" s="439">
        <v>0</v>
      </c>
      <c r="I470" s="439">
        <v>0</v>
      </c>
      <c r="K470" s="731"/>
    </row>
    <row r="471" spans="1:11">
      <c r="A471" s="438" t="s">
        <v>320</v>
      </c>
      <c r="B471" s="593">
        <v>22879</v>
      </c>
      <c r="C471" s="438" t="s">
        <v>1230</v>
      </c>
      <c r="D471" s="438" t="s">
        <v>1187</v>
      </c>
      <c r="E471" s="438" t="s">
        <v>646</v>
      </c>
      <c r="F471" s="438">
        <v>1</v>
      </c>
      <c r="G471" s="438">
        <v>1</v>
      </c>
      <c r="H471" s="439">
        <v>0</v>
      </c>
      <c r="I471" s="439">
        <v>0</v>
      </c>
      <c r="K471" s="731"/>
    </row>
    <row r="472" spans="1:11">
      <c r="A472" s="438" t="s">
        <v>320</v>
      </c>
      <c r="B472" s="593">
        <v>22928</v>
      </c>
      <c r="C472" s="438" t="s">
        <v>937</v>
      </c>
      <c r="D472" s="438" t="s">
        <v>1186</v>
      </c>
      <c r="E472" s="438" t="s">
        <v>659</v>
      </c>
      <c r="F472" s="438">
        <v>1</v>
      </c>
      <c r="G472" s="438">
        <v>1</v>
      </c>
      <c r="H472" s="439">
        <v>0</v>
      </c>
      <c r="I472" s="439">
        <v>0</v>
      </c>
      <c r="K472" s="731"/>
    </row>
    <row r="473" spans="1:11">
      <c r="A473" s="438" t="s">
        <v>320</v>
      </c>
      <c r="B473" s="593">
        <v>23273</v>
      </c>
      <c r="C473" s="438" t="s">
        <v>938</v>
      </c>
      <c r="D473" s="438" t="s">
        <v>1186</v>
      </c>
      <c r="E473" s="438" t="s">
        <v>636</v>
      </c>
      <c r="F473" s="438">
        <v>2</v>
      </c>
      <c r="G473" s="438">
        <v>2</v>
      </c>
      <c r="H473" s="439">
        <v>0</v>
      </c>
      <c r="I473" s="439">
        <v>0</v>
      </c>
      <c r="K473" s="731"/>
    </row>
    <row r="474" spans="1:11">
      <c r="A474" s="438" t="s">
        <v>320</v>
      </c>
      <c r="B474" s="593">
        <v>23395</v>
      </c>
      <c r="C474" s="438" t="s">
        <v>927</v>
      </c>
      <c r="D474" s="438" t="s">
        <v>1186</v>
      </c>
      <c r="E474" s="438" t="s">
        <v>648</v>
      </c>
      <c r="F474" s="438">
        <v>1</v>
      </c>
      <c r="G474" s="438">
        <v>1</v>
      </c>
      <c r="H474" s="439">
        <v>0</v>
      </c>
      <c r="I474" s="439">
        <v>0</v>
      </c>
      <c r="K474" s="731"/>
    </row>
    <row r="475" spans="1:11">
      <c r="A475" s="438" t="s">
        <v>320</v>
      </c>
      <c r="B475" s="593">
        <v>23440</v>
      </c>
      <c r="C475" s="438" t="s">
        <v>1220</v>
      </c>
      <c r="D475" s="438" t="s">
        <v>1183</v>
      </c>
      <c r="E475" s="438" t="s">
        <v>645</v>
      </c>
      <c r="F475" s="438">
        <v>5</v>
      </c>
      <c r="G475" s="438">
        <v>5</v>
      </c>
      <c r="H475" s="439">
        <v>0</v>
      </c>
      <c r="I475" s="439">
        <v>0</v>
      </c>
      <c r="K475" s="731"/>
    </row>
    <row r="476" spans="1:11">
      <c r="A476" s="438" t="s">
        <v>320</v>
      </c>
      <c r="B476" s="593">
        <v>23492</v>
      </c>
      <c r="C476" s="438" t="s">
        <v>1032</v>
      </c>
      <c r="D476" s="438" t="s">
        <v>1181</v>
      </c>
      <c r="E476" s="438" t="s">
        <v>637</v>
      </c>
      <c r="F476" s="438">
        <v>4</v>
      </c>
      <c r="G476" s="438">
        <v>4</v>
      </c>
      <c r="H476" s="439">
        <v>0</v>
      </c>
      <c r="I476" s="439">
        <v>0</v>
      </c>
      <c r="K476" s="731"/>
    </row>
    <row r="477" spans="1:11">
      <c r="A477" s="438" t="s">
        <v>321</v>
      </c>
      <c r="B477" s="594" t="s">
        <v>1111</v>
      </c>
      <c r="C477" s="595" t="s">
        <v>1111</v>
      </c>
      <c r="D477" s="595" t="e">
        <v>#N/A</v>
      </c>
      <c r="E477" s="596" t="s">
        <v>1111</v>
      </c>
      <c r="F477" s="438">
        <v>29</v>
      </c>
      <c r="G477" s="438">
        <v>0</v>
      </c>
      <c r="H477" s="730">
        <v>0</v>
      </c>
      <c r="I477" s="439">
        <v>0</v>
      </c>
      <c r="K477" s="731"/>
    </row>
    <row r="478" spans="1:11">
      <c r="A478" s="438" t="s">
        <v>320</v>
      </c>
      <c r="B478" s="593" t="s">
        <v>1111</v>
      </c>
      <c r="C478" s="438" t="s">
        <v>1111</v>
      </c>
      <c r="D478" s="438" t="e">
        <v>#N/A</v>
      </c>
      <c r="E478" s="438" t="s">
        <v>1111</v>
      </c>
      <c r="F478" s="438">
        <v>2</v>
      </c>
      <c r="G478" s="438">
        <v>1</v>
      </c>
      <c r="H478" s="439">
        <v>0</v>
      </c>
      <c r="I478" s="439">
        <v>0</v>
      </c>
      <c r="K478" s="731"/>
    </row>
    <row r="479" spans="1:11">
      <c r="A479" s="729"/>
      <c r="B479" s="593">
        <v>22563</v>
      </c>
      <c r="C479" s="438" t="s">
        <v>1234</v>
      </c>
      <c r="D479" s="438" t="s">
        <v>1183</v>
      </c>
      <c r="E479" s="438"/>
      <c r="F479" s="438">
        <v>1</v>
      </c>
      <c r="G479" s="438">
        <v>1</v>
      </c>
      <c r="H479" s="601"/>
      <c r="I479" s="601"/>
      <c r="K479" s="731"/>
    </row>
    <row r="481" spans="6:9">
      <c r="F481" s="598">
        <f>SUM(F2:F479)</f>
        <v>24347</v>
      </c>
      <c r="G481" s="598">
        <f>SUM(G2:G479)</f>
        <v>6868</v>
      </c>
      <c r="H481" s="205">
        <f>SUM(H2:H479)</f>
        <v>2799652.3404749976</v>
      </c>
      <c r="I481" s="205">
        <f>SUM(I2:I479)</f>
        <v>1050836.8389729992</v>
      </c>
    </row>
  </sheetData>
  <autoFilter ref="A1:I479">
    <filterColumn colId="3">
      <filters>
        <filter val="#N/A"/>
        <filter val="amped"/>
        <filter val="carmel"/>
        <filter val="Digger"/>
        <filter val="DMGI"/>
        <filter val="don"/>
        <filter val="DRA"/>
        <filter val="ecco"/>
        <filter val="ElGoucho"/>
        <filter val="emd"/>
        <filter val="epsa"/>
        <filter val="Federico"/>
        <filter val="Forte"/>
        <filter val="IRIS-DEF"/>
        <filter val="IRIS-REV"/>
        <filter val="Jacob New"/>
        <filter val="janet"/>
        <filter val="Jay"/>
        <filter val="JeffS"/>
        <filter val="JK New"/>
        <filter val="Kai"/>
        <filter val="kdigital"/>
        <filter val="Lia"/>
        <filter val="Metin"/>
        <filter val="Metin ExMu"/>
        <filter val="NewSound"/>
        <filter val="NextMusic"/>
        <filter val="odd"/>
        <filter val="Olivier"/>
        <filter val="Rad"/>
        <filter val="RED"/>
        <filter val="RUSSIA"/>
        <filter val="SC"/>
        <filter val="Scott"/>
        <filter val="simon"/>
        <filter val="SLAIT-NEWD"/>
        <filter val="Susana"/>
      </filters>
    </filterColumn>
    <sortState ref="A2:I484">
      <sortCondition descending="1" ref="H1:H483"/>
    </sortState>
  </autoFilter>
  <sortState ref="A2:J484">
    <sortCondition descending="1" ref="J2"/>
  </sortState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theme="8" tint="0.39997558519241921"/>
  </sheetPr>
  <dimension ref="A1:U57"/>
  <sheetViews>
    <sheetView workbookViewId="0">
      <pane ySplit="2" topLeftCell="A3" activePane="bottomLeft" state="frozen"/>
      <selection pane="bottomLeft" activeCell="L1" sqref="L1"/>
    </sheetView>
  </sheetViews>
  <sheetFormatPr baseColWidth="10" defaultColWidth="8.83203125" defaultRowHeight="14" x14ac:dyDescent="0"/>
  <cols>
    <col min="1" max="1" width="36.5" style="533" hidden="1" customWidth="1"/>
    <col min="2" max="2" width="14.83203125" style="533" hidden="1" customWidth="1"/>
    <col min="3" max="3" width="9.33203125" style="533" hidden="1" customWidth="1"/>
    <col min="4" max="4" width="9.6640625" style="533" hidden="1" customWidth="1"/>
    <col min="5" max="5" width="9.1640625" style="533" hidden="1" customWidth="1"/>
    <col min="6" max="6" width="13.33203125" style="533" hidden="1" customWidth="1"/>
    <col min="7" max="10" width="9.1640625" style="533" hidden="1" customWidth="1"/>
    <col min="11" max="11" width="0" style="533" hidden="1" customWidth="1"/>
    <col min="12" max="12" width="16" style="533" bestFit="1" customWidth="1"/>
    <col min="13" max="13" width="15" style="533" bestFit="1" customWidth="1"/>
    <col min="14" max="14" width="8.83203125" style="533"/>
    <col min="15" max="15" width="9.5" style="533" bestFit="1" customWidth="1"/>
    <col min="16" max="16" width="8.83203125" style="533"/>
    <col min="17" max="17" width="13.33203125" style="533" bestFit="1" customWidth="1"/>
    <col min="18" max="16384" width="8.83203125" style="533"/>
  </cols>
  <sheetData>
    <row r="1" spans="1:21">
      <c r="A1" s="532">
        <v>41609</v>
      </c>
      <c r="L1" s="532">
        <v>41640</v>
      </c>
    </row>
    <row r="2" spans="1:21">
      <c r="A2" s="534" t="s">
        <v>1033</v>
      </c>
      <c r="B2" s="534" t="s">
        <v>1034</v>
      </c>
      <c r="C2" s="534" t="s">
        <v>1035</v>
      </c>
      <c r="D2" s="534" t="s">
        <v>1036</v>
      </c>
      <c r="E2" s="534" t="s">
        <v>1037</v>
      </c>
      <c r="F2" s="534" t="s">
        <v>1038</v>
      </c>
      <c r="G2" s="534" t="s">
        <v>1039</v>
      </c>
      <c r="H2" s="534" t="s">
        <v>1040</v>
      </c>
      <c r="I2" s="534" t="s">
        <v>1041</v>
      </c>
      <c r="J2" s="534" t="s">
        <v>21</v>
      </c>
      <c r="L2" s="534" t="s">
        <v>1033</v>
      </c>
      <c r="M2" s="534" t="s">
        <v>1034</v>
      </c>
      <c r="N2" s="534" t="s">
        <v>1035</v>
      </c>
      <c r="O2" s="534" t="s">
        <v>1036</v>
      </c>
      <c r="P2" s="534" t="s">
        <v>1037</v>
      </c>
      <c r="Q2" s="534" t="s">
        <v>1038</v>
      </c>
      <c r="R2" s="534" t="s">
        <v>1039</v>
      </c>
      <c r="S2" s="534" t="s">
        <v>1040</v>
      </c>
      <c r="T2" s="534" t="s">
        <v>1041</v>
      </c>
      <c r="U2" s="534" t="s">
        <v>21</v>
      </c>
    </row>
    <row r="3" spans="1:21">
      <c r="A3" s="535" t="s">
        <v>33</v>
      </c>
      <c r="B3" s="536">
        <f>'[5]streams_Dec 2013'!B2/'[5]streams_Dec 2013'!N2</f>
        <v>5.8434062459262318E-2</v>
      </c>
      <c r="C3" s="536">
        <f>'[5]streams_Dec 2013'!C2/'[5]streams_Dec 2013'!O2</f>
        <v>7.179338591339024E-2</v>
      </c>
      <c r="D3" s="536" t="e">
        <f>'[5]streams_Dec 2013'!D2/'[5]streams_Dec 2013'!P2</f>
        <v>#DIV/0!</v>
      </c>
      <c r="E3" s="536">
        <f>'[5]streams_Dec 2013'!E2/'[5]streams_Dec 2013'!Q2</f>
        <v>7.5101530728494195E-2</v>
      </c>
      <c r="F3" s="536">
        <f>'[5]streams_Dec 2013'!F2/'[5]streams_Dec 2013'!R2</f>
        <v>8.2495752786310203E-2</v>
      </c>
      <c r="G3" s="536">
        <f>'[5]streams_Dec 2013'!G2/'[5]streams_Dec 2013'!S2</f>
        <v>6.8976148677658611E-2</v>
      </c>
      <c r="H3" s="536" t="e">
        <f>'[5]streams_Dec 2013'!H2/'[5]streams_Dec 2013'!T2</f>
        <v>#DIV/0!</v>
      </c>
      <c r="I3" s="536" t="e">
        <f>'[5]streams_Dec 2013'!I2/'[5]streams_Dec 2013'!U2</f>
        <v>#DIV/0!</v>
      </c>
      <c r="J3" s="536">
        <f>'[5]streams_Dec 2013'!J21</f>
        <v>6.0333499707536979E-2</v>
      </c>
      <c r="L3" s="537" t="s">
        <v>126</v>
      </c>
      <c r="M3" s="536">
        <v>0.11398466983993462</v>
      </c>
      <c r="N3" s="536">
        <v>0.14928821567481712</v>
      </c>
      <c r="O3" s="536" t="e">
        <v>#DIV/0!</v>
      </c>
      <c r="P3" s="536">
        <v>0.1444606605227772</v>
      </c>
      <c r="Q3" s="536" t="e">
        <v>#DIV/0!</v>
      </c>
      <c r="R3" s="536" t="e">
        <v>#DIV/0!</v>
      </c>
      <c r="S3" s="536" t="e">
        <v>#DIV/0!</v>
      </c>
      <c r="T3" s="536" t="e">
        <v>#DIV/0!</v>
      </c>
      <c r="U3" s="536">
        <v>0.11912757094877242</v>
      </c>
    </row>
    <row r="4" spans="1:21">
      <c r="A4" s="535" t="s">
        <v>136</v>
      </c>
      <c r="B4" s="536">
        <f>'[5]streams_Dec 2013'!B3/'[5]streams_Dec 2013'!N3</f>
        <v>9.8914666932191572E-2</v>
      </c>
      <c r="C4" s="536">
        <f>'[5]streams_Dec 2013'!C3/'[5]streams_Dec 2013'!O3</f>
        <v>0.16837613363048851</v>
      </c>
      <c r="D4" s="536">
        <f>'[5]streams_Dec 2013'!D3/'[5]streams_Dec 2013'!P3</f>
        <v>0.10656100829540043</v>
      </c>
      <c r="E4" s="536">
        <f>'[5]streams_Dec 2013'!E3/'[5]streams_Dec 2013'!Q3</f>
        <v>0.14044610468761598</v>
      </c>
      <c r="F4" s="536" t="e">
        <f>'[5]streams_Dec 2013'!F3/'[5]streams_Dec 2013'!R3</f>
        <v>#DIV/0!</v>
      </c>
      <c r="G4" s="536" t="e">
        <f>'[5]streams_Dec 2013'!G3/'[5]streams_Dec 2013'!S3</f>
        <v>#DIV/0!</v>
      </c>
      <c r="H4" s="536" t="e">
        <f>'[5]streams_Dec 2013'!H3/'[5]streams_Dec 2013'!T3</f>
        <v>#DIV/0!</v>
      </c>
      <c r="I4" s="536" t="e">
        <f>'[5]streams_Dec 2013'!I3/'[5]streams_Dec 2013'!U3</f>
        <v>#DIV/0!</v>
      </c>
      <c r="J4" s="536">
        <f>'[5]streams_Dec 2013'!J22</f>
        <v>0.15857688810322793</v>
      </c>
      <c r="L4" s="537" t="s">
        <v>33</v>
      </c>
      <c r="M4" s="536">
        <v>5.5949865250071146E-2</v>
      </c>
      <c r="N4" s="536">
        <v>6.10261874427886E-2</v>
      </c>
      <c r="O4" s="536" t="e">
        <v>#DIV/0!</v>
      </c>
      <c r="P4" s="536">
        <v>6.9346957853926514E-2</v>
      </c>
      <c r="Q4" s="536">
        <v>8.2912127536946628E-2</v>
      </c>
      <c r="R4" s="536" t="e">
        <v>#DIV/0!</v>
      </c>
      <c r="S4" s="536" t="e">
        <v>#DIV/0!</v>
      </c>
      <c r="T4" s="536" t="e">
        <v>#DIV/0!</v>
      </c>
      <c r="U4" s="536">
        <v>5.7553497137182989E-2</v>
      </c>
    </row>
    <row r="5" spans="1:21">
      <c r="A5" s="535" t="s">
        <v>36</v>
      </c>
      <c r="B5" s="536" t="e">
        <f>'[5]streams_Dec 2013'!B4/'[5]streams_Dec 2013'!N4</f>
        <v>#DIV/0!</v>
      </c>
      <c r="C5" s="536">
        <f>'[5]streams_Dec 2013'!C4/'[5]streams_Dec 2013'!O4</f>
        <v>0.10979948624741506</v>
      </c>
      <c r="D5" s="536" t="e">
        <f>'[5]streams_Dec 2013'!D4/'[5]streams_Dec 2013'!P4</f>
        <v>#DIV/0!</v>
      </c>
      <c r="E5" s="536">
        <f>'[5]streams_Dec 2013'!E4/'[5]streams_Dec 2013'!Q4</f>
        <v>0.1023679275066967</v>
      </c>
      <c r="F5" s="536" t="e">
        <f>'[5]streams_Dec 2013'!F4/'[5]streams_Dec 2013'!R4</f>
        <v>#DIV/0!</v>
      </c>
      <c r="G5" s="536">
        <f>'[5]streams_Dec 2013'!G4/'[5]streams_Dec 2013'!S4</f>
        <v>8.4352772798153494E-2</v>
      </c>
      <c r="H5" s="536" t="e">
        <f>'[5]streams_Dec 2013'!H4/'[5]streams_Dec 2013'!T4</f>
        <v>#DIV/0!</v>
      </c>
      <c r="I5" s="536" t="e">
        <f>'[5]streams_Dec 2013'!I4/'[5]streams_Dec 2013'!U4</f>
        <v>#DIV/0!</v>
      </c>
      <c r="J5" s="536">
        <f>'[5]streams_Dec 2013'!J23</f>
        <v>0.10063052328840123</v>
      </c>
      <c r="L5" s="537" t="s">
        <v>136</v>
      </c>
      <c r="M5" s="536">
        <v>8.7124152999685123E-2</v>
      </c>
      <c r="N5" s="536">
        <v>0.16267609355000107</v>
      </c>
      <c r="O5" s="536">
        <v>0.13435951709078106</v>
      </c>
      <c r="P5" s="536">
        <v>0.13666057287863406</v>
      </c>
      <c r="Q5" s="536" t="e">
        <v>#DIV/0!</v>
      </c>
      <c r="R5" s="536" t="e">
        <v>#DIV/0!</v>
      </c>
      <c r="S5" s="536" t="e">
        <v>#DIV/0!</v>
      </c>
      <c r="T5" s="536" t="e">
        <v>#DIV/0!</v>
      </c>
      <c r="U5" s="536">
        <v>0.15363508687558552</v>
      </c>
    </row>
    <row r="6" spans="1:21">
      <c r="A6" s="535" t="s">
        <v>73</v>
      </c>
      <c r="B6" s="536">
        <f>'[5]streams_Dec 2013'!B5/'[5]streams_Dec 2013'!N5</f>
        <v>0.10063945657189277</v>
      </c>
      <c r="C6" s="536">
        <f>'[5]streams_Dec 2013'!C5/'[5]streams_Dec 2013'!O5</f>
        <v>0.10816213700042417</v>
      </c>
      <c r="D6" s="536" t="e">
        <f>'[5]streams_Dec 2013'!D5/'[5]streams_Dec 2013'!P5</f>
        <v>#DIV/0!</v>
      </c>
      <c r="E6" s="536">
        <f>'[5]streams_Dec 2013'!E5/'[5]streams_Dec 2013'!Q5</f>
        <v>0.10032066880203507</v>
      </c>
      <c r="F6" s="536">
        <f>'[5]streams_Dec 2013'!F5/'[5]streams_Dec 2013'!R5</f>
        <v>8.3289301375201436E-2</v>
      </c>
      <c r="G6" s="536">
        <f>'[5]streams_Dec 2013'!G5/'[5]streams_Dec 2013'!S5</f>
        <v>8.8329318050278466E-2</v>
      </c>
      <c r="H6" s="536" t="e">
        <f>'[5]streams_Dec 2013'!H5/'[5]streams_Dec 2013'!T5</f>
        <v>#DIV/0!</v>
      </c>
      <c r="I6" s="536" t="e">
        <f>'[5]streams_Dec 2013'!I5/'[5]streams_Dec 2013'!U5</f>
        <v>#DIV/0!</v>
      </c>
      <c r="J6" s="536">
        <f>'[5]streams_Dec 2013'!J24</f>
        <v>0.10121306429324493</v>
      </c>
      <c r="L6" s="537" t="s">
        <v>36</v>
      </c>
      <c r="M6" s="536" t="e">
        <v>#DIV/0!</v>
      </c>
      <c r="N6" s="536">
        <v>9.9626406289815561E-2</v>
      </c>
      <c r="O6" s="536" t="e">
        <v>#DIV/0!</v>
      </c>
      <c r="P6" s="536">
        <v>0.10129944825008583</v>
      </c>
      <c r="Q6" s="536" t="e">
        <v>#DIV/0!</v>
      </c>
      <c r="R6" s="536" t="e">
        <v>#DIV/0!</v>
      </c>
      <c r="S6" s="536" t="e">
        <v>#DIV/0!</v>
      </c>
      <c r="T6" s="536" t="e">
        <v>#DIV/0!</v>
      </c>
      <c r="U6" s="536">
        <v>0.10112771993265184</v>
      </c>
    </row>
    <row r="7" spans="1:21">
      <c r="A7" s="535" t="s">
        <v>1042</v>
      </c>
      <c r="B7" s="536">
        <f>'[5]streams_Dec 2013'!B6/'[5]streams_Dec 2013'!N6</f>
        <v>7.6959601373837214E-2</v>
      </c>
      <c r="C7" s="536" t="e">
        <f>'[5]streams_Dec 2013'!C6/'[5]streams_Dec 2013'!O6</f>
        <v>#DIV/0!</v>
      </c>
      <c r="D7" s="536">
        <f>'[5]streams_Dec 2013'!D6/'[5]streams_Dec 2013'!P6</f>
        <v>5.6160492531687096E-2</v>
      </c>
      <c r="E7" s="536">
        <f>'[5]streams_Dec 2013'!E6/'[5]streams_Dec 2013'!Q6</f>
        <v>0.10420379107385476</v>
      </c>
      <c r="F7" s="536">
        <f>'[5]streams_Dec 2013'!F6/'[5]streams_Dec 2013'!R6</f>
        <v>7.9711477456182914E-2</v>
      </c>
      <c r="G7" s="536">
        <f>'[5]streams_Dec 2013'!G6/'[5]streams_Dec 2013'!S6</f>
        <v>7.5980854100690748E-2</v>
      </c>
      <c r="H7" s="536">
        <f>'[5]streams_Dec 2013'!H6/'[5]streams_Dec 2013'!T6</f>
        <v>0.12127676848579484</v>
      </c>
      <c r="I7" s="536" t="e">
        <f>'[5]streams_Dec 2013'!I6/'[5]streams_Dec 2013'!U6</f>
        <v>#DIV/0!</v>
      </c>
      <c r="J7" s="536">
        <f>'[5]streams_Dec 2013'!J25</f>
        <v>8.4857359161553361E-2</v>
      </c>
      <c r="L7" s="537" t="s">
        <v>143</v>
      </c>
      <c r="M7" s="536">
        <v>0.11532231982166002</v>
      </c>
      <c r="N7" s="536">
        <v>0.17263252933837975</v>
      </c>
      <c r="O7" s="536">
        <v>0.17316195372750642</v>
      </c>
      <c r="P7" s="536">
        <v>0.15922738649621571</v>
      </c>
      <c r="Q7" s="536" t="e">
        <v>#DIV/0!</v>
      </c>
      <c r="R7" s="536" t="e">
        <v>#DIV/0!</v>
      </c>
      <c r="S7" s="536" t="e">
        <v>#DIV/0!</v>
      </c>
      <c r="T7" s="536" t="e">
        <v>#DIV/0!</v>
      </c>
      <c r="U7" s="536">
        <v>0.15939577353931841</v>
      </c>
    </row>
    <row r="8" spans="1:21">
      <c r="A8" s="535" t="s">
        <v>72</v>
      </c>
      <c r="B8" s="536">
        <f>'[5]streams_Dec 2013'!B7/'[5]streams_Dec 2013'!N7</f>
        <v>6.5863383700303604E-2</v>
      </c>
      <c r="C8" s="536">
        <f>'[5]streams_Dec 2013'!C7/'[5]streams_Dec 2013'!O7</f>
        <v>6.6936849739052381E-2</v>
      </c>
      <c r="D8" s="536">
        <f>'[5]streams_Dec 2013'!D7/'[5]streams_Dec 2013'!P7</f>
        <v>5.3520774168313648E-2</v>
      </c>
      <c r="E8" s="536">
        <f>'[5]streams_Dec 2013'!E7/'[5]streams_Dec 2013'!Q7</f>
        <v>8.6872793263384929E-2</v>
      </c>
      <c r="F8" s="536">
        <f>'[5]streams_Dec 2013'!F7/'[5]streams_Dec 2013'!R7</f>
        <v>6.295130918858062E-2</v>
      </c>
      <c r="G8" s="536">
        <f>'[5]streams_Dec 2013'!G7/'[5]streams_Dec 2013'!S7</f>
        <v>7.4383407169798355E-2</v>
      </c>
      <c r="H8" s="536" t="e">
        <f>'[5]streams_Dec 2013'!H7/'[5]streams_Dec 2013'!T7</f>
        <v>#DIV/0!</v>
      </c>
      <c r="I8" s="536" t="e">
        <f>'[5]streams_Dec 2013'!I7/'[5]streams_Dec 2013'!U7</f>
        <v>#DIV/0!</v>
      </c>
      <c r="J8" s="536">
        <f>'[5]streams_Dec 2013'!J26</f>
        <v>6.5880652855758184E-2</v>
      </c>
      <c r="L8" s="538" t="s">
        <v>37</v>
      </c>
      <c r="M8" s="536">
        <v>4.4580483928385886E-2</v>
      </c>
      <c r="N8" s="536">
        <v>0.12994019041493779</v>
      </c>
      <c r="O8" s="536">
        <v>0.63871119017641875</v>
      </c>
      <c r="P8" s="536">
        <v>0.2114726419015534</v>
      </c>
      <c r="Q8" s="536" t="e">
        <v>#DIV/0!</v>
      </c>
      <c r="R8" s="536" t="e">
        <v>#DIV/0!</v>
      </c>
      <c r="S8" s="536" t="e">
        <v>#DIV/0!</v>
      </c>
      <c r="T8" s="536">
        <v>4.4762874251421704E-2</v>
      </c>
      <c r="U8" s="536">
        <v>5.0719417697461938E-2</v>
      </c>
    </row>
    <row r="9" spans="1:21">
      <c r="A9" s="535" t="s">
        <v>40</v>
      </c>
      <c r="B9" s="536">
        <f>'[5]streams_Dec 2013'!B8/'[5]streams_Dec 2013'!N8</f>
        <v>4.4270566277885351E-2</v>
      </c>
      <c r="C9" s="536">
        <f>'[5]streams_Dec 2013'!C8/'[5]streams_Dec 2013'!O8</f>
        <v>6.3074918944741279E-2</v>
      </c>
      <c r="D9" s="536">
        <f>'[5]streams_Dec 2013'!D8/'[5]streams_Dec 2013'!P8</f>
        <v>3.3836205744668585E-2</v>
      </c>
      <c r="E9" s="536">
        <f>'[5]streams_Dec 2013'!E8/'[5]streams_Dec 2013'!Q8</f>
        <v>7.8595355540086384E-2</v>
      </c>
      <c r="F9" s="536">
        <f>'[5]streams_Dec 2013'!F8/'[5]streams_Dec 2013'!R8</f>
        <v>5.2949758428718879E-2</v>
      </c>
      <c r="G9" s="536">
        <f>'[5]streams_Dec 2013'!G8/'[5]streams_Dec 2013'!S8</f>
        <v>5.5917553315428054E-2</v>
      </c>
      <c r="H9" s="536" t="e">
        <f>'[5]streams_Dec 2013'!H8/'[5]streams_Dec 2013'!T8</f>
        <v>#DIV/0!</v>
      </c>
      <c r="I9" s="536">
        <f>'[5]streams_Dec 2013'!I8/'[5]streams_Dec 2013'!U8</f>
        <v>5.3288690966033871E-2</v>
      </c>
      <c r="J9" s="536">
        <f>'[5]streams_Dec 2013'!J27</f>
        <v>4.488790885474285E-2</v>
      </c>
      <c r="L9" s="537" t="s">
        <v>39</v>
      </c>
      <c r="M9" s="536">
        <v>5.5184343074954838E-2</v>
      </c>
      <c r="N9" s="536">
        <v>4.8615723543077562E-2</v>
      </c>
      <c r="O9" s="536">
        <v>3.8782480803908455E-2</v>
      </c>
      <c r="P9" s="536">
        <v>8.165135402348743E-2</v>
      </c>
      <c r="Q9" s="536">
        <v>4.5449172528982333E-2</v>
      </c>
      <c r="R9" s="536" t="e">
        <v>#DIV/0!</v>
      </c>
      <c r="S9" s="536" t="e">
        <v>#DIV/0!</v>
      </c>
      <c r="T9" s="536" t="e">
        <v>#DIV/0!</v>
      </c>
      <c r="U9" s="536">
        <v>5.0543096959071679E-2</v>
      </c>
    </row>
    <row r="10" spans="1:21">
      <c r="A10" s="535" t="s">
        <v>48</v>
      </c>
      <c r="B10" s="536">
        <f>'[5]streams_Dec 2013'!B9/'[5]streams_Dec 2013'!N9</f>
        <v>0.11463986108631295</v>
      </c>
      <c r="C10" s="536">
        <f>'[5]streams_Dec 2013'!C9/'[5]streams_Dec 2013'!O9</f>
        <v>0.13098897930144432</v>
      </c>
      <c r="D10" s="536">
        <f>'[5]streams_Dec 2013'!D9/'[5]streams_Dec 2013'!P9</f>
        <v>6.5787735225835683E-2</v>
      </c>
      <c r="E10" s="536">
        <f>'[5]streams_Dec 2013'!E9/'[5]streams_Dec 2013'!Q9</f>
        <v>0.1412337634203617</v>
      </c>
      <c r="F10" s="536">
        <f>'[5]streams_Dec 2013'!F9/'[5]streams_Dec 2013'!R9</f>
        <v>9.8356629063604872E-2</v>
      </c>
      <c r="G10" s="536">
        <f>'[5]streams_Dec 2013'!G9/'[5]streams_Dec 2013'!S9</f>
        <v>9.6410484567548665E-2</v>
      </c>
      <c r="H10" s="536" t="e">
        <f>'[5]streams_Dec 2013'!H9/'[5]streams_Dec 2013'!T9</f>
        <v>#DIV/0!</v>
      </c>
      <c r="I10" s="536" t="e">
        <f>'[5]streams_Dec 2013'!I9/'[5]streams_Dec 2013'!U9</f>
        <v>#DIV/0!</v>
      </c>
      <c r="J10" s="536">
        <f>'[5]streams_Dec 2013'!J28</f>
        <v>0.11475472372082689</v>
      </c>
      <c r="L10" s="537" t="s">
        <v>40</v>
      </c>
      <c r="M10" s="536">
        <v>4.2900199824702639E-2</v>
      </c>
      <c r="N10" s="536">
        <v>0.10551352924061681</v>
      </c>
      <c r="O10" s="536">
        <v>3.9577166403234693E-2</v>
      </c>
      <c r="P10" s="536">
        <v>7.5546312308137187E-2</v>
      </c>
      <c r="Q10" s="536">
        <v>5.1378309850889502E-2</v>
      </c>
      <c r="R10" s="536" t="e">
        <v>#DIV/0!</v>
      </c>
      <c r="S10" s="536" t="e">
        <v>#DIV/0!</v>
      </c>
      <c r="T10" s="536">
        <v>4.9864684158879298E-2</v>
      </c>
      <c r="U10" s="536">
        <v>4.4377161170176031E-2</v>
      </c>
    </row>
    <row r="11" spans="1:21">
      <c r="A11" s="535" t="s">
        <v>47</v>
      </c>
      <c r="B11" s="536">
        <f>'[5]streams_Dec 2013'!B10/'[5]streams_Dec 2013'!N10</f>
        <v>5.9367406476295952E-2</v>
      </c>
      <c r="C11" s="536">
        <f>'[5]streams_Dec 2013'!C10/'[5]streams_Dec 2013'!O10</f>
        <v>8.8374058471685543E-2</v>
      </c>
      <c r="D11" s="536">
        <f>'[5]streams_Dec 2013'!D10/'[5]streams_Dec 2013'!P10</f>
        <v>8.3863030551568588E-2</v>
      </c>
      <c r="E11" s="536">
        <f>'[5]streams_Dec 2013'!E10/'[5]streams_Dec 2013'!Q10</f>
        <v>0.10632350214360767</v>
      </c>
      <c r="F11" s="536">
        <f>'[5]streams_Dec 2013'!F10/'[5]streams_Dec 2013'!R10</f>
        <v>8.801822188697106E-2</v>
      </c>
      <c r="G11" s="536">
        <f>'[5]streams_Dec 2013'!G10/'[5]streams_Dec 2013'!S10</f>
        <v>9.3095458430760322E-2</v>
      </c>
      <c r="H11" s="536" t="e">
        <f>'[5]streams_Dec 2013'!H10/'[5]streams_Dec 2013'!T10</f>
        <v>#DIV/0!</v>
      </c>
      <c r="I11" s="536" t="e">
        <f>'[5]streams_Dec 2013'!I10/'[5]streams_Dec 2013'!U10</f>
        <v>#DIV/0!</v>
      </c>
      <c r="J11" s="536">
        <f>'[5]streams_Dec 2013'!J29</f>
        <v>6.0740347664357479E-2</v>
      </c>
      <c r="L11" s="537" t="s">
        <v>11</v>
      </c>
      <c r="M11" s="536">
        <v>6.6912377129278569E-2</v>
      </c>
      <c r="N11" s="536">
        <v>4.495838494846098E-2</v>
      </c>
      <c r="O11" s="536">
        <v>7.0779735414253489E-2</v>
      </c>
      <c r="P11" s="536">
        <v>0.16027175060627197</v>
      </c>
      <c r="Q11" s="536">
        <v>6.9232408658199615E-2</v>
      </c>
      <c r="R11" s="536" t="e">
        <v>#DIV/0!</v>
      </c>
      <c r="S11" s="536" t="e">
        <v>#DIV/0!</v>
      </c>
      <c r="T11" s="536" t="e">
        <v>#DIV/0!</v>
      </c>
      <c r="U11" s="536">
        <v>6.7033943441261151E-2</v>
      </c>
    </row>
    <row r="12" spans="1:21">
      <c r="A12" s="535" t="s">
        <v>39</v>
      </c>
      <c r="B12" s="536">
        <f>'[5]streams_Dec 2013'!B11/'[5]streams_Dec 2013'!N11</f>
        <v>5.884092931117544E-2</v>
      </c>
      <c r="C12" s="536">
        <f>'[5]streams_Dec 2013'!C11/'[5]streams_Dec 2013'!O11</f>
        <v>5.468147423616531E-2</v>
      </c>
      <c r="D12" s="536">
        <f>'[5]streams_Dec 2013'!D11/'[5]streams_Dec 2013'!P11</f>
        <v>3.6069166977337135E-2</v>
      </c>
      <c r="E12" s="536">
        <f>'[5]streams_Dec 2013'!E11/'[5]streams_Dec 2013'!Q11</f>
        <v>7.771780009734082E-2</v>
      </c>
      <c r="F12" s="536">
        <f>'[5]streams_Dec 2013'!F11/'[5]streams_Dec 2013'!R11</f>
        <v>4.7631038736173401E-2</v>
      </c>
      <c r="G12" s="536">
        <f>'[5]streams_Dec 2013'!G11/'[5]streams_Dec 2013'!S11</f>
        <v>4.3557319868166862E-2</v>
      </c>
      <c r="H12" s="536" t="e">
        <f>'[5]streams_Dec 2013'!H11/'[5]streams_Dec 2013'!T11</f>
        <v>#DIV/0!</v>
      </c>
      <c r="I12" s="536" t="e">
        <f>'[5]streams_Dec 2013'!I11/'[5]streams_Dec 2013'!U11</f>
        <v>#DIV/0!</v>
      </c>
      <c r="J12" s="536">
        <f>'[5]streams_Dec 2013'!J30</f>
        <v>5.5543944453126909E-2</v>
      </c>
      <c r="L12" s="537" t="s">
        <v>73</v>
      </c>
      <c r="M12" s="536">
        <v>9.246167464984742E-2</v>
      </c>
      <c r="N12" s="536">
        <v>0.10473301930547836</v>
      </c>
      <c r="O12" s="536">
        <v>8.0882352941176475E-2</v>
      </c>
      <c r="P12" s="536">
        <v>9.7394222499472369E-2</v>
      </c>
      <c r="Q12" s="536">
        <v>8.1381753010247929E-2</v>
      </c>
      <c r="R12" s="536" t="e">
        <v>#DIV/0!</v>
      </c>
      <c r="S12" s="536" t="e">
        <v>#DIV/0!</v>
      </c>
      <c r="T12" s="536" t="e">
        <v>#DIV/0!</v>
      </c>
      <c r="U12" s="536">
        <v>9.3858169650404652E-2</v>
      </c>
    </row>
    <row r="13" spans="1:21">
      <c r="A13" s="535" t="s">
        <v>49</v>
      </c>
      <c r="B13" s="536">
        <f>'[5]streams_Dec 2013'!B12/'[5]streams_Dec 2013'!N12</f>
        <v>5.7967107539690581E-2</v>
      </c>
      <c r="C13" s="536">
        <f>'[5]streams_Dec 2013'!C12/'[5]streams_Dec 2013'!O12</f>
        <v>6.4217254125198214E-2</v>
      </c>
      <c r="D13" s="536">
        <f>'[5]streams_Dec 2013'!D12/'[5]streams_Dec 2013'!P12</f>
        <v>6.2100869915019861E-2</v>
      </c>
      <c r="E13" s="536">
        <f>'[5]streams_Dec 2013'!E12/'[5]streams_Dec 2013'!Q12</f>
        <v>0.13385300439115189</v>
      </c>
      <c r="F13" s="536" t="e">
        <f>'[5]streams_Dec 2013'!F12/'[5]streams_Dec 2013'!R12</f>
        <v>#DIV/0!</v>
      </c>
      <c r="G13" s="536">
        <f>'[5]streams_Dec 2013'!G12/'[5]streams_Dec 2013'!S12</f>
        <v>0.10881378525246529</v>
      </c>
      <c r="H13" s="536" t="e">
        <f>'[5]streams_Dec 2013'!H12/'[5]streams_Dec 2013'!T12</f>
        <v>#DIV/0!</v>
      </c>
      <c r="I13" s="536">
        <f>'[5]streams_Dec 2013'!I12/'[5]streams_Dec 2013'!U12</f>
        <v>6.2850729767810781E-2</v>
      </c>
      <c r="J13" s="536">
        <f>'[5]streams_Dec 2013'!J31</f>
        <v>5.8044902866548315E-2</v>
      </c>
      <c r="L13" s="537" t="s">
        <v>44</v>
      </c>
      <c r="M13" s="536">
        <v>5.7576107552973474E-2</v>
      </c>
      <c r="N13" s="536">
        <v>6.3008504274534388E-2</v>
      </c>
      <c r="O13" s="536">
        <v>7.1824417009602196E-2</v>
      </c>
      <c r="P13" s="536">
        <v>0.11545034931673598</v>
      </c>
      <c r="Q13" s="536">
        <v>7.3396738431095565E-2</v>
      </c>
      <c r="R13" s="536" t="e">
        <v>#DIV/0!</v>
      </c>
      <c r="S13" s="536" t="e">
        <v>#DIV/0!</v>
      </c>
      <c r="T13" s="536" t="e">
        <v>#DIV/0!</v>
      </c>
      <c r="U13" s="536">
        <v>5.7962021881273883E-2</v>
      </c>
    </row>
    <row r="14" spans="1:21">
      <c r="A14" s="535" t="s">
        <v>46</v>
      </c>
      <c r="B14" s="536">
        <f>'[5]streams_Dec 2013'!B13/'[5]streams_Dec 2013'!N13</f>
        <v>4.7595379678174642E-2</v>
      </c>
      <c r="C14" s="536">
        <f>'[5]streams_Dec 2013'!C13/'[5]streams_Dec 2013'!O13</f>
        <v>6.8388681631942214E-2</v>
      </c>
      <c r="D14" s="536">
        <f>'[5]streams_Dec 2013'!D13/'[5]streams_Dec 2013'!P13</f>
        <v>3.7746463780540078E-2</v>
      </c>
      <c r="E14" s="536">
        <f>'[5]streams_Dec 2013'!E13/'[5]streams_Dec 2013'!Q13</f>
        <v>0.10174337601919047</v>
      </c>
      <c r="F14" s="536" t="e">
        <f>'[5]streams_Dec 2013'!F13/'[5]streams_Dec 2013'!R13</f>
        <v>#DIV/0!</v>
      </c>
      <c r="G14" s="536">
        <f>'[5]streams_Dec 2013'!G13/'[5]streams_Dec 2013'!S13</f>
        <v>6.2063524666691565E-2</v>
      </c>
      <c r="H14" s="536" t="e">
        <f>'[5]streams_Dec 2013'!H13/'[5]streams_Dec 2013'!T13</f>
        <v>#DIV/0!</v>
      </c>
      <c r="I14" s="536">
        <f>'[5]streams_Dec 2013'!I13/'[5]streams_Dec 2013'!U13</f>
        <v>3.9482541169791788E-2</v>
      </c>
      <c r="J14" s="536">
        <f>'[5]streams_Dec 2013'!J32</f>
        <v>4.6991962961713624E-2</v>
      </c>
      <c r="L14" s="537" t="s">
        <v>46</v>
      </c>
      <c r="M14" s="536">
        <v>4.7505879732813706E-2</v>
      </c>
      <c r="N14" s="536">
        <v>6.7679988733414478E-2</v>
      </c>
      <c r="O14" s="536">
        <v>6.2613543040589303E-2</v>
      </c>
      <c r="P14" s="536">
        <v>0.10450675550620026</v>
      </c>
      <c r="Q14" s="536" t="e">
        <v>#DIV/0!</v>
      </c>
      <c r="R14" s="536" t="e">
        <v>#DIV/0!</v>
      </c>
      <c r="S14" s="536" t="e">
        <v>#DIV/0!</v>
      </c>
      <c r="T14" s="536">
        <v>4.2888656224417752E-2</v>
      </c>
      <c r="U14" s="536">
        <v>4.7212983655408332E-2</v>
      </c>
    </row>
    <row r="15" spans="1:21">
      <c r="A15" s="535" t="s">
        <v>44</v>
      </c>
      <c r="B15" s="536">
        <f>'[5]streams_Dec 2013'!B14/'[5]streams_Dec 2013'!N14</f>
        <v>5.9414020405445495E-2</v>
      </c>
      <c r="C15" s="536">
        <f>'[5]streams_Dec 2013'!C14/'[5]streams_Dec 2013'!O14</f>
        <v>6.7578154324877154E-2</v>
      </c>
      <c r="D15" s="536">
        <f>'[5]streams_Dec 2013'!D14/'[5]streams_Dec 2013'!P14</f>
        <v>4.6209990469770576E-2</v>
      </c>
      <c r="E15" s="536">
        <f>'[5]streams_Dec 2013'!E14/'[5]streams_Dec 2013'!Q14</f>
        <v>0.11105651718461615</v>
      </c>
      <c r="F15" s="536">
        <f>'[5]streams_Dec 2013'!F14/'[5]streams_Dec 2013'!R14</f>
        <v>7.6444250066955766E-2</v>
      </c>
      <c r="G15" s="536">
        <f>'[5]streams_Dec 2013'!G14/'[5]streams_Dec 2013'!S14</f>
        <v>7.1570523763558297E-2</v>
      </c>
      <c r="H15" s="536" t="e">
        <f>'[5]streams_Dec 2013'!H14/'[5]streams_Dec 2013'!T14</f>
        <v>#DIV/0!</v>
      </c>
      <c r="I15" s="536" t="e">
        <f>'[5]streams_Dec 2013'!I14/'[5]streams_Dec 2013'!U14</f>
        <v>#DIV/0!</v>
      </c>
      <c r="J15" s="536">
        <f>'[5]streams_Dec 2013'!J33</f>
        <v>5.9994580728114859E-2</v>
      </c>
      <c r="L15" s="537" t="s">
        <v>47</v>
      </c>
      <c r="M15" s="536">
        <v>7.5345549055497257E-2</v>
      </c>
      <c r="N15" s="536">
        <v>0.11721341848856726</v>
      </c>
      <c r="O15" s="536">
        <v>6.9175040897405934E-2</v>
      </c>
      <c r="P15" s="536">
        <v>0.10996849381794815</v>
      </c>
      <c r="Q15" s="536">
        <v>9.7463361646811617E-2</v>
      </c>
      <c r="R15" s="536" t="e">
        <v>#DIV/0!</v>
      </c>
      <c r="S15" s="536" t="e">
        <v>#DIV/0!</v>
      </c>
      <c r="T15" s="536" t="e">
        <v>#DIV/0!</v>
      </c>
      <c r="U15" s="536">
        <v>7.6477976455540331E-2</v>
      </c>
    </row>
    <row r="16" spans="1:21">
      <c r="A16" s="534" t="s">
        <v>1043</v>
      </c>
      <c r="B16" s="536">
        <f>'[5]streams_Dec 2013'!B15/'[5]streams_Dec 2013'!N15</f>
        <v>5.8328395583574388E-2</v>
      </c>
      <c r="C16" s="536" t="e">
        <f>'[5]streams_Dec 2013'!C15/'[5]streams_Dec 2013'!O15</f>
        <v>#DIV/0!</v>
      </c>
      <c r="D16" s="536">
        <f>'[5]streams_Dec 2013'!D15/'[5]streams_Dec 2013'!P15</f>
        <v>0.15728594911715524</v>
      </c>
      <c r="E16" s="536">
        <f>'[5]streams_Dec 2013'!E15/'[5]streams_Dec 2013'!Q15</f>
        <v>0.13825946838393779</v>
      </c>
      <c r="F16" s="536">
        <f>'[5]streams_Dec 2013'!F15/'[5]streams_Dec 2013'!R15</f>
        <v>9.467691712887924E-2</v>
      </c>
      <c r="G16" s="536">
        <f>'[5]streams_Dec 2013'!G15/'[5]streams_Dec 2013'!S15</f>
        <v>7.6156952458785815E-2</v>
      </c>
      <c r="H16" s="536" t="e">
        <f>'[5]streams_Dec 2013'!H15/'[5]streams_Dec 2013'!T15</f>
        <v>#DIV/0!</v>
      </c>
      <c r="I16" s="536">
        <f>'[5]streams_Dec 2013'!I15/'[5]streams_Dec 2013'!U15</f>
        <v>4.0843850481802703E-2</v>
      </c>
      <c r="J16" s="536">
        <f>'[5]streams_Dec 2013'!J34</f>
        <v>6.0530845592768549E-2</v>
      </c>
      <c r="L16" s="537" t="s">
        <v>48</v>
      </c>
      <c r="M16" s="536">
        <v>0.10296608221106295</v>
      </c>
      <c r="N16" s="536">
        <v>0.12184781432674502</v>
      </c>
      <c r="O16" s="536">
        <v>8.2892470283889241E-2</v>
      </c>
      <c r="P16" s="536">
        <v>0.13943862120469391</v>
      </c>
      <c r="Q16" s="536">
        <v>9.7935596433203265E-2</v>
      </c>
      <c r="R16" s="536" t="e">
        <v>#DIV/0!</v>
      </c>
      <c r="S16" s="536" t="e">
        <v>#DIV/0!</v>
      </c>
      <c r="T16" s="536" t="e">
        <v>#DIV/0!</v>
      </c>
      <c r="U16" s="536">
        <v>0.10321554124248193</v>
      </c>
    </row>
    <row r="17" spans="1:21">
      <c r="A17" s="534" t="s">
        <v>1044</v>
      </c>
      <c r="B17" s="536">
        <f>'[5]streams_Dec 2013'!B16/'[5]streams_Dec 2013'!N16</f>
        <v>6.8156363357436259E-2</v>
      </c>
      <c r="C17" s="536">
        <f>'[5]streams_Dec 2013'!C16/'[5]streams_Dec 2013'!O16</f>
        <v>6.5179962020122287E-2</v>
      </c>
      <c r="D17" s="536">
        <f>'[5]streams_Dec 2013'!D16/'[5]streams_Dec 2013'!P16</f>
        <v>5.4009825187303899E-2</v>
      </c>
      <c r="E17" s="536">
        <f>'[5]streams_Dec 2013'!E16/'[5]streams_Dec 2013'!Q16</f>
        <v>0.10727370087222224</v>
      </c>
      <c r="F17" s="536">
        <f>'[5]streams_Dec 2013'!F16/'[5]streams_Dec 2013'!R16</f>
        <v>7.7918443787366204E-2</v>
      </c>
      <c r="G17" s="536">
        <f>'[5]streams_Dec 2013'!G16/'[5]streams_Dec 2013'!S16</f>
        <v>7.4278994739092982E-2</v>
      </c>
      <c r="H17" s="536">
        <f>'[5]streams_Dec 2013'!H16/'[5]streams_Dec 2013'!T16</f>
        <v>0.12127676848579484</v>
      </c>
      <c r="I17" s="536">
        <f>'[5]streams_Dec 2013'!I16/'[5]streams_Dec 2013'!U16</f>
        <v>4.1473059543423084E-2</v>
      </c>
      <c r="J17" s="536">
        <f>'[5]streams_Dec 2013'!J35</f>
        <v>7.3417153174443472E-2</v>
      </c>
      <c r="L17" s="537" t="s">
        <v>49</v>
      </c>
      <c r="M17" s="536">
        <v>5.452118062821032E-2</v>
      </c>
      <c r="N17" s="536">
        <v>5.3966546998523657E-2</v>
      </c>
      <c r="O17" s="536">
        <v>8.8451443569553811E-2</v>
      </c>
      <c r="P17" s="536">
        <v>0.12440809470484722</v>
      </c>
      <c r="Q17" s="536" t="e">
        <v>#DIV/0!</v>
      </c>
      <c r="R17" s="536" t="e">
        <v>#DIV/0!</v>
      </c>
      <c r="S17" s="536" t="e">
        <v>#DIV/0!</v>
      </c>
      <c r="T17" s="536">
        <v>5.8796328295296171E-2</v>
      </c>
      <c r="U17" s="536">
        <v>5.457090095539132E-2</v>
      </c>
    </row>
    <row r="18" spans="1:21">
      <c r="L18" s="537" t="s">
        <v>50</v>
      </c>
      <c r="M18" s="536">
        <v>5.8437526331012832E-2</v>
      </c>
      <c r="N18" s="536">
        <v>6.8761218507470398E-2</v>
      </c>
      <c r="O18" s="536">
        <v>6.1376802401792885E-2</v>
      </c>
      <c r="P18" s="536">
        <v>0.12001072167258092</v>
      </c>
      <c r="Q18" s="536">
        <v>5.930412610585211E-2</v>
      </c>
      <c r="R18" s="536" t="e">
        <v>#DIV/0!</v>
      </c>
      <c r="S18" s="536" t="e">
        <v>#DIV/0!</v>
      </c>
      <c r="T18" s="536" t="e">
        <v>#DIV/0!</v>
      </c>
      <c r="U18" s="536">
        <v>5.9248302266346739E-2</v>
      </c>
    </row>
    <row r="19" spans="1:21">
      <c r="L19" s="537" t="s">
        <v>72</v>
      </c>
      <c r="M19" s="536">
        <v>5.7318955431262801E-2</v>
      </c>
      <c r="N19" s="536">
        <v>5.446181573129362E-2</v>
      </c>
      <c r="O19" s="536">
        <v>6.8436754734160082E-2</v>
      </c>
      <c r="P19" s="536">
        <v>8.1639632529578329E-2</v>
      </c>
      <c r="Q19" s="536">
        <v>5.7330778621513645E-2</v>
      </c>
      <c r="R19" s="536" t="e">
        <v>#DIV/0!</v>
      </c>
      <c r="S19" s="536" t="e">
        <v>#DIV/0!</v>
      </c>
      <c r="T19" s="536" t="e">
        <v>#DIV/0!</v>
      </c>
      <c r="U19" s="536">
        <v>5.7750822838495829E-2</v>
      </c>
    </row>
    <row r="20" spans="1:21">
      <c r="A20" s="534" t="s">
        <v>1045</v>
      </c>
      <c r="B20" s="534" t="s">
        <v>1046</v>
      </c>
      <c r="L20" s="537" t="s">
        <v>1042</v>
      </c>
      <c r="M20" s="536">
        <v>7.5723651924216179E-2</v>
      </c>
      <c r="N20" s="536" t="e">
        <v>#DIV/0!</v>
      </c>
      <c r="O20" s="536">
        <v>6.085233706838241E-2</v>
      </c>
      <c r="P20" s="536">
        <v>0.1037308654672881</v>
      </c>
      <c r="Q20" s="536">
        <v>7.6819758109531636E-2</v>
      </c>
      <c r="R20" s="536" t="e">
        <v>#DIV/0!</v>
      </c>
      <c r="S20" s="536">
        <v>0.11934488745079103</v>
      </c>
      <c r="T20" s="536" t="e">
        <v>#DIV/0!</v>
      </c>
      <c r="U20" s="536">
        <v>8.3513985471450489E-2</v>
      </c>
    </row>
    <row r="21" spans="1:21">
      <c r="A21" s="534"/>
      <c r="B21" s="534"/>
      <c r="L21" s="537"/>
      <c r="M21" s="536"/>
      <c r="N21" s="536"/>
      <c r="O21" s="536"/>
      <c r="P21" s="536"/>
      <c r="Q21" s="536"/>
      <c r="R21" s="536"/>
      <c r="S21" s="536"/>
      <c r="T21" s="536"/>
      <c r="U21" s="536"/>
    </row>
    <row r="22" spans="1:21">
      <c r="A22" s="535" t="s">
        <v>33</v>
      </c>
      <c r="B22" s="536">
        <f t="shared" ref="B22:B36" si="0">J3</f>
        <v>6.0333499707536979E-2</v>
      </c>
      <c r="L22" s="534" t="s">
        <v>1043</v>
      </c>
      <c r="M22" s="536">
        <v>6.0895284223794317E-2</v>
      </c>
      <c r="N22" s="536" t="e">
        <v>#DIV/0!</v>
      </c>
      <c r="O22" s="536">
        <v>0.10640006259594319</v>
      </c>
      <c r="P22" s="536">
        <v>0.11267593109478666</v>
      </c>
      <c r="Q22" s="536">
        <v>4.9777337332067947E-2</v>
      </c>
      <c r="R22" s="536" t="e">
        <v>#DIV/0!</v>
      </c>
      <c r="S22" s="536" t="e">
        <v>#DIV/0!</v>
      </c>
      <c r="T22" s="536">
        <v>6.1104308022393854E-2</v>
      </c>
      <c r="U22" s="536">
        <v>6.1438943709457385E-2</v>
      </c>
    </row>
    <row r="23" spans="1:21">
      <c r="A23" s="535" t="s">
        <v>136</v>
      </c>
      <c r="B23" s="536">
        <f t="shared" si="0"/>
        <v>0.15857688810322793</v>
      </c>
      <c r="L23" s="534" t="s">
        <v>1047</v>
      </c>
      <c r="M23" s="536">
        <v>6.6248060521538407E-2</v>
      </c>
      <c r="N23" s="536">
        <v>8.2034139058360642E-2</v>
      </c>
      <c r="O23" s="536">
        <v>5.9048658221222017E-2</v>
      </c>
      <c r="P23" s="536">
        <v>0.10563579888687832</v>
      </c>
      <c r="Q23" s="536">
        <v>7.4938921121134164E-2</v>
      </c>
      <c r="R23" s="536" t="e">
        <v>#DIV/0!</v>
      </c>
      <c r="S23" s="536">
        <v>0.11934488745079103</v>
      </c>
      <c r="T23" s="536">
        <v>4.5218523987403711E-2</v>
      </c>
      <c r="U23" s="536">
        <v>6.2473120171514476E-2</v>
      </c>
    </row>
    <row r="24" spans="1:21">
      <c r="A24" s="535" t="s">
        <v>36</v>
      </c>
      <c r="B24" s="536">
        <f t="shared" si="0"/>
        <v>0.10063052328840123</v>
      </c>
    </row>
    <row r="25" spans="1:21">
      <c r="A25" s="535" t="s">
        <v>73</v>
      </c>
      <c r="B25" s="536">
        <f t="shared" si="0"/>
        <v>0.10121306429324493</v>
      </c>
    </row>
    <row r="26" spans="1:21">
      <c r="A26" s="535" t="s">
        <v>1042</v>
      </c>
      <c r="B26" s="536">
        <f t="shared" si="0"/>
        <v>8.4857359161553361E-2</v>
      </c>
      <c r="L26" s="534" t="s">
        <v>1045</v>
      </c>
      <c r="M26" s="534" t="s">
        <v>1046</v>
      </c>
    </row>
    <row r="27" spans="1:21">
      <c r="A27" s="535" t="s">
        <v>72</v>
      </c>
      <c r="B27" s="536">
        <f t="shared" si="0"/>
        <v>6.5880652855758184E-2</v>
      </c>
      <c r="L27" s="537" t="s">
        <v>126</v>
      </c>
      <c r="M27" s="536">
        <f t="shared" ref="M27:M44" si="1">U3</f>
        <v>0.11912757094877242</v>
      </c>
    </row>
    <row r="28" spans="1:21">
      <c r="A28" s="535" t="s">
        <v>40</v>
      </c>
      <c r="B28" s="536">
        <f t="shared" si="0"/>
        <v>4.488790885474285E-2</v>
      </c>
      <c r="L28" s="537" t="s">
        <v>33</v>
      </c>
      <c r="M28" s="536">
        <f t="shared" si="1"/>
        <v>5.7553497137182989E-2</v>
      </c>
    </row>
    <row r="29" spans="1:21">
      <c r="A29" s="535" t="s">
        <v>48</v>
      </c>
      <c r="B29" s="536">
        <f t="shared" si="0"/>
        <v>0.11475472372082689</v>
      </c>
      <c r="L29" s="537" t="s">
        <v>136</v>
      </c>
      <c r="M29" s="536">
        <f t="shared" si="1"/>
        <v>0.15363508687558552</v>
      </c>
    </row>
    <row r="30" spans="1:21">
      <c r="A30" s="535" t="s">
        <v>47</v>
      </c>
      <c r="B30" s="536">
        <f t="shared" si="0"/>
        <v>6.0740347664357479E-2</v>
      </c>
      <c r="L30" s="537" t="s">
        <v>36</v>
      </c>
      <c r="M30" s="536">
        <f t="shared" si="1"/>
        <v>0.10112771993265184</v>
      </c>
    </row>
    <row r="31" spans="1:21">
      <c r="A31" s="535" t="s">
        <v>39</v>
      </c>
      <c r="B31" s="536">
        <f t="shared" si="0"/>
        <v>5.5543944453126909E-2</v>
      </c>
      <c r="L31" s="537" t="s">
        <v>143</v>
      </c>
      <c r="M31" s="536">
        <f t="shared" si="1"/>
        <v>0.15939577353931841</v>
      </c>
    </row>
    <row r="32" spans="1:21">
      <c r="A32" s="535" t="s">
        <v>49</v>
      </c>
      <c r="B32" s="536">
        <f t="shared" si="0"/>
        <v>5.8044902866548315E-2</v>
      </c>
      <c r="L32" s="538" t="s">
        <v>37</v>
      </c>
      <c r="M32" s="536">
        <f t="shared" si="1"/>
        <v>5.0719417697461938E-2</v>
      </c>
    </row>
    <row r="33" spans="1:13">
      <c r="A33" s="535" t="s">
        <v>46</v>
      </c>
      <c r="B33" s="536">
        <f t="shared" si="0"/>
        <v>4.6991962961713624E-2</v>
      </c>
      <c r="L33" s="537" t="s">
        <v>39</v>
      </c>
      <c r="M33" s="536">
        <f t="shared" si="1"/>
        <v>5.0543096959071679E-2</v>
      </c>
    </row>
    <row r="34" spans="1:13">
      <c r="A34" s="535" t="s">
        <v>44</v>
      </c>
      <c r="B34" s="536">
        <f t="shared" si="0"/>
        <v>5.9994580728114859E-2</v>
      </c>
      <c r="L34" s="537" t="s">
        <v>40</v>
      </c>
      <c r="M34" s="536">
        <f t="shared" si="1"/>
        <v>4.4377161170176031E-2</v>
      </c>
    </row>
    <row r="35" spans="1:13">
      <c r="A35" s="534" t="s">
        <v>1043</v>
      </c>
      <c r="B35" s="536">
        <f t="shared" si="0"/>
        <v>6.0530845592768549E-2</v>
      </c>
      <c r="L35" s="537" t="s">
        <v>11</v>
      </c>
      <c r="M35" s="536">
        <f t="shared" si="1"/>
        <v>6.7033943441261151E-2</v>
      </c>
    </row>
    <row r="36" spans="1:13">
      <c r="A36" s="534" t="s">
        <v>1044</v>
      </c>
      <c r="B36" s="536">
        <f t="shared" si="0"/>
        <v>7.3417153174443472E-2</v>
      </c>
      <c r="L36" s="537" t="s">
        <v>73</v>
      </c>
      <c r="M36" s="536">
        <f t="shared" si="1"/>
        <v>9.3858169650404652E-2</v>
      </c>
    </row>
    <row r="37" spans="1:13">
      <c r="L37" s="537" t="s">
        <v>44</v>
      </c>
      <c r="M37" s="536">
        <f t="shared" si="1"/>
        <v>5.7962021881273883E-2</v>
      </c>
    </row>
    <row r="38" spans="1:13">
      <c r="L38" s="537" t="s">
        <v>46</v>
      </c>
      <c r="M38" s="536">
        <f t="shared" si="1"/>
        <v>4.7212983655408332E-2</v>
      </c>
    </row>
    <row r="39" spans="1:13">
      <c r="A39" s="534" t="s">
        <v>314</v>
      </c>
      <c r="B39" s="534" t="s">
        <v>1046</v>
      </c>
      <c r="L39" s="537" t="s">
        <v>47</v>
      </c>
      <c r="M39" s="536">
        <f t="shared" si="1"/>
        <v>7.6477976455540331E-2</v>
      </c>
    </row>
    <row r="40" spans="1:13">
      <c r="A40" s="535" t="s">
        <v>1034</v>
      </c>
      <c r="B40" s="536">
        <f>'[5]streams_Dec 2013'!B$16/'[5]streams_Dec 2013'!N$16</f>
        <v>6.8156363357436259E-2</v>
      </c>
      <c r="L40" s="537" t="s">
        <v>48</v>
      </c>
      <c r="M40" s="536">
        <f t="shared" si="1"/>
        <v>0.10321554124248193</v>
      </c>
    </row>
    <row r="41" spans="1:13">
      <c r="A41" s="535" t="s">
        <v>1035</v>
      </c>
      <c r="B41" s="536">
        <f>'[5]streams_Dec 2013'!C$16/'[5]streams_Dec 2013'!O$16</f>
        <v>6.5179962020122287E-2</v>
      </c>
      <c r="L41" s="537" t="s">
        <v>49</v>
      </c>
      <c r="M41" s="536">
        <f t="shared" si="1"/>
        <v>5.457090095539132E-2</v>
      </c>
    </row>
    <row r="42" spans="1:13">
      <c r="A42" s="535" t="s">
        <v>1036</v>
      </c>
      <c r="B42" s="536">
        <f>'[5]streams_Dec 2013'!D$16/'[5]streams_Dec 2013'!P$16</f>
        <v>5.4009825187303899E-2</v>
      </c>
      <c r="L42" s="537" t="s">
        <v>50</v>
      </c>
      <c r="M42" s="536">
        <f t="shared" si="1"/>
        <v>5.9248302266346739E-2</v>
      </c>
    </row>
    <row r="43" spans="1:13">
      <c r="A43" s="535" t="s">
        <v>1037</v>
      </c>
      <c r="B43" s="536">
        <f>'[5]streams_Dec 2013'!E$16/'[5]streams_Dec 2013'!Q$16</f>
        <v>0.10727370087222224</v>
      </c>
      <c r="L43" s="537" t="s">
        <v>72</v>
      </c>
      <c r="M43" s="536">
        <f t="shared" si="1"/>
        <v>5.7750822838495829E-2</v>
      </c>
    </row>
    <row r="44" spans="1:13">
      <c r="A44" s="535" t="s">
        <v>1038</v>
      </c>
      <c r="B44" s="536">
        <f>'[5]streams_Dec 2013'!F$16/'[5]streams_Dec 2013'!R$16</f>
        <v>7.7918443787366204E-2</v>
      </c>
      <c r="L44" s="537" t="s">
        <v>1042</v>
      </c>
      <c r="M44" s="536">
        <f t="shared" si="1"/>
        <v>8.3513985471450489E-2</v>
      </c>
    </row>
    <row r="45" spans="1:13">
      <c r="A45" s="535" t="s">
        <v>1039</v>
      </c>
      <c r="B45" s="536">
        <f>'[5]streams_Dec 2013'!G$16/'[5]streams_Dec 2013'!S$16</f>
        <v>7.4278994739092982E-2</v>
      </c>
      <c r="L45" s="534" t="s">
        <v>1043</v>
      </c>
      <c r="M45" s="536">
        <f t="shared" ref="M45:M46" si="2">U22</f>
        <v>6.1438943709457385E-2</v>
      </c>
    </row>
    <row r="46" spans="1:13">
      <c r="A46" s="539" t="s">
        <v>1040</v>
      </c>
      <c r="B46" s="536">
        <f>'[5]streams_Dec 2013'!H$16/'[5]streams_Dec 2013'!T$16</f>
        <v>0.12127676848579484</v>
      </c>
      <c r="L46" s="534" t="s">
        <v>1047</v>
      </c>
      <c r="M46" s="536">
        <f t="shared" si="2"/>
        <v>6.2473120171514476E-2</v>
      </c>
    </row>
    <row r="47" spans="1:13">
      <c r="A47" s="539" t="s">
        <v>1041</v>
      </c>
      <c r="B47" s="536">
        <f>'[5]streams_Dec 2013'!I$16/'[5]streams_Dec 2013'!U$16</f>
        <v>4.1473059543423084E-2</v>
      </c>
    </row>
    <row r="49" spans="12:13">
      <c r="L49" s="534" t="s">
        <v>314</v>
      </c>
      <c r="M49" s="534" t="s">
        <v>1046</v>
      </c>
    </row>
    <row r="50" spans="12:13">
      <c r="L50" s="535" t="s">
        <v>1034</v>
      </c>
      <c r="M50" s="536">
        <v>6.6248060521538407E-2</v>
      </c>
    </row>
    <row r="51" spans="12:13">
      <c r="L51" s="535" t="s">
        <v>1035</v>
      </c>
      <c r="M51" s="536">
        <v>8.2034139058360642E-2</v>
      </c>
    </row>
    <row r="52" spans="12:13">
      <c r="L52" s="535" t="s">
        <v>1036</v>
      </c>
      <c r="M52" s="536">
        <v>5.9048658221222017E-2</v>
      </c>
    </row>
    <row r="53" spans="12:13">
      <c r="L53" s="535" t="s">
        <v>1037</v>
      </c>
      <c r="M53" s="536">
        <v>0.10563579888687832</v>
      </c>
    </row>
    <row r="54" spans="12:13">
      <c r="L54" s="535" t="s">
        <v>1038</v>
      </c>
      <c r="M54" s="536">
        <v>7.4938921121134164E-2</v>
      </c>
    </row>
    <row r="55" spans="12:13">
      <c r="L55" s="535" t="s">
        <v>1039</v>
      </c>
      <c r="M55" s="536" t="e">
        <v>#DIV/0!</v>
      </c>
    </row>
    <row r="56" spans="12:13">
      <c r="L56" s="539" t="s">
        <v>1040</v>
      </c>
      <c r="M56" s="536">
        <v>0.11934488745079103</v>
      </c>
    </row>
    <row r="57" spans="12:13">
      <c r="L57" s="539" t="s">
        <v>1041</v>
      </c>
      <c r="M57" s="536">
        <v>4.5218523987403711E-2</v>
      </c>
    </row>
  </sheetData>
  <sortState ref="L4:U20">
    <sortCondition ref="L3"/>
  </sortState>
  <conditionalFormatting sqref="B22:B36 B40:B47 B3:J17 M3:U23 M27:M46">
    <cfRule type="cellIs" dxfId="4" priority="3" operator="greaterThan">
      <formula>0</formula>
    </cfRule>
  </conditionalFormatting>
  <conditionalFormatting sqref="M50:M57">
    <cfRule type="cellIs" dxfId="3" priority="1" operator="greaterThan">
      <formula>0</formula>
    </cfRule>
  </conditionalFormatting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92D050"/>
    <pageSetUpPr fitToPage="1"/>
  </sheetPr>
  <dimension ref="A1:J56"/>
  <sheetViews>
    <sheetView tabSelected="1" workbookViewId="0">
      <pane ySplit="2" topLeftCell="A3" activePane="bottomLeft" state="frozen"/>
      <selection pane="bottomLeft" activeCell="F7" sqref="F7"/>
    </sheetView>
  </sheetViews>
  <sheetFormatPr baseColWidth="10" defaultColWidth="8.83203125" defaultRowHeight="14" x14ac:dyDescent="0"/>
  <cols>
    <col min="1" max="1" width="20.83203125" style="533" bestFit="1" customWidth="1"/>
    <col min="2" max="2" width="15" style="533" bestFit="1" customWidth="1"/>
    <col min="3" max="3" width="8.83203125" style="533"/>
    <col min="4" max="4" width="9.5" style="533" bestFit="1" customWidth="1"/>
    <col min="5" max="5" width="8.83203125" style="533"/>
    <col min="6" max="6" width="13.33203125" style="533" bestFit="1" customWidth="1"/>
    <col min="7" max="7" width="8.83203125" style="533"/>
    <col min="8" max="8" width="7.6640625" style="533" bestFit="1" customWidth="1"/>
    <col min="9" max="12" width="8.83203125" style="533"/>
    <col min="13" max="13" width="24.83203125" style="533" bestFit="1" customWidth="1"/>
    <col min="14" max="16384" width="8.83203125" style="533"/>
  </cols>
  <sheetData>
    <row r="1" spans="1:10">
      <c r="A1" s="532" t="s">
        <v>1048</v>
      </c>
    </row>
    <row r="2" spans="1:10">
      <c r="A2" s="534" t="s">
        <v>1033</v>
      </c>
      <c r="B2" s="540" t="s">
        <v>1034</v>
      </c>
      <c r="C2" s="541" t="s">
        <v>1035</v>
      </c>
      <c r="D2" s="541" t="s">
        <v>1036</v>
      </c>
      <c r="E2" s="540" t="s">
        <v>1037</v>
      </c>
      <c r="F2" s="540" t="s">
        <v>1038</v>
      </c>
      <c r="G2" s="542" t="s">
        <v>1039</v>
      </c>
      <c r="H2" s="540" t="s">
        <v>1040</v>
      </c>
      <c r="I2" s="540" t="s">
        <v>1041</v>
      </c>
      <c r="J2" s="534" t="s">
        <v>21</v>
      </c>
    </row>
    <row r="3" spans="1:10">
      <c r="A3" s="537" t="s">
        <v>126</v>
      </c>
      <c r="B3" s="536">
        <v>0.11095539495885882</v>
      </c>
      <c r="C3" s="536">
        <v>0.15673683393343318</v>
      </c>
      <c r="D3" s="536" t="e">
        <v>#DIV/0!</v>
      </c>
      <c r="E3" s="536">
        <v>0.14110721196418616</v>
      </c>
      <c r="F3" s="536" t="e">
        <v>#DIV/0!</v>
      </c>
      <c r="G3" s="536">
        <v>0.11428948153699887</v>
      </c>
      <c r="H3" s="536" t="e">
        <v>#DIV/0!</v>
      </c>
      <c r="I3" s="536" t="e">
        <v>#DIV/0!</v>
      </c>
      <c r="J3" s="536">
        <v>0.11861122184745203</v>
      </c>
    </row>
    <row r="4" spans="1:10">
      <c r="A4" s="537" t="s">
        <v>33</v>
      </c>
      <c r="B4" s="536">
        <v>5.2162107809329873E-2</v>
      </c>
      <c r="C4" s="536">
        <v>6.8452948051820492E-2</v>
      </c>
      <c r="D4" s="536" t="e">
        <v>#DIV/0!</v>
      </c>
      <c r="E4" s="536">
        <v>5.9372923951814031E-2</v>
      </c>
      <c r="F4" s="536">
        <v>7.8355922567412986E-2</v>
      </c>
      <c r="G4" s="536">
        <v>4.9775424485308625E-2</v>
      </c>
      <c r="H4" s="536" t="e">
        <v>#DIV/0!</v>
      </c>
      <c r="I4" s="536" t="e">
        <v>#DIV/0!</v>
      </c>
      <c r="J4" s="536">
        <v>5.3499488555332958E-2</v>
      </c>
    </row>
    <row r="5" spans="1:10">
      <c r="A5" s="537" t="s">
        <v>136</v>
      </c>
      <c r="B5" s="536">
        <v>8.012220360697743E-2</v>
      </c>
      <c r="C5" s="536">
        <v>0.16618687234008508</v>
      </c>
      <c r="D5" s="536">
        <v>0.13418246238087569</v>
      </c>
      <c r="E5" s="536">
        <v>7.0434862952027499E-2</v>
      </c>
      <c r="F5" s="536" t="e">
        <v>#DIV/0!</v>
      </c>
      <c r="G5" s="536">
        <v>9.4907397317595163E-2</v>
      </c>
      <c r="H5" s="536" t="e">
        <v>#DIV/0!</v>
      </c>
      <c r="I5" s="536" t="e">
        <v>#DIV/0!</v>
      </c>
      <c r="J5" s="536">
        <v>0.14557638266452833</v>
      </c>
    </row>
    <row r="6" spans="1:10">
      <c r="A6" s="537" t="s">
        <v>36</v>
      </c>
      <c r="B6" s="536" t="e">
        <v>#DIV/0!</v>
      </c>
      <c r="C6" s="536">
        <v>9.8174552993748387E-2</v>
      </c>
      <c r="D6" s="536" t="e">
        <v>#DIV/0!</v>
      </c>
      <c r="E6" s="536">
        <v>7.3996146186379924E-2</v>
      </c>
      <c r="F6" s="536" t="e">
        <v>#DIV/0!</v>
      </c>
      <c r="G6" s="536">
        <v>5.31557422542163E-2</v>
      </c>
      <c r="H6" s="536" t="e">
        <v>#DIV/0!</v>
      </c>
      <c r="I6" s="536" t="e">
        <v>#DIV/0!</v>
      </c>
      <c r="J6" s="536">
        <v>7.4709731828637688E-2</v>
      </c>
    </row>
    <row r="7" spans="1:10">
      <c r="A7" s="537" t="s">
        <v>143</v>
      </c>
      <c r="B7" s="536">
        <v>0.10796082559957462</v>
      </c>
      <c r="C7" s="536">
        <v>0.19210065390546016</v>
      </c>
      <c r="D7" s="536">
        <v>0.1730591259640103</v>
      </c>
      <c r="E7" s="536">
        <v>0.14940318897520019</v>
      </c>
      <c r="F7" s="536" t="e">
        <v>#DIV/0!</v>
      </c>
      <c r="G7" s="536" t="e">
        <v>#DIV/0!</v>
      </c>
      <c r="H7" s="536" t="e">
        <v>#DIV/0!</v>
      </c>
      <c r="I7" s="536" t="e">
        <v>#DIV/0!</v>
      </c>
      <c r="J7" s="536">
        <v>0.17264981491590614</v>
      </c>
    </row>
    <row r="8" spans="1:10">
      <c r="A8" s="538" t="s">
        <v>37</v>
      </c>
      <c r="B8" s="536">
        <v>4.2810738404396587E-2</v>
      </c>
      <c r="C8" s="536">
        <v>0.12865091272478493</v>
      </c>
      <c r="D8" s="536">
        <v>0.63871119017641875</v>
      </c>
      <c r="E8" s="536">
        <v>0.16216382840357893</v>
      </c>
      <c r="F8" s="536" t="e">
        <v>#DIV/0!</v>
      </c>
      <c r="G8" s="536">
        <v>6.3447345638562982E-2</v>
      </c>
      <c r="H8" s="536" t="e">
        <v>#DIV/0!</v>
      </c>
      <c r="I8" s="536">
        <v>4.3488422821081368E-2</v>
      </c>
      <c r="J8" s="536">
        <v>5.1510758338083509E-2</v>
      </c>
    </row>
    <row r="9" spans="1:10">
      <c r="A9" s="537" t="s">
        <v>39</v>
      </c>
      <c r="B9" s="536">
        <v>5.3356664241991605E-2</v>
      </c>
      <c r="C9" s="536">
        <v>5.3739899421564187E-2</v>
      </c>
      <c r="D9" s="536">
        <v>3.8698460009935418E-2</v>
      </c>
      <c r="E9" s="536">
        <v>7.7544813773009744E-2</v>
      </c>
      <c r="F9" s="536">
        <v>4.3352124588477446E-2</v>
      </c>
      <c r="G9" s="536">
        <v>4.0067100630093035E-2</v>
      </c>
      <c r="H9" s="536" t="e">
        <v>#DIV/0!</v>
      </c>
      <c r="I9" s="536" t="e">
        <v>#DIV/0!</v>
      </c>
      <c r="J9" s="536">
        <v>5.3312043287838652E-2</v>
      </c>
    </row>
    <row r="10" spans="1:10">
      <c r="A10" s="537" t="s">
        <v>40</v>
      </c>
      <c r="B10" s="536">
        <v>4.0104120759025183E-2</v>
      </c>
      <c r="C10" s="536">
        <v>6.0695680762387648E-2</v>
      </c>
      <c r="D10" s="536">
        <v>3.9042576509594168E-2</v>
      </c>
      <c r="E10" s="536">
        <v>7.277908319497188E-2</v>
      </c>
      <c r="F10" s="536">
        <v>4.848205547759718E-2</v>
      </c>
      <c r="G10" s="536">
        <v>4.3205458254306571E-2</v>
      </c>
      <c r="H10" s="536" t="e">
        <v>#DIV/0!</v>
      </c>
      <c r="I10" s="536">
        <v>4.8329214605253953E-2</v>
      </c>
      <c r="J10" s="536">
        <v>4.0916734007542255E-2</v>
      </c>
    </row>
    <row r="11" spans="1:10">
      <c r="A11" s="537" t="s">
        <v>11</v>
      </c>
      <c r="B11" s="536">
        <v>6.4926288450992325E-2</v>
      </c>
      <c r="C11" s="536">
        <v>7.6523043648350247E-2</v>
      </c>
      <c r="D11" s="536">
        <v>7.0779735414253489E-2</v>
      </c>
      <c r="E11" s="536">
        <v>0.1578482624469712</v>
      </c>
      <c r="F11" s="536">
        <v>6.6183440673688851E-2</v>
      </c>
      <c r="G11" s="536">
        <v>5.8898018284233786E-2</v>
      </c>
      <c r="H11" s="536" t="e">
        <v>#DIV/0!</v>
      </c>
      <c r="I11" s="536" t="e">
        <v>#DIV/0!</v>
      </c>
      <c r="J11" s="536">
        <v>6.6295284570487292E-2</v>
      </c>
    </row>
    <row r="12" spans="1:10">
      <c r="A12" s="537" t="s">
        <v>73</v>
      </c>
      <c r="B12" s="536">
        <v>8.8381523119226979E-2</v>
      </c>
      <c r="C12" s="536">
        <v>0.10524678664721496</v>
      </c>
      <c r="D12" s="536">
        <v>8.0882352941176475E-2</v>
      </c>
      <c r="E12" s="536">
        <v>4.9269976104957126E-2</v>
      </c>
      <c r="F12" s="536">
        <v>7.4876742849989394E-2</v>
      </c>
      <c r="G12" s="536">
        <v>7.5157193239008296E-2</v>
      </c>
      <c r="H12" s="536" t="e">
        <v>#DIV/0!</v>
      </c>
      <c r="I12" s="536" t="e">
        <v>#DIV/0!</v>
      </c>
      <c r="J12" s="536">
        <v>8.8779941109933716E-2</v>
      </c>
    </row>
    <row r="13" spans="1:10">
      <c r="A13" s="537" t="s">
        <v>44</v>
      </c>
      <c r="B13" s="536">
        <v>5.5733410394161617E-2</v>
      </c>
      <c r="C13" s="536">
        <v>6.5846805302576625E-2</v>
      </c>
      <c r="D13" s="536">
        <v>7.151348879743942E-2</v>
      </c>
      <c r="E13" s="536">
        <v>0.11060835950237427</v>
      </c>
      <c r="F13" s="536">
        <v>7.0181207804202922E-2</v>
      </c>
      <c r="G13" s="536">
        <v>5.7570163056740897E-2</v>
      </c>
      <c r="H13" s="536" t="e">
        <v>#DIV/0!</v>
      </c>
      <c r="I13" s="536" t="e">
        <v>#DIV/0!</v>
      </c>
      <c r="J13" s="536">
        <v>5.6317071859740851E-2</v>
      </c>
    </row>
    <row r="14" spans="1:10">
      <c r="A14" s="537" t="s">
        <v>46</v>
      </c>
      <c r="B14" s="536">
        <v>4.5025447892253483E-2</v>
      </c>
      <c r="C14" s="536">
        <v>6.7279576890290294E-2</v>
      </c>
      <c r="D14" s="536">
        <v>6.2613543040589303E-2</v>
      </c>
      <c r="E14" s="536">
        <v>6.1234499352211737E-2</v>
      </c>
      <c r="F14" s="536" t="e">
        <v>#DIV/0!</v>
      </c>
      <c r="G14" s="536">
        <v>3.8103580422643162E-2</v>
      </c>
      <c r="H14" s="536" t="e">
        <v>#DIV/0!</v>
      </c>
      <c r="I14" s="536">
        <v>4.1342926499623539E-2</v>
      </c>
      <c r="J14" s="536">
        <v>4.4773972496035368E-2</v>
      </c>
    </row>
    <row r="15" spans="1:10">
      <c r="A15" s="537" t="s">
        <v>47</v>
      </c>
      <c r="B15" s="536">
        <v>7.266625735722744E-2</v>
      </c>
      <c r="C15" s="536">
        <v>3.4221023726440918E-2</v>
      </c>
      <c r="D15" s="536">
        <v>6.1930357560177611E-2</v>
      </c>
      <c r="E15" s="536">
        <v>0.10650177740467826</v>
      </c>
      <c r="F15" s="536">
        <v>9.3750556475595201E-2</v>
      </c>
      <c r="G15" s="536">
        <v>8.3295193895548791E-2</v>
      </c>
      <c r="H15" s="536" t="e">
        <v>#DIV/0!</v>
      </c>
      <c r="I15" s="536" t="e">
        <v>#DIV/0!</v>
      </c>
      <c r="J15" s="536">
        <v>7.3105558864124731E-2</v>
      </c>
    </row>
    <row r="16" spans="1:10">
      <c r="A16" s="537" t="s">
        <v>48</v>
      </c>
      <c r="B16" s="536">
        <v>0.10126568522417137</v>
      </c>
      <c r="C16" s="536">
        <v>0.12906446901658325</v>
      </c>
      <c r="D16" s="536">
        <v>8.285568912565057E-2</v>
      </c>
      <c r="E16" s="536">
        <v>0.13592934010296015</v>
      </c>
      <c r="F16" s="536">
        <v>9.5160631728806955E-2</v>
      </c>
      <c r="G16" s="536">
        <v>8.1880531762958661E-2</v>
      </c>
      <c r="H16" s="536" t="e">
        <v>#DIV/0!</v>
      </c>
      <c r="I16" s="536" t="e">
        <v>#DIV/0!</v>
      </c>
      <c r="J16" s="536">
        <v>0.10159574185216004</v>
      </c>
    </row>
    <row r="17" spans="1:10">
      <c r="A17" s="537" t="s">
        <v>49</v>
      </c>
      <c r="B17" s="536">
        <v>5.155749821229462E-2</v>
      </c>
      <c r="C17" s="536">
        <v>7.01351344038013E-2</v>
      </c>
      <c r="D17" s="536">
        <v>8.8422280548264801E-2</v>
      </c>
      <c r="E17" s="536">
        <v>5.3107502799552071E-2</v>
      </c>
      <c r="F17" s="536" t="e">
        <v>#DIV/0!</v>
      </c>
      <c r="G17" s="536">
        <v>6.0313858952543015E-2</v>
      </c>
      <c r="H17" s="536" t="e">
        <v>#DIV/0!</v>
      </c>
      <c r="I17" s="536">
        <v>5.6652385751821563E-2</v>
      </c>
      <c r="J17" s="536">
        <v>5.1587219598939915E-2</v>
      </c>
    </row>
    <row r="18" spans="1:10">
      <c r="A18" s="537" t="s">
        <v>50</v>
      </c>
      <c r="B18" s="536">
        <v>5.6372664216679705E-2</v>
      </c>
      <c r="C18" s="536">
        <v>7.979149709173565E-2</v>
      </c>
      <c r="D18" s="536">
        <v>6.13239460442302E-2</v>
      </c>
      <c r="E18" s="536">
        <v>0.11615412004272667</v>
      </c>
      <c r="F18" s="536">
        <v>5.6831765956787891E-2</v>
      </c>
      <c r="G18" s="536">
        <v>5.2601528042549819E-2</v>
      </c>
      <c r="H18" s="536" t="e">
        <v>#DIV/0!</v>
      </c>
      <c r="I18" s="536" t="e">
        <v>#DIV/0!</v>
      </c>
      <c r="J18" s="536">
        <v>5.7674581923711776E-2</v>
      </c>
    </row>
    <row r="19" spans="1:10">
      <c r="A19" s="537" t="s">
        <v>72</v>
      </c>
      <c r="B19" s="536">
        <v>5.4089367573297555E-2</v>
      </c>
      <c r="C19" s="536">
        <v>6.4091733440438711E-2</v>
      </c>
      <c r="D19" s="536">
        <v>6.6996592530359181E-2</v>
      </c>
      <c r="E19" s="536">
        <v>4.7050059883555907E-2</v>
      </c>
      <c r="F19" s="536">
        <v>5.3175748065694486E-2</v>
      </c>
      <c r="G19" s="536">
        <v>4.5820306243464858E-2</v>
      </c>
      <c r="H19" s="536" t="e">
        <v>#DIV/0!</v>
      </c>
      <c r="I19" s="536" t="e">
        <v>#DIV/0!</v>
      </c>
      <c r="J19" s="536">
        <v>5.4950854818708213E-2</v>
      </c>
    </row>
    <row r="20" spans="1:10">
      <c r="A20" s="537" t="s">
        <v>1042</v>
      </c>
      <c r="B20" s="536">
        <v>5.5664448748138216E-2</v>
      </c>
      <c r="C20" s="536" t="e">
        <v>#DIV/0!</v>
      </c>
      <c r="D20" s="536">
        <v>5.6297698212892627E-2</v>
      </c>
      <c r="E20" s="536">
        <v>7.2985987204741337E-2</v>
      </c>
      <c r="F20" s="536">
        <v>5.338214417198469E-2</v>
      </c>
      <c r="G20" s="536">
        <v>4.7505720557685982E-2</v>
      </c>
      <c r="H20" s="536">
        <v>0.10687683256437469</v>
      </c>
      <c r="I20" s="536" t="e">
        <v>#DIV/0!</v>
      </c>
      <c r="J20" s="536">
        <v>6.2902170308442681E-2</v>
      </c>
    </row>
    <row r="21" spans="1:10">
      <c r="A21" s="534"/>
      <c r="B21" s="536"/>
      <c r="C21" s="536"/>
      <c r="D21" s="536"/>
      <c r="E21" s="536"/>
      <c r="F21" s="536"/>
      <c r="G21" s="536"/>
      <c r="H21" s="536"/>
      <c r="I21" s="536"/>
      <c r="J21" s="536">
        <v>0</v>
      </c>
    </row>
    <row r="22" spans="1:10">
      <c r="A22" s="534" t="s">
        <v>1053</v>
      </c>
      <c r="B22" s="536">
        <v>5.7066672205047513E-2</v>
      </c>
      <c r="C22" s="536">
        <v>7.046076251212112E-2</v>
      </c>
      <c r="D22" s="536">
        <v>5.5209921333144667E-2</v>
      </c>
      <c r="E22" s="536">
        <v>7.0994446322160107E-2</v>
      </c>
      <c r="F22" s="536">
        <v>5.4391963050186808E-2</v>
      </c>
      <c r="G22" s="536">
        <v>4.880422278141161E-2</v>
      </c>
      <c r="H22" s="536">
        <v>0.10687683256437469</v>
      </c>
      <c r="I22" s="536">
        <v>4.3008317644272633E-2</v>
      </c>
      <c r="J22" s="536">
        <v>6.2570257460870443E-2</v>
      </c>
    </row>
    <row r="25" spans="1:10">
      <c r="A25" s="534" t="s">
        <v>1045</v>
      </c>
      <c r="B25" s="534" t="s">
        <v>1046</v>
      </c>
    </row>
    <row r="26" spans="1:10">
      <c r="A26" s="537" t="s">
        <v>126</v>
      </c>
      <c r="B26" s="536">
        <f>J3</f>
        <v>0.11861122184745203</v>
      </c>
    </row>
    <row r="27" spans="1:10">
      <c r="A27" s="537" t="s">
        <v>33</v>
      </c>
      <c r="B27" s="536">
        <f t="shared" ref="B27:B45" si="0">J4</f>
        <v>5.3499488555332958E-2</v>
      </c>
    </row>
    <row r="28" spans="1:10">
      <c r="A28" s="537" t="s">
        <v>136</v>
      </c>
      <c r="B28" s="536">
        <f t="shared" si="0"/>
        <v>0.14557638266452833</v>
      </c>
    </row>
    <row r="29" spans="1:10">
      <c r="A29" s="537" t="s">
        <v>36</v>
      </c>
      <c r="B29" s="536">
        <f t="shared" si="0"/>
        <v>7.4709731828637688E-2</v>
      </c>
      <c r="F29" s="986" t="s">
        <v>1049</v>
      </c>
      <c r="G29" s="987"/>
    </row>
    <row r="30" spans="1:10">
      <c r="A30" s="537" t="s">
        <v>143</v>
      </c>
      <c r="B30" s="536">
        <f t="shared" si="0"/>
        <v>0.17264981491590614</v>
      </c>
      <c r="F30" s="988" t="s">
        <v>1050</v>
      </c>
      <c r="G30" s="989"/>
    </row>
    <row r="31" spans="1:10">
      <c r="A31" s="538" t="s">
        <v>37</v>
      </c>
      <c r="B31" s="536">
        <f t="shared" si="0"/>
        <v>5.1510758338083509E-2</v>
      </c>
      <c r="F31" s="990" t="s">
        <v>1051</v>
      </c>
      <c r="G31" s="991"/>
    </row>
    <row r="32" spans="1:10">
      <c r="A32" s="537" t="s">
        <v>39</v>
      </c>
      <c r="B32" s="536">
        <f t="shared" si="0"/>
        <v>5.3312043287838652E-2</v>
      </c>
      <c r="F32" s="992" t="s">
        <v>1052</v>
      </c>
      <c r="G32" s="993"/>
    </row>
    <row r="33" spans="1:2">
      <c r="A33" s="537" t="s">
        <v>40</v>
      </c>
      <c r="B33" s="536">
        <f t="shared" si="0"/>
        <v>4.0916734007542255E-2</v>
      </c>
    </row>
    <row r="34" spans="1:2">
      <c r="A34" s="537" t="s">
        <v>11</v>
      </c>
      <c r="B34" s="536">
        <f t="shared" si="0"/>
        <v>6.6295284570487292E-2</v>
      </c>
    </row>
    <row r="35" spans="1:2">
      <c r="A35" s="537" t="s">
        <v>73</v>
      </c>
      <c r="B35" s="536">
        <f t="shared" si="0"/>
        <v>8.8779941109933716E-2</v>
      </c>
    </row>
    <row r="36" spans="1:2">
      <c r="A36" s="537" t="s">
        <v>44</v>
      </c>
      <c r="B36" s="536">
        <f t="shared" si="0"/>
        <v>5.6317071859740851E-2</v>
      </c>
    </row>
    <row r="37" spans="1:2">
      <c r="A37" s="537" t="s">
        <v>46</v>
      </c>
      <c r="B37" s="536">
        <f t="shared" si="0"/>
        <v>4.4773972496035368E-2</v>
      </c>
    </row>
    <row r="38" spans="1:2">
      <c r="A38" s="537" t="s">
        <v>47</v>
      </c>
      <c r="B38" s="536">
        <f t="shared" si="0"/>
        <v>7.3105558864124731E-2</v>
      </c>
    </row>
    <row r="39" spans="1:2">
      <c r="A39" s="537" t="s">
        <v>48</v>
      </c>
      <c r="B39" s="536">
        <f t="shared" si="0"/>
        <v>0.10159574185216004</v>
      </c>
    </row>
    <row r="40" spans="1:2">
      <c r="A40" s="537" t="s">
        <v>49</v>
      </c>
      <c r="B40" s="536">
        <f t="shared" si="0"/>
        <v>5.1587219598939915E-2</v>
      </c>
    </row>
    <row r="41" spans="1:2">
      <c r="A41" s="537" t="s">
        <v>50</v>
      </c>
      <c r="B41" s="536">
        <f t="shared" si="0"/>
        <v>5.7674581923711776E-2</v>
      </c>
    </row>
    <row r="42" spans="1:2">
      <c r="A42" s="537" t="s">
        <v>72</v>
      </c>
      <c r="B42" s="536">
        <f t="shared" si="0"/>
        <v>5.4950854818708213E-2</v>
      </c>
    </row>
    <row r="43" spans="1:2">
      <c r="A43" s="537" t="s">
        <v>1042</v>
      </c>
      <c r="B43" s="536">
        <f t="shared" si="0"/>
        <v>6.2902170308442681E-2</v>
      </c>
    </row>
    <row r="44" spans="1:2">
      <c r="A44" s="534"/>
      <c r="B44" s="536"/>
    </row>
    <row r="45" spans="1:2">
      <c r="A45" s="534" t="s">
        <v>1047</v>
      </c>
      <c r="B45" s="536">
        <f t="shared" si="0"/>
        <v>6.2570257460870443E-2</v>
      </c>
    </row>
    <row r="48" spans="1:2">
      <c r="A48" s="534" t="s">
        <v>314</v>
      </c>
      <c r="B48" s="534" t="s">
        <v>1046</v>
      </c>
    </row>
    <row r="49" spans="1:2">
      <c r="A49" s="535" t="s">
        <v>1034</v>
      </c>
      <c r="B49" s="536">
        <v>5.7066672205047513E-2</v>
      </c>
    </row>
    <row r="50" spans="1:2">
      <c r="A50" s="535" t="s">
        <v>1035</v>
      </c>
      <c r="B50" s="536">
        <v>7.046076251212112E-2</v>
      </c>
    </row>
    <row r="51" spans="1:2">
      <c r="A51" s="535" t="s">
        <v>1036</v>
      </c>
      <c r="B51" s="536">
        <v>5.5209921333144667E-2</v>
      </c>
    </row>
    <row r="52" spans="1:2">
      <c r="A52" s="535" t="s">
        <v>1037</v>
      </c>
      <c r="B52" s="536">
        <v>7.0994446322160107E-2</v>
      </c>
    </row>
    <row r="53" spans="1:2">
      <c r="A53" s="535" t="s">
        <v>1038</v>
      </c>
      <c r="B53" s="536">
        <v>5.4391963050186808E-2</v>
      </c>
    </row>
    <row r="54" spans="1:2">
      <c r="A54" s="535" t="s">
        <v>1039</v>
      </c>
      <c r="B54" s="536">
        <v>4.880422278141161E-2</v>
      </c>
    </row>
    <row r="55" spans="1:2">
      <c r="A55" s="539" t="s">
        <v>1040</v>
      </c>
      <c r="B55" s="536">
        <v>0.10687683256437469</v>
      </c>
    </row>
    <row r="56" spans="1:2">
      <c r="A56" s="539" t="s">
        <v>1041</v>
      </c>
      <c r="B56" s="536">
        <v>4.3008317644272633E-2</v>
      </c>
    </row>
  </sheetData>
  <mergeCells count="4">
    <mergeCell ref="F29:G29"/>
    <mergeCell ref="F30:G30"/>
    <mergeCell ref="F31:G31"/>
    <mergeCell ref="F32:G32"/>
  </mergeCells>
  <phoneticPr fontId="19" type="noConversion"/>
  <conditionalFormatting sqref="B3:J22">
    <cfRule type="cellIs" dxfId="2" priority="3" operator="greaterThan">
      <formula>0</formula>
    </cfRule>
  </conditionalFormatting>
  <conditionalFormatting sqref="B26:B45">
    <cfRule type="cellIs" dxfId="1" priority="2" operator="greaterThan">
      <formula>0</formula>
    </cfRule>
  </conditionalFormatting>
  <conditionalFormatting sqref="B49:B56">
    <cfRule type="cellIs" dxfId="0" priority="1" operator="greaterThan">
      <formula>0</formula>
    </cfRule>
  </conditionalFormatting>
  <pageMargins left="0.7" right="0.7" top="0.75" bottom="0.75" header="0.3" footer="0.3"/>
  <pageSetup scale="76" orientation="portrait"/>
  <extLst>
    <ext xmlns:mx="http://schemas.microsoft.com/office/mac/excel/2008/main" uri="{64002731-A6B0-56B0-2670-7721B7C09600}">
      <mx:PLV Mode="0" OnePage="0" WScale="10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FFC000"/>
  </sheetPr>
  <dimension ref="A1:AB136"/>
  <sheetViews>
    <sheetView workbookViewId="0">
      <pane ySplit="2" topLeftCell="A3" activePane="bottomLeft" state="frozen"/>
      <selection pane="bottomLeft" activeCell="Y13" sqref="Y13"/>
    </sheetView>
  </sheetViews>
  <sheetFormatPr baseColWidth="10" defaultColWidth="8.83203125" defaultRowHeight="14" x14ac:dyDescent="0"/>
  <cols>
    <col min="1" max="1" width="15.6640625" bestFit="1" customWidth="1"/>
    <col min="2" max="2" width="14" bestFit="1" customWidth="1"/>
    <col min="3" max="4" width="11.5" customWidth="1"/>
    <col min="5" max="7" width="11.33203125" customWidth="1"/>
    <col min="8" max="8" width="12.5" bestFit="1" customWidth="1"/>
    <col min="9" max="9" width="15" bestFit="1" customWidth="1"/>
    <col min="10" max="10" width="12.33203125" bestFit="1" customWidth="1"/>
    <col min="11" max="11" width="10.33203125" bestFit="1" customWidth="1"/>
    <col min="12" max="12" width="13.5" style="73" hidden="1" customWidth="1"/>
    <col min="13" max="14" width="12.33203125" hidden="1" customWidth="1"/>
    <col min="15" max="15" width="11.5" hidden="1" customWidth="1"/>
    <col min="16" max="16" width="10.33203125" hidden="1" customWidth="1"/>
    <col min="17" max="17" width="11.1640625" bestFit="1" customWidth="1"/>
    <col min="18" max="18" width="11.33203125" style="201" hidden="1" customWidth="1"/>
    <col min="19" max="19" width="13.5" style="151" hidden="1" customWidth="1"/>
    <col min="20" max="21" width="14" hidden="1" customWidth="1"/>
    <col min="22" max="22" width="12" hidden="1" customWidth="1"/>
    <col min="23" max="23" width="19" bestFit="1" customWidth="1"/>
    <col min="24" max="24" width="9.6640625" bestFit="1" customWidth="1"/>
    <col min="25" max="25" width="10.6640625" bestFit="1" customWidth="1"/>
  </cols>
  <sheetData>
    <row r="1" spans="1:28" ht="15.75" customHeight="1" thickBot="1">
      <c r="A1" s="942" t="s">
        <v>986</v>
      </c>
      <c r="B1" s="943"/>
      <c r="C1" s="943"/>
      <c r="D1" s="943"/>
      <c r="E1" s="943"/>
      <c r="F1" s="943"/>
      <c r="G1" s="943"/>
      <c r="H1" s="943"/>
      <c r="I1" s="943"/>
      <c r="J1" s="943"/>
      <c r="K1" s="944"/>
      <c r="L1" s="249"/>
      <c r="M1" s="942" t="s">
        <v>724</v>
      </c>
      <c r="N1" s="943"/>
      <c r="O1" s="943"/>
      <c r="P1" s="944"/>
      <c r="W1" s="54" t="s">
        <v>756</v>
      </c>
      <c r="X1" s="301" t="s">
        <v>757</v>
      </c>
      <c r="Y1" s="301"/>
      <c r="Z1" s="301"/>
      <c r="AA1" s="301"/>
      <c r="AB1" s="301"/>
    </row>
    <row r="2" spans="1:28" s="1" customFormat="1" ht="34" thickBot="1">
      <c r="A2" s="65" t="s">
        <v>0</v>
      </c>
      <c r="B2" s="66" t="s">
        <v>1</v>
      </c>
      <c r="C2" s="66" t="s">
        <v>2</v>
      </c>
      <c r="D2" s="66" t="s">
        <v>3</v>
      </c>
      <c r="E2" s="66" t="s">
        <v>4</v>
      </c>
      <c r="F2" s="66" t="s">
        <v>5</v>
      </c>
      <c r="G2" s="66" t="s">
        <v>6</v>
      </c>
      <c r="H2" s="68" t="s">
        <v>7</v>
      </c>
      <c r="I2" s="95" t="s">
        <v>82</v>
      </c>
      <c r="J2" s="66" t="s">
        <v>80</v>
      </c>
      <c r="K2" s="67" t="s">
        <v>81</v>
      </c>
      <c r="L2" s="250" t="s">
        <v>733</v>
      </c>
      <c r="M2" s="138" t="s">
        <v>730</v>
      </c>
      <c r="N2" s="139" t="s">
        <v>731</v>
      </c>
      <c r="O2" s="139" t="s">
        <v>732</v>
      </c>
      <c r="P2" s="140" t="s">
        <v>734</v>
      </c>
      <c r="R2" s="206"/>
      <c r="S2" s="152"/>
    </row>
    <row r="3" spans="1:28" s="42" customFormat="1" ht="15" customHeight="1">
      <c r="A3" s="57" t="s">
        <v>8</v>
      </c>
      <c r="B3" s="58"/>
      <c r="C3" s="58"/>
      <c r="D3" s="58"/>
      <c r="E3" s="59"/>
      <c r="F3" s="60"/>
      <c r="G3" s="61"/>
      <c r="H3" s="62"/>
      <c r="I3" s="156"/>
      <c r="J3" s="63"/>
      <c r="K3" s="108"/>
      <c r="L3" s="251"/>
      <c r="M3" s="75"/>
      <c r="N3" s="76"/>
      <c r="O3" s="76"/>
      <c r="P3" s="77"/>
      <c r="R3" s="207"/>
      <c r="S3" s="153"/>
    </row>
    <row r="4" spans="1:28" s="142" customFormat="1">
      <c r="A4" s="211" t="s">
        <v>9</v>
      </c>
      <c r="B4" s="215">
        <f>'Orch iTunes data'!B178</f>
        <v>490239.294215</v>
      </c>
      <c r="C4" s="216">
        <f>'Orch iTunes data'!H178</f>
        <v>468166.737349</v>
      </c>
      <c r="D4" s="216">
        <f>'Orch iTunes data'!N178</f>
        <v>0</v>
      </c>
      <c r="E4" s="216">
        <f>'Orch iTunes data'!T178</f>
        <v>0</v>
      </c>
      <c r="F4" s="216">
        <f>'Orch iTunes data'!Z178</f>
        <v>0</v>
      </c>
      <c r="G4" s="216">
        <f>SUM(B4:F4)</f>
        <v>958406.03156400006</v>
      </c>
      <c r="H4" s="218">
        <f>IFERROR((((B4+C4+D4+E4+F4))/COUNTIF(B4:F4, "&gt;0")*4),0)</f>
        <v>1916812.0631280001</v>
      </c>
      <c r="I4" s="302">
        <f>SUM(I5:I7)</f>
        <v>3052119.3405237161</v>
      </c>
      <c r="J4" s="219">
        <f>H4-I4</f>
        <v>-1135307.2773957159</v>
      </c>
      <c r="K4" s="220">
        <f t="shared" ref="K4:K81" si="0">J4/I4</f>
        <v>-0.37197342263848288</v>
      </c>
      <c r="L4" s="252">
        <v>4694321.4587085396</v>
      </c>
      <c r="M4" s="245">
        <f>L4+H4</f>
        <v>6611133.5218365397</v>
      </c>
      <c r="N4" s="218">
        <f>SUM(N5:N7)</f>
        <v>7370461.3527529621</v>
      </c>
      <c r="O4" s="219">
        <f t="shared" ref="O4:O35" si="1">M4-N4</f>
        <v>-759327.83091642242</v>
      </c>
      <c r="P4" s="220">
        <f t="shared" ref="P4:P81" si="2">O4/N4</f>
        <v>-0.10302310731645092</v>
      </c>
      <c r="Q4" s="247"/>
      <c r="R4" s="246">
        <v>0.58060113667232405</v>
      </c>
      <c r="S4" s="205">
        <f>R4*$R$129</f>
        <v>2823516.8383225785</v>
      </c>
      <c r="T4" s="247"/>
      <c r="W4" s="142" t="s">
        <v>752</v>
      </c>
      <c r="Y4" s="434">
        <v>256000</v>
      </c>
    </row>
    <row r="5" spans="1:28" s="3" customFormat="1" ht="12">
      <c r="A5" s="240" t="s">
        <v>199</v>
      </c>
      <c r="B5" s="234">
        <f>VLOOKUP($A5,'Orch iTunes data'!$A$199:$Z$310,2,FALSE)</f>
        <v>418536.16</v>
      </c>
      <c r="C5" s="234">
        <f>VLOOKUP($A5,'Orch iTunes data'!$A$199:$Z$310,8,FALSE)</f>
        <v>400988.56</v>
      </c>
      <c r="D5" s="234">
        <f>VLOOKUP($A5,'Orch iTunes data'!$A$199:$Z$310,14,FALSE)</f>
        <v>0</v>
      </c>
      <c r="E5" s="234">
        <f>VLOOKUP($A5,'Orch iTunes data'!$A$199:$Z$310,20,FALSE)</f>
        <v>0</v>
      </c>
      <c r="F5" s="234">
        <f>VLOOKUP($A5,'Orch iTunes data'!$A$199:$Z$310,26,FALSE)</f>
        <v>0</v>
      </c>
      <c r="G5" s="235">
        <f>SUM(B5:F5)</f>
        <v>819524.72</v>
      </c>
      <c r="H5" s="218">
        <f t="shared" ref="H5:H68" si="3">IFERROR((((B5+C5+D5+E5+F5))/COUNTIF(B5:F5, "&gt;0")*4),0)</f>
        <v>1639049.44</v>
      </c>
      <c r="I5" s="268">
        <f>VLOOKUP($A5,[6]ORCH!$C:$U,19,FALSE)</f>
        <v>2625230.8084579264</v>
      </c>
      <c r="J5" s="237">
        <f>H5-I5</f>
        <v>-986181.36845792644</v>
      </c>
      <c r="K5" s="238">
        <f t="shared" si="0"/>
        <v>-0.37565511012618896</v>
      </c>
      <c r="L5" s="253">
        <v>4023856.3750646841</v>
      </c>
      <c r="M5" s="239">
        <f t="shared" ref="M5:M68" si="4">L5+H5</f>
        <v>5662905.8150646836</v>
      </c>
      <c r="N5" s="266">
        <f>6442034.14010355-119111.346141877</f>
        <v>6322922.793961673</v>
      </c>
      <c r="O5" s="237">
        <f t="shared" si="1"/>
        <v>-660016.97889698949</v>
      </c>
      <c r="P5" s="238">
        <f t="shared" si="2"/>
        <v>-0.10438479171804833</v>
      </c>
      <c r="Q5" s="247"/>
      <c r="R5" s="208"/>
      <c r="S5" s="154"/>
      <c r="T5" s="247">
        <v>2053379.5859978166</v>
      </c>
      <c r="U5" s="3">
        <v>1394452.4678049856</v>
      </c>
      <c r="V5" s="269">
        <f>SUM(T5:U5)</f>
        <v>3447832.0538028022</v>
      </c>
    </row>
    <row r="6" spans="1:28" s="3" customFormat="1" ht="12">
      <c r="A6" s="240" t="s">
        <v>36</v>
      </c>
      <c r="B6" s="234">
        <f>VLOOKUP($A6,'Orch iTunes data'!$A$199:$Z$310,2,FALSE)</f>
        <v>52408.562007</v>
      </c>
      <c r="C6" s="234">
        <f>VLOOKUP($A6,'Orch iTunes data'!$A$199:$Z$310,8,FALSE)</f>
        <v>48761.307674999996</v>
      </c>
      <c r="D6" s="234">
        <f>VLOOKUP($A6,'Orch iTunes data'!$A$199:$Z$310,14,FALSE)</f>
        <v>0</v>
      </c>
      <c r="E6" s="234">
        <f>VLOOKUP($A6,'Orch iTunes data'!$A$199:$Z$310,20,FALSE)</f>
        <v>0</v>
      </c>
      <c r="F6" s="234">
        <f>VLOOKUP($A6,'Orch iTunes data'!$A$199:$Z$310,26,FALSE)</f>
        <v>0</v>
      </c>
      <c r="G6" s="235">
        <f>SUM(B6:F6)</f>
        <v>101169.86968199999</v>
      </c>
      <c r="H6" s="218">
        <f t="shared" si="3"/>
        <v>202339.73936399998</v>
      </c>
      <c r="I6" s="268">
        <f>VLOOKUP($A6,[6]ORCH!$C:$U,19,FALSE)</f>
        <v>309420.66326771537</v>
      </c>
      <c r="J6" s="237">
        <f>H6-I6</f>
        <v>-107080.92390371539</v>
      </c>
      <c r="K6" s="238">
        <f t="shared" si="0"/>
        <v>-0.34606907881606919</v>
      </c>
      <c r="L6" s="253">
        <v>488243.21822667122</v>
      </c>
      <c r="M6" s="239">
        <f t="shared" si="4"/>
        <v>690582.95759067126</v>
      </c>
      <c r="N6" s="266">
        <v>759285.03886291885</v>
      </c>
      <c r="O6" s="237">
        <f t="shared" si="1"/>
        <v>-68702.081272247597</v>
      </c>
      <c r="P6" s="238">
        <f t="shared" si="2"/>
        <v>-9.0482595805040034E-2</v>
      </c>
      <c r="Q6" s="247"/>
      <c r="R6" s="208"/>
      <c r="S6" s="154"/>
      <c r="T6" s="246">
        <f>T5/$V$5</f>
        <v>0.59555673070938364</v>
      </c>
      <c r="U6" s="246">
        <f>U5/$V$5</f>
        <v>0.40444326929061636</v>
      </c>
      <c r="V6" s="269">
        <f>V5-200000</f>
        <v>3247832.0538028022</v>
      </c>
      <c r="W6" s="3" t="s">
        <v>753</v>
      </c>
      <c r="X6" s="300">
        <f>SUM('Summary - OLD'!$B7:$C7)/SUM('Summary - OLD'!$B$10:$C$10)</f>
        <v>5.1777998035329474E-2</v>
      </c>
      <c r="Y6" s="256">
        <f>X6*$Y$4</f>
        <v>13255.167497044346</v>
      </c>
    </row>
    <row r="7" spans="1:28" s="3" customFormat="1" ht="12">
      <c r="A7" s="240" t="s">
        <v>73</v>
      </c>
      <c r="B7" s="234">
        <f>VLOOKUP($A7,'Orch iTunes data'!$A$199:$Z$310,2,FALSE)</f>
        <v>19294.572208000001</v>
      </c>
      <c r="C7" s="234">
        <f>VLOOKUP($A7,'Orch iTunes data'!$A$199:$Z$310,8,FALSE)</f>
        <v>18416.869674000001</v>
      </c>
      <c r="D7" s="234">
        <f>VLOOKUP($A7,'Orch iTunes data'!$A$199:$Z$310,14,FALSE)</f>
        <v>0</v>
      </c>
      <c r="E7" s="234">
        <f>VLOOKUP($A7,'Orch iTunes data'!$A$199:$Z$310,20,FALSE)</f>
        <v>0</v>
      </c>
      <c r="F7" s="234">
        <f>VLOOKUP($A7,'Orch iTunes data'!$A$199:$Z$310,26,FALSE)</f>
        <v>0</v>
      </c>
      <c r="G7" s="235">
        <f>SUM(B7:F7)</f>
        <v>37711.441881999999</v>
      </c>
      <c r="H7" s="218">
        <f t="shared" si="3"/>
        <v>75422.883763999998</v>
      </c>
      <c r="I7" s="268">
        <f>VLOOKUP($A7,[6]ORCH!$C:$U,19,FALSE)</f>
        <v>117467.86879807431</v>
      </c>
      <c r="J7" s="237">
        <f>H7-I7</f>
        <v>-42044.985034074314</v>
      </c>
      <c r="K7" s="238">
        <f t="shared" si="0"/>
        <v>-0.35792753766861196</v>
      </c>
      <c r="L7" s="253">
        <v>182221.86541718242</v>
      </c>
      <c r="M7" s="239">
        <f t="shared" si="4"/>
        <v>257644.74918118241</v>
      </c>
      <c r="N7" s="266">
        <v>288253.51992837078</v>
      </c>
      <c r="O7" s="237">
        <f t="shared" si="1"/>
        <v>-30608.770747188362</v>
      </c>
      <c r="P7" s="238">
        <f t="shared" si="2"/>
        <v>-0.1061869799709452</v>
      </c>
      <c r="Q7" s="247"/>
      <c r="R7" s="208"/>
      <c r="S7" s="154"/>
      <c r="T7" s="270">
        <f>T6*V6</f>
        <v>1934268.23985594</v>
      </c>
      <c r="U7" s="270">
        <f>U6*V6</f>
        <v>1313563.8139468622</v>
      </c>
      <c r="V7" s="271">
        <f>SUM(T7:U7)</f>
        <v>3247832.0538028022</v>
      </c>
      <c r="W7" s="142" t="s">
        <v>754</v>
      </c>
      <c r="X7" s="300">
        <f>SUM('Summary - OLD'!$B8:$C8)/SUM('Summary - OLD'!$B$10:$C$10)</f>
        <v>8.7736031833615225E-2</v>
      </c>
      <c r="Y7" s="256">
        <f t="shared" ref="Y7:Y8" si="5">X7*$Y$4</f>
        <v>22460.424149405499</v>
      </c>
    </row>
    <row r="8" spans="1:28" s="142" customFormat="1" ht="12" customHeight="1">
      <c r="A8" s="211" t="s">
        <v>72</v>
      </c>
      <c r="B8" s="215">
        <f>'Orch iTunes data'!B180</f>
        <v>88590.202896000003</v>
      </c>
      <c r="C8" s="216">
        <f>'Orch iTunes data'!H180</f>
        <v>86246.171231999993</v>
      </c>
      <c r="D8" s="216">
        <f>'Orch iTunes data'!N180</f>
        <v>0</v>
      </c>
      <c r="E8" s="216">
        <f>'Orch iTunes data'!T180</f>
        <v>0</v>
      </c>
      <c r="F8" s="216">
        <f>'Orch iTunes data'!Z180</f>
        <v>0</v>
      </c>
      <c r="G8" s="216">
        <f t="shared" ref="G8:G81" si="6">SUM(B8:F8)</f>
        <v>174836.374128</v>
      </c>
      <c r="H8" s="218">
        <f t="shared" si="3"/>
        <v>349672.74825599999</v>
      </c>
      <c r="I8" s="393">
        <f>VLOOKUP($A8,[6]ORCH!$C:$U,19,FALSE)</f>
        <v>488325.93975259515</v>
      </c>
      <c r="J8" s="219">
        <f t="shared" ref="J8:J81" si="7">H8-I8</f>
        <v>-138653.19149659516</v>
      </c>
      <c r="K8" s="220">
        <f t="shared" si="0"/>
        <v>-0.28393574907538649</v>
      </c>
      <c r="L8" s="252">
        <v>844059.40603429067</v>
      </c>
      <c r="M8" s="245">
        <f t="shared" si="4"/>
        <v>1193732.1542902905</v>
      </c>
      <c r="N8" s="265">
        <v>1198299.3515272033</v>
      </c>
      <c r="O8" s="219">
        <f t="shared" si="1"/>
        <v>-4567.1972369127907</v>
      </c>
      <c r="P8" s="220">
        <f t="shared" si="2"/>
        <v>-3.8113992393403275E-3</v>
      </c>
      <c r="Q8" s="247"/>
      <c r="R8" s="246">
        <v>9.2893679458250625E-2</v>
      </c>
      <c r="S8" s="205">
        <f>R8*$R$129</f>
        <v>451750.52468445071</v>
      </c>
      <c r="T8" s="247"/>
      <c r="W8" s="142" t="s">
        <v>780</v>
      </c>
      <c r="X8" s="300">
        <f>SUM('Summary - OLD'!$B9:$C9)/SUM('Summary - OLD'!$B$10:$C$10)</f>
        <v>0.86048597013105532</v>
      </c>
      <c r="Y8" s="256">
        <f t="shared" si="5"/>
        <v>220284.40835355016</v>
      </c>
    </row>
    <row r="9" spans="1:28" s="142" customFormat="1">
      <c r="A9" s="211" t="s">
        <v>92</v>
      </c>
      <c r="B9" s="215">
        <f>'Orch iTunes data'!B181</f>
        <v>31054.025495999998</v>
      </c>
      <c r="C9" s="216">
        <f>'Orch iTunes data'!H181</f>
        <v>31506.939048</v>
      </c>
      <c r="D9" s="216">
        <f>'Orch iTunes data'!N181</f>
        <v>0</v>
      </c>
      <c r="E9" s="216">
        <f>'Orch iTunes data'!T181</f>
        <v>0</v>
      </c>
      <c r="F9" s="216">
        <f>'Orch iTunes data'!Z181</f>
        <v>0</v>
      </c>
      <c r="G9" s="216">
        <f t="shared" si="6"/>
        <v>62560.964544000002</v>
      </c>
      <c r="H9" s="218">
        <f t="shared" si="3"/>
        <v>125121.929088</v>
      </c>
      <c r="I9" s="302">
        <f>SUM(I10:I13)</f>
        <v>203925.4146703372</v>
      </c>
      <c r="J9" s="219">
        <f t="shared" si="7"/>
        <v>-78803.485582337191</v>
      </c>
      <c r="K9" s="220">
        <f t="shared" si="0"/>
        <v>-0.38643288140288812</v>
      </c>
      <c r="L9" s="252">
        <v>344791.61262041325</v>
      </c>
      <c r="M9" s="245">
        <f t="shared" si="4"/>
        <v>469913.54170841328</v>
      </c>
      <c r="N9" s="265">
        <v>500411.04161533044</v>
      </c>
      <c r="O9" s="219">
        <f t="shared" si="1"/>
        <v>-30497.499906917161</v>
      </c>
      <c r="P9" s="220">
        <f t="shared" si="2"/>
        <v>-6.0944898035165278E-2</v>
      </c>
      <c r="Q9" s="247"/>
      <c r="R9" s="246">
        <v>3.8792496080332355E-2</v>
      </c>
      <c r="S9" s="205">
        <f>R9*$R$129</f>
        <v>188651.48372108268</v>
      </c>
      <c r="T9" s="247">
        <v>119111.346141877</v>
      </c>
      <c r="U9" s="247">
        <v>80888.653858123304</v>
      </c>
      <c r="X9" s="300"/>
      <c r="Y9" s="256"/>
    </row>
    <row r="10" spans="1:28" s="3" customFormat="1" ht="12">
      <c r="A10" s="240" t="s">
        <v>39</v>
      </c>
      <c r="B10" s="234">
        <f>VLOOKUP($A10,'Orch iTunes data'!$A$199:$Z$310,2,FALSE)</f>
        <v>20906.643575999999</v>
      </c>
      <c r="C10" s="234">
        <f>VLOOKUP($A10,'Orch iTunes data'!$A$199:$Z$310,8,FALSE)</f>
        <v>20776.484976</v>
      </c>
      <c r="D10" s="234">
        <f>VLOOKUP($A10,'Orch iTunes data'!$A$199:$Z$310,14,FALSE)</f>
        <v>0</v>
      </c>
      <c r="E10" s="234">
        <f>VLOOKUP($A10,'Orch iTunes data'!$A$199:$Z$310,20,FALSE)</f>
        <v>0</v>
      </c>
      <c r="F10" s="234">
        <f>VLOOKUP($A10,'Orch iTunes data'!$A$199:$Z$310,26,FALSE)</f>
        <v>0</v>
      </c>
      <c r="G10" s="235">
        <f>SUM(B10:F10)</f>
        <v>41683.128551999995</v>
      </c>
      <c r="H10" s="218">
        <f t="shared" si="3"/>
        <v>83366.257103999989</v>
      </c>
      <c r="I10" s="268">
        <f>VLOOKUP($A10,[6]ORCH!$C:$U,19,FALSE)</f>
        <v>132207.67710100001</v>
      </c>
      <c r="J10" s="237">
        <f>H10-I10</f>
        <v>-48841.419997000019</v>
      </c>
      <c r="K10" s="238">
        <f t="shared" si="0"/>
        <v>-0.36942952987281996</v>
      </c>
      <c r="L10" s="253">
        <v>227260.0326550006</v>
      </c>
      <c r="M10" s="239">
        <f t="shared" si="4"/>
        <v>310626.28975900059</v>
      </c>
      <c r="N10" s="266">
        <v>324423.42468497617</v>
      </c>
      <c r="O10" s="237">
        <f t="shared" si="1"/>
        <v>-13797.134925975581</v>
      </c>
      <c r="P10" s="238">
        <f t="shared" si="2"/>
        <v>-4.2528171137373845E-2</v>
      </c>
      <c r="Q10" s="247"/>
      <c r="R10" s="208"/>
      <c r="S10" s="154"/>
      <c r="T10" s="247"/>
    </row>
    <row r="11" spans="1:28" s="3" customFormat="1" ht="12">
      <c r="A11" s="240" t="s">
        <v>35</v>
      </c>
      <c r="B11" s="234">
        <f>VLOOKUP($A11,'Orch iTunes data'!$A$199:$Z$310,2,FALSE)</f>
        <v>4938.6586079999997</v>
      </c>
      <c r="C11" s="234">
        <f>VLOOKUP($A11,'Orch iTunes data'!$A$199:$Z$310,8,FALSE)</f>
        <v>4844.6502</v>
      </c>
      <c r="D11" s="234">
        <f>VLOOKUP($A11,'Orch iTunes data'!$A$199:$Z$310,14,FALSE)</f>
        <v>0</v>
      </c>
      <c r="E11" s="234">
        <f>VLOOKUP($A11,'Orch iTunes data'!$A$199:$Z$310,20,FALSE)</f>
        <v>0</v>
      </c>
      <c r="F11" s="234">
        <f>VLOOKUP($A11,'Orch iTunes data'!$A$199:$Z$310,26,FALSE)</f>
        <v>0</v>
      </c>
      <c r="G11" s="235">
        <f>SUM(B11:F11)</f>
        <v>9783.3088079999998</v>
      </c>
      <c r="H11" s="218">
        <f t="shared" si="3"/>
        <v>19566.617616</v>
      </c>
      <c r="I11" s="268">
        <f>VLOOKUP($A11,[6]ORCH!$C:$U,19,FALSE)</f>
        <v>32567.252579188073</v>
      </c>
      <c r="J11" s="237">
        <f>H11-I11</f>
        <v>-13000.634963188073</v>
      </c>
      <c r="K11" s="238">
        <f t="shared" si="0"/>
        <v>-0.39919348221274453</v>
      </c>
      <c r="L11" s="253">
        <v>54334.635793685913</v>
      </c>
      <c r="M11" s="239">
        <f t="shared" si="4"/>
        <v>73901.253409685916</v>
      </c>
      <c r="N11" s="266">
        <v>79916.536210293198</v>
      </c>
      <c r="O11" s="237">
        <f t="shared" si="1"/>
        <v>-6015.2828006072814</v>
      </c>
      <c r="P11" s="238">
        <f t="shared" si="2"/>
        <v>-7.5269563545379448E-2</v>
      </c>
      <c r="Q11" s="247"/>
      <c r="R11" s="208"/>
      <c r="S11" s="154"/>
      <c r="T11" s="247"/>
    </row>
    <row r="12" spans="1:28" s="3" customFormat="1" ht="12">
      <c r="A12" s="240" t="s">
        <v>43</v>
      </c>
      <c r="B12" s="234">
        <f>VLOOKUP($A12,'Orch iTunes data'!$A$199:$Z$310,2,FALSE)</f>
        <v>702.67735200000004</v>
      </c>
      <c r="C12" s="234">
        <f>VLOOKUP($A12,'Orch iTunes data'!$A$199:$Z$310,8,FALSE)</f>
        <v>735.71908800000006</v>
      </c>
      <c r="D12" s="234">
        <f>VLOOKUP($A12,'Orch iTunes data'!$A$199:$Z$310,14,FALSE)</f>
        <v>0</v>
      </c>
      <c r="E12" s="234">
        <f>VLOOKUP($A12,'Orch iTunes data'!$A$199:$Z$310,20,FALSE)</f>
        <v>0</v>
      </c>
      <c r="F12" s="234">
        <f>VLOOKUP($A12,'Orch iTunes data'!$A$199:$Z$310,26,FALSE)</f>
        <v>0</v>
      </c>
      <c r="G12" s="235">
        <f>SUM(B12:F12)</f>
        <v>1438.39644</v>
      </c>
      <c r="H12" s="218">
        <f t="shared" si="3"/>
        <v>2876.79288</v>
      </c>
      <c r="I12" s="268">
        <f>VLOOKUP($A12,[6]ORCH!$C:$U,19,FALSE)</f>
        <v>5024.9570734282515</v>
      </c>
      <c r="J12" s="237">
        <f>H12-I12</f>
        <v>-2148.1641934282516</v>
      </c>
      <c r="K12" s="238">
        <f t="shared" si="0"/>
        <v>-0.42749901382991862</v>
      </c>
      <c r="L12" s="253">
        <v>8646.4739815592802</v>
      </c>
      <c r="M12" s="239">
        <f t="shared" si="4"/>
        <v>11523.266861559281</v>
      </c>
      <c r="N12" s="266">
        <v>12330.704376654219</v>
      </c>
      <c r="O12" s="237">
        <f t="shared" si="1"/>
        <v>-807.43751509493814</v>
      </c>
      <c r="P12" s="238">
        <f t="shared" si="2"/>
        <v>-6.5481864655166283E-2</v>
      </c>
      <c r="Q12" s="247"/>
      <c r="R12" s="208"/>
      <c r="S12" s="154"/>
      <c r="T12" s="247"/>
    </row>
    <row r="13" spans="1:28" s="3" customFormat="1" ht="12">
      <c r="A13" s="240" t="s">
        <v>44</v>
      </c>
      <c r="B13" s="234">
        <f>VLOOKUP($A13,'Orch iTunes data'!$A$199:$Z$310,2,FALSE)</f>
        <v>4506.0459600000004</v>
      </c>
      <c r="C13" s="234">
        <f>VLOOKUP($A13,'Orch iTunes data'!$A$199:$Z$310,8,FALSE)</f>
        <v>5150.0847839999997</v>
      </c>
      <c r="D13" s="234">
        <f>VLOOKUP($A13,'Orch iTunes data'!$A$199:$Z$310,14,FALSE)</f>
        <v>0</v>
      </c>
      <c r="E13" s="234">
        <f>VLOOKUP($A13,'Orch iTunes data'!$A$199:$Z$310,20,FALSE)</f>
        <v>0</v>
      </c>
      <c r="F13" s="234">
        <f>VLOOKUP($A13,'Orch iTunes data'!$A$199:$Z$310,26,FALSE)</f>
        <v>0</v>
      </c>
      <c r="G13" s="235">
        <f>SUM(B13:F13)</f>
        <v>9656.130744</v>
      </c>
      <c r="H13" s="218">
        <f t="shared" si="3"/>
        <v>19312.261488</v>
      </c>
      <c r="I13" s="268">
        <f>VLOOKUP($A13,[6]ORCH!$C:$U,19,FALSE)</f>
        <v>34125.527916720872</v>
      </c>
      <c r="J13" s="237">
        <f>H13-I13</f>
        <v>-14813.266428720872</v>
      </c>
      <c r="K13" s="238">
        <f t="shared" si="0"/>
        <v>-0.43408167823427712</v>
      </c>
      <c r="L13" s="253">
        <v>54550.470190167427</v>
      </c>
      <c r="M13" s="239">
        <f t="shared" si="4"/>
        <v>73862.731678167431</v>
      </c>
      <c r="N13" s="266">
        <v>83740.376343406795</v>
      </c>
      <c r="O13" s="237">
        <f t="shared" si="1"/>
        <v>-9877.6446652393643</v>
      </c>
      <c r="P13" s="238">
        <f t="shared" si="2"/>
        <v>-0.11795558005056744</v>
      </c>
      <c r="Q13" s="247"/>
      <c r="R13" s="208"/>
      <c r="S13" s="154"/>
      <c r="T13" s="247"/>
    </row>
    <row r="14" spans="1:28" s="142" customFormat="1">
      <c r="A14" s="211" t="s">
        <v>85</v>
      </c>
      <c r="B14" s="215">
        <f>'Orch iTunes data'!B182</f>
        <v>43602.069263999998</v>
      </c>
      <c r="C14" s="216">
        <f>'Orch iTunes data'!H182</f>
        <v>45263.212799999994</v>
      </c>
      <c r="D14" s="216">
        <f>'Orch iTunes data'!N182</f>
        <v>0</v>
      </c>
      <c r="E14" s="216">
        <f>'Orch iTunes data'!T182</f>
        <v>0</v>
      </c>
      <c r="F14" s="216">
        <f>'Orch iTunes data'!Z182</f>
        <v>0</v>
      </c>
      <c r="G14" s="216">
        <f t="shared" si="6"/>
        <v>88865.282063999999</v>
      </c>
      <c r="H14" s="218">
        <f t="shared" si="3"/>
        <v>177730.564128</v>
      </c>
      <c r="I14" s="302">
        <f>SUM(I15:I17)</f>
        <v>303344.60587806755</v>
      </c>
      <c r="J14" s="219">
        <f t="shared" si="7"/>
        <v>-125614.04175006755</v>
      </c>
      <c r="K14" s="220">
        <f t="shared" si="0"/>
        <v>-0.41409683678555137</v>
      </c>
      <c r="L14" s="252">
        <v>488805.78828215576</v>
      </c>
      <c r="M14" s="245">
        <f t="shared" si="4"/>
        <v>666536.35241015581</v>
      </c>
      <c r="N14" s="265">
        <v>744375.04732418072</v>
      </c>
      <c r="O14" s="219">
        <f t="shared" si="1"/>
        <v>-77838.694914024905</v>
      </c>
      <c r="P14" s="220">
        <f t="shared" si="2"/>
        <v>-0.10456918887035932</v>
      </c>
      <c r="Q14" s="247"/>
      <c r="R14" s="246">
        <v>5.7704893985568356E-2</v>
      </c>
      <c r="S14" s="205">
        <f>R14*$R$129</f>
        <v>280624.2177817598</v>
      </c>
      <c r="T14" s="247"/>
    </row>
    <row r="15" spans="1:28" s="3" customFormat="1" ht="12">
      <c r="A15" s="240" t="s">
        <v>40</v>
      </c>
      <c r="B15" s="234">
        <f>VLOOKUP($A15,'Orch iTunes data'!$A$199:$Z$310,2,FALSE)</f>
        <v>29412.364175999999</v>
      </c>
      <c r="C15" s="234">
        <f>VLOOKUP($A15,'Orch iTunes data'!$A$199:$Z$310,8,FALSE)</f>
        <v>31844.711808</v>
      </c>
      <c r="D15" s="234">
        <f>VLOOKUP($A15,'Orch iTunes data'!$A$199:$Z$310,14,FALSE)</f>
        <v>0</v>
      </c>
      <c r="E15" s="234">
        <f>VLOOKUP($A15,'Orch iTunes data'!$A$199:$Z$310,20,FALSE)</f>
        <v>0</v>
      </c>
      <c r="F15" s="234">
        <f>VLOOKUP($A15,'Orch iTunes data'!$A$199:$Z$310,26,FALSE)</f>
        <v>0</v>
      </c>
      <c r="G15" s="235">
        <f>SUM(B15:F15)</f>
        <v>61257.075983999996</v>
      </c>
      <c r="H15" s="218">
        <f t="shared" si="3"/>
        <v>122514.15196799999</v>
      </c>
      <c r="I15" s="268">
        <f>VLOOKUP($A15,[6]ORCH!$C:$U,19,FALSE)</f>
        <v>206769.19842518822</v>
      </c>
      <c r="J15" s="237">
        <f>H15-I15</f>
        <v>-84255.046457188233</v>
      </c>
      <c r="K15" s="238">
        <f t="shared" si="0"/>
        <v>-0.40748354735085363</v>
      </c>
      <c r="L15" s="253">
        <v>334160.64618724573</v>
      </c>
      <c r="M15" s="239">
        <f t="shared" si="4"/>
        <v>456674.79815524572</v>
      </c>
      <c r="N15" s="266">
        <v>507389.38118714944</v>
      </c>
      <c r="O15" s="237">
        <f t="shared" si="1"/>
        <v>-50714.58303190372</v>
      </c>
      <c r="P15" s="238">
        <f t="shared" si="2"/>
        <v>-9.9951999218520812E-2</v>
      </c>
      <c r="Q15" s="247"/>
      <c r="R15" s="208"/>
      <c r="S15" s="154"/>
      <c r="T15" s="247"/>
    </row>
    <row r="16" spans="1:28" s="3" customFormat="1" ht="12">
      <c r="A16" s="240" t="s">
        <v>34</v>
      </c>
      <c r="B16" s="234">
        <f>VLOOKUP($A16,'Orch iTunes data'!$A$199:$Z$310,2,FALSE)</f>
        <v>3317.7075359999999</v>
      </c>
      <c r="C16" s="234">
        <f>VLOOKUP($A16,'Orch iTunes data'!$A$199:$Z$310,8,FALSE)</f>
        <v>3215.499456</v>
      </c>
      <c r="D16" s="234">
        <f>VLOOKUP($A16,'Orch iTunes data'!$A$199:$Z$310,14,FALSE)</f>
        <v>0</v>
      </c>
      <c r="E16" s="234">
        <f>VLOOKUP($A16,'Orch iTunes data'!$A$199:$Z$310,20,FALSE)</f>
        <v>0</v>
      </c>
      <c r="F16" s="234">
        <f>VLOOKUP($A16,'Orch iTunes data'!$A$199:$Z$310,26,FALSE)</f>
        <v>0</v>
      </c>
      <c r="G16" s="235">
        <f>SUM(B16:F16)</f>
        <v>6533.2069919999994</v>
      </c>
      <c r="H16" s="218">
        <f t="shared" si="3"/>
        <v>13066.413983999999</v>
      </c>
      <c r="I16" s="268">
        <f>VLOOKUP($A16,[6]ORCH!$C:$U,19,FALSE)</f>
        <v>21539.467489767663</v>
      </c>
      <c r="J16" s="237">
        <f>H16-I16</f>
        <v>-8473.0535057676643</v>
      </c>
      <c r="K16" s="238">
        <f t="shared" si="0"/>
        <v>-0.39337339745250405</v>
      </c>
      <c r="L16" s="253">
        <v>36807.823809921749</v>
      </c>
      <c r="M16" s="239">
        <f t="shared" si="4"/>
        <v>49874.237793921748</v>
      </c>
      <c r="N16" s="266">
        <v>52855.537304257407</v>
      </c>
      <c r="O16" s="237">
        <f t="shared" si="1"/>
        <v>-2981.2995103356589</v>
      </c>
      <c r="P16" s="238">
        <f t="shared" si="2"/>
        <v>-5.6404677019441088E-2</v>
      </c>
      <c r="Q16" s="247"/>
      <c r="R16" s="208"/>
      <c r="S16" s="154"/>
      <c r="T16" s="247"/>
    </row>
    <row r="17" spans="1:20" s="3" customFormat="1" ht="12">
      <c r="A17" s="240" t="s">
        <v>50</v>
      </c>
      <c r="B17" s="234">
        <f>VLOOKUP($A17,'Orch iTunes data'!$A$199:$Z$310,2,FALSE)</f>
        <v>10871.997552000001</v>
      </c>
      <c r="C17" s="234">
        <f>VLOOKUP($A17,'Orch iTunes data'!$A$199:$Z$310,8,FALSE)</f>
        <v>10203.001536</v>
      </c>
      <c r="D17" s="234">
        <f>VLOOKUP($A17,'Orch iTunes data'!$A$199:$Z$310,14,FALSE)</f>
        <v>0</v>
      </c>
      <c r="E17" s="234">
        <f>VLOOKUP($A17,'Orch iTunes data'!$A$199:$Z$310,20,FALSE)</f>
        <v>0</v>
      </c>
      <c r="F17" s="234">
        <f>VLOOKUP($A17,'Orch iTunes data'!$A$199:$Z$310,26,FALSE)</f>
        <v>0</v>
      </c>
      <c r="G17" s="235">
        <f>SUM(B17:F17)</f>
        <v>21074.999088</v>
      </c>
      <c r="H17" s="218">
        <f t="shared" si="3"/>
        <v>42149.998176000001</v>
      </c>
      <c r="I17" s="268">
        <f>VLOOKUP($A17,[6]ORCH!$C:$U,19,FALSE)</f>
        <v>75035.939963111639</v>
      </c>
      <c r="J17" s="237">
        <f>H17-I17</f>
        <v>-32885.941787111638</v>
      </c>
      <c r="K17" s="238">
        <f t="shared" si="0"/>
        <v>-0.43826920544046855</v>
      </c>
      <c r="L17" s="253">
        <v>117837.31828498829</v>
      </c>
      <c r="M17" s="239">
        <f t="shared" si="4"/>
        <v>159987.31646098828</v>
      </c>
      <c r="N17" s="266">
        <v>184130.12883277397</v>
      </c>
      <c r="O17" s="237">
        <f t="shared" si="1"/>
        <v>-24142.812371785694</v>
      </c>
      <c r="P17" s="238">
        <f t="shared" si="2"/>
        <v>-0.1311182071333479</v>
      </c>
      <c r="Q17" s="247"/>
      <c r="R17" s="208"/>
      <c r="S17" s="154"/>
      <c r="T17" s="247"/>
    </row>
    <row r="18" spans="1:20" s="142" customFormat="1">
      <c r="A18" s="211" t="s">
        <v>76</v>
      </c>
      <c r="B18" s="215">
        <f>'Orch iTunes data'!B183</f>
        <v>29884.133136</v>
      </c>
      <c r="C18" s="216">
        <f>'Orch iTunes data'!H183</f>
        <v>29106.980759999999</v>
      </c>
      <c r="D18" s="216">
        <f>'Orch iTunes data'!N183</f>
        <v>0</v>
      </c>
      <c r="E18" s="216">
        <f>'Orch iTunes data'!T183</f>
        <v>0</v>
      </c>
      <c r="F18" s="216">
        <f>'Orch iTunes data'!Z183</f>
        <v>0</v>
      </c>
      <c r="G18" s="216">
        <f t="shared" si="6"/>
        <v>58991.113895999995</v>
      </c>
      <c r="H18" s="218">
        <f t="shared" si="3"/>
        <v>117982.22779199999</v>
      </c>
      <c r="I18" s="302">
        <f>SUM(I19:I21)</f>
        <v>150781.3308391188</v>
      </c>
      <c r="J18" s="219">
        <f t="shared" si="7"/>
        <v>-32799.103047118813</v>
      </c>
      <c r="K18" s="220">
        <f t="shared" si="0"/>
        <v>-0.2175276134292442</v>
      </c>
      <c r="L18" s="252">
        <v>306398.5451394915</v>
      </c>
      <c r="M18" s="245">
        <f t="shared" si="4"/>
        <v>424380.77293149149</v>
      </c>
      <c r="N18" s="265">
        <v>370001.17392589239</v>
      </c>
      <c r="O18" s="219">
        <f t="shared" si="1"/>
        <v>54379.599005599099</v>
      </c>
      <c r="P18" s="220">
        <f t="shared" si="2"/>
        <v>0.14697142289740625</v>
      </c>
      <c r="Q18" s="247"/>
      <c r="R18" s="246">
        <v>2.8682958399371235E-2</v>
      </c>
      <c r="S18" s="205">
        <f>R18*$R$129</f>
        <v>139487.87024031876</v>
      </c>
      <c r="T18" s="247"/>
    </row>
    <row r="19" spans="1:20" s="3" customFormat="1" ht="12">
      <c r="A19" s="240" t="s">
        <v>11</v>
      </c>
      <c r="B19" s="234">
        <f>VLOOKUP($A19,'Orch iTunes data'!$A$199:$Z$310,2,FALSE)</f>
        <v>15776.296848</v>
      </c>
      <c r="C19" s="234">
        <f>VLOOKUP($A19,'Orch iTunes data'!$A$199:$Z$310,8,FALSE)</f>
        <v>14798.988047999999</v>
      </c>
      <c r="D19" s="234">
        <f>VLOOKUP($A19,'Orch iTunes data'!$A$199:$Z$310,14,FALSE)</f>
        <v>0</v>
      </c>
      <c r="E19" s="234">
        <f>VLOOKUP($A19,'Orch iTunes data'!$A$199:$Z$310,20,FALSE)</f>
        <v>0</v>
      </c>
      <c r="F19" s="234">
        <f>VLOOKUP($A19,'Orch iTunes data'!$A$199:$Z$310,26,FALSE)</f>
        <v>0</v>
      </c>
      <c r="G19" s="235">
        <f>SUM(B19:F19)</f>
        <v>30575.284895999997</v>
      </c>
      <c r="H19" s="218">
        <f t="shared" si="3"/>
        <v>61150.569791999995</v>
      </c>
      <c r="I19" s="268">
        <f>VLOOKUP($A19,[6]ORCH!$C:$U,19,FALSE)</f>
        <v>72032.659339855643</v>
      </c>
      <c r="J19" s="237">
        <f>H19-I19</f>
        <v>-10882.089547855649</v>
      </c>
      <c r="K19" s="238">
        <f t="shared" si="0"/>
        <v>-0.15107160623507054</v>
      </c>
      <c r="L19" s="253">
        <v>173361.78457242256</v>
      </c>
      <c r="M19" s="239">
        <f t="shared" si="4"/>
        <v>234512.35436442256</v>
      </c>
      <c r="N19" s="266">
        <v>176760.40109493333</v>
      </c>
      <c r="O19" s="237">
        <f t="shared" si="1"/>
        <v>57751.953269489226</v>
      </c>
      <c r="P19" s="238">
        <f t="shared" si="2"/>
        <v>0.3267244977480685</v>
      </c>
      <c r="Q19" s="247"/>
      <c r="R19" s="208"/>
      <c r="S19" s="154"/>
      <c r="T19" s="247"/>
    </row>
    <row r="20" spans="1:20" s="3" customFormat="1" ht="12">
      <c r="A20" s="240" t="s">
        <v>47</v>
      </c>
      <c r="B20" s="234">
        <f>VLOOKUP($A20,'Orch iTunes data'!$A$199:$Z$310,2,FALSE)</f>
        <v>3033.085536</v>
      </c>
      <c r="C20" s="234">
        <f>VLOOKUP($A20,'Orch iTunes data'!$A$199:$Z$310,8,FALSE)</f>
        <v>2926.0292880000002</v>
      </c>
      <c r="D20" s="234">
        <f>VLOOKUP($A20,'Orch iTunes data'!$A$199:$Z$310,14,FALSE)</f>
        <v>0</v>
      </c>
      <c r="E20" s="234">
        <f>VLOOKUP($A20,'Orch iTunes data'!$A$199:$Z$310,20,FALSE)</f>
        <v>0</v>
      </c>
      <c r="F20" s="234">
        <f>VLOOKUP($A20,'Orch iTunes data'!$A$199:$Z$310,26,FALSE)</f>
        <v>0</v>
      </c>
      <c r="G20" s="235">
        <f>SUM(B20:F20)</f>
        <v>5959.1148240000002</v>
      </c>
      <c r="H20" s="218">
        <f t="shared" si="3"/>
        <v>11918.229648</v>
      </c>
      <c r="I20" s="268">
        <f>VLOOKUP($A20,[6]ORCH!$C:$U,19,FALSE)</f>
        <v>13410.595193420599</v>
      </c>
      <c r="J20" s="237">
        <f>H20-I20</f>
        <v>-1492.3655454205982</v>
      </c>
      <c r="K20" s="238">
        <f t="shared" si="0"/>
        <v>-0.1112825735096956</v>
      </c>
      <c r="L20" s="253">
        <v>23986.484645843499</v>
      </c>
      <c r="M20" s="239">
        <f t="shared" si="4"/>
        <v>35904.714293843499</v>
      </c>
      <c r="N20" s="266">
        <v>32908.158702385081</v>
      </c>
      <c r="O20" s="237">
        <f t="shared" si="1"/>
        <v>2996.5555914584183</v>
      </c>
      <c r="P20" s="238">
        <f t="shared" si="2"/>
        <v>9.1058136025132186E-2</v>
      </c>
      <c r="Q20" s="247"/>
      <c r="R20" s="208"/>
      <c r="S20" s="154"/>
      <c r="T20" s="247"/>
    </row>
    <row r="21" spans="1:20" s="3" customFormat="1" ht="12">
      <c r="A21" s="240" t="s">
        <v>48</v>
      </c>
      <c r="B21" s="234">
        <f>VLOOKUP($A21,'Orch iTunes data'!$A$199:$Z$310,2,FALSE)</f>
        <v>11074.750752</v>
      </c>
      <c r="C21" s="234">
        <f>VLOOKUP($A21,'Orch iTunes data'!$A$199:$Z$310,8,FALSE)</f>
        <v>11381.963424</v>
      </c>
      <c r="D21" s="234">
        <f>VLOOKUP($A21,'Orch iTunes data'!$A$199:$Z$310,14,FALSE)</f>
        <v>0</v>
      </c>
      <c r="E21" s="234">
        <f>VLOOKUP($A21,'Orch iTunes data'!$A$199:$Z$310,20,FALSE)</f>
        <v>0</v>
      </c>
      <c r="F21" s="234">
        <f>VLOOKUP($A21,'Orch iTunes data'!$A$199:$Z$310,26,FALSE)</f>
        <v>0</v>
      </c>
      <c r="G21" s="235">
        <f>SUM(B21:F21)</f>
        <v>22456.714176000001</v>
      </c>
      <c r="H21" s="218">
        <f t="shared" si="3"/>
        <v>44913.428352000003</v>
      </c>
      <c r="I21" s="268">
        <f>VLOOKUP($A21,[6]ORCH!$C:$U,19,FALSE)</f>
        <v>65338.076305842565</v>
      </c>
      <c r="J21" s="237">
        <f>H21-I21</f>
        <v>-20424.647953842563</v>
      </c>
      <c r="K21" s="238">
        <f t="shared" si="0"/>
        <v>-0.31259946892584256</v>
      </c>
      <c r="L21" s="253">
        <v>109050.27592122546</v>
      </c>
      <c r="M21" s="239">
        <f t="shared" si="4"/>
        <v>153963.70427322545</v>
      </c>
      <c r="N21" s="266">
        <v>160332.61412857394</v>
      </c>
      <c r="O21" s="237">
        <f t="shared" si="1"/>
        <v>-6368.9098553484946</v>
      </c>
      <c r="P21" s="238">
        <f t="shared" si="2"/>
        <v>-3.972310867607471E-2</v>
      </c>
      <c r="Q21" s="247"/>
      <c r="R21" s="208"/>
      <c r="S21" s="154"/>
      <c r="T21" s="247"/>
    </row>
    <row r="22" spans="1:20" s="142" customFormat="1">
      <c r="A22" s="211" t="s">
        <v>86</v>
      </c>
      <c r="B22" s="215">
        <f>'Orch iTunes data'!B184</f>
        <v>9939.1921199999997</v>
      </c>
      <c r="C22" s="216">
        <f>'Orch iTunes data'!H184</f>
        <v>10144.887479999999</v>
      </c>
      <c r="D22" s="216">
        <f>'Orch iTunes data'!N184</f>
        <v>0</v>
      </c>
      <c r="E22" s="216">
        <f>'Orch iTunes data'!T184</f>
        <v>0</v>
      </c>
      <c r="F22" s="216">
        <f>'Orch iTunes data'!Z184</f>
        <v>0</v>
      </c>
      <c r="G22" s="216">
        <f t="shared" si="6"/>
        <v>20084.079599999997</v>
      </c>
      <c r="H22" s="218">
        <f t="shared" si="3"/>
        <v>40168.159199999995</v>
      </c>
      <c r="I22" s="302">
        <f>SUM(I23:I26)</f>
        <v>67190.746537310886</v>
      </c>
      <c r="J22" s="219">
        <f t="shared" si="7"/>
        <v>-27022.587337310892</v>
      </c>
      <c r="K22" s="220">
        <f t="shared" si="0"/>
        <v>-0.4021772153149884</v>
      </c>
      <c r="L22" s="252">
        <v>104241.78058516978</v>
      </c>
      <c r="M22" s="245">
        <f t="shared" si="4"/>
        <v>144409.93978516979</v>
      </c>
      <c r="N22" s="265">
        <v>164878.86767817449</v>
      </c>
      <c r="O22" s="219">
        <f t="shared" si="1"/>
        <v>-20468.9278930047</v>
      </c>
      <c r="P22" s="220">
        <f t="shared" si="2"/>
        <v>-0.12414524784921381</v>
      </c>
      <c r="Q22" s="247"/>
      <c r="R22" s="246">
        <v>1.2781618102367776E-2</v>
      </c>
      <c r="S22" s="205">
        <f>R22*$R$129</f>
        <v>62158.18684042956</v>
      </c>
      <c r="T22" s="247"/>
    </row>
    <row r="23" spans="1:20" s="3" customFormat="1" ht="12">
      <c r="A23" s="240" t="s">
        <v>37</v>
      </c>
      <c r="B23" s="234">
        <f>VLOOKUP($A23,'Orch iTunes data'!$A$199:$Z$310,2,FALSE)</f>
        <v>4779.487752</v>
      </c>
      <c r="C23" s="234">
        <f>VLOOKUP($A23,'Orch iTunes data'!$A$199:$Z$310,8,FALSE)</f>
        <v>4621.6088879999998</v>
      </c>
      <c r="D23" s="234">
        <f>VLOOKUP($A23,'Orch iTunes data'!$A$199:$Z$310,14,FALSE)</f>
        <v>0</v>
      </c>
      <c r="E23" s="234">
        <f>VLOOKUP($A23,'Orch iTunes data'!$A$199:$Z$310,20,FALSE)</f>
        <v>0</v>
      </c>
      <c r="F23" s="234">
        <f>VLOOKUP($A23,'Orch iTunes data'!$A$199:$Z$310,26,FALSE)</f>
        <v>0</v>
      </c>
      <c r="G23" s="235">
        <f>SUM(B23:F23)</f>
        <v>9401.0966399999998</v>
      </c>
      <c r="H23" s="218">
        <f t="shared" si="3"/>
        <v>18802.19328</v>
      </c>
      <c r="I23" s="268">
        <f>VLOOKUP($A23,[6]ORCH!$C:$U,19,FALSE)</f>
        <v>29779.574453549161</v>
      </c>
      <c r="J23" s="237">
        <f>H23-I23</f>
        <v>-10977.381173549162</v>
      </c>
      <c r="K23" s="238">
        <f t="shared" si="0"/>
        <v>-0.36862115644640669</v>
      </c>
      <c r="L23" s="253">
        <v>42298.036639928832</v>
      </c>
      <c r="M23" s="239">
        <f t="shared" si="4"/>
        <v>61100.229919928832</v>
      </c>
      <c r="N23" s="266">
        <v>73075.87382010337</v>
      </c>
      <c r="O23" s="237">
        <f t="shared" si="1"/>
        <v>-11975.643900174538</v>
      </c>
      <c r="P23" s="238">
        <f t="shared" si="2"/>
        <v>-0.16387958534243358</v>
      </c>
      <c r="Q23" s="247"/>
      <c r="R23" s="208"/>
      <c r="S23" s="154"/>
      <c r="T23" s="247"/>
    </row>
    <row r="24" spans="1:20" s="3" customFormat="1" ht="12">
      <c r="A24" s="240" t="s">
        <v>38</v>
      </c>
      <c r="B24" s="234">
        <f>VLOOKUP($A24,'Orch iTunes data'!$A$199:$Z$310,2,FALSE)</f>
        <v>838.25976000000003</v>
      </c>
      <c r="C24" s="234">
        <f>VLOOKUP($A24,'Orch iTunes data'!$A$199:$Z$310,8,FALSE)</f>
        <v>949.52457600000002</v>
      </c>
      <c r="D24" s="234">
        <f>VLOOKUP($A24,'Orch iTunes data'!$A$199:$Z$310,14,FALSE)</f>
        <v>0</v>
      </c>
      <c r="E24" s="234">
        <f>VLOOKUP($A24,'Orch iTunes data'!$A$199:$Z$310,20,FALSE)</f>
        <v>0</v>
      </c>
      <c r="F24" s="234">
        <f>VLOOKUP($A24,'Orch iTunes data'!$A$199:$Z$310,26,FALSE)</f>
        <v>0</v>
      </c>
      <c r="G24" s="235">
        <f>SUM(B24:F24)</f>
        <v>1787.7843360000002</v>
      </c>
      <c r="H24" s="218">
        <f t="shared" si="3"/>
        <v>3575.5686720000003</v>
      </c>
      <c r="I24" s="268">
        <f>VLOOKUP($A24,[6]ORCH!$C:$U,19,FALSE)</f>
        <v>5853.0004964230457</v>
      </c>
      <c r="J24" s="237">
        <f>H24-I24</f>
        <v>-2277.4318244230453</v>
      </c>
      <c r="K24" s="238">
        <f t="shared" si="0"/>
        <v>-0.38910501132109182</v>
      </c>
      <c r="L24" s="253">
        <v>9505.5225186943971</v>
      </c>
      <c r="M24" s="239">
        <f t="shared" si="4"/>
        <v>13081.091190694398</v>
      </c>
      <c r="N24" s="266">
        <v>14362.633905758768</v>
      </c>
      <c r="O24" s="237">
        <f t="shared" si="1"/>
        <v>-1281.54271506437</v>
      </c>
      <c r="P24" s="238">
        <f t="shared" si="2"/>
        <v>-8.9227555577429923E-2</v>
      </c>
      <c r="Q24" s="247"/>
      <c r="R24" s="208"/>
      <c r="S24" s="154"/>
      <c r="T24" s="247"/>
    </row>
    <row r="25" spans="1:20" s="3" customFormat="1" ht="12">
      <c r="A25" s="240" t="s">
        <v>46</v>
      </c>
      <c r="B25" s="234">
        <f>VLOOKUP($A25,'Orch iTunes data'!$A$199:$Z$310,2,FALSE)</f>
        <v>2222.6227920000001</v>
      </c>
      <c r="C25" s="234">
        <f>VLOOKUP($A25,'Orch iTunes data'!$A$199:$Z$310,8,FALSE)</f>
        <v>2435.0339520000002</v>
      </c>
      <c r="D25" s="234">
        <f>VLOOKUP($A25,'Orch iTunes data'!$A$199:$Z$310,14,FALSE)</f>
        <v>0</v>
      </c>
      <c r="E25" s="234">
        <f>VLOOKUP($A25,'Orch iTunes data'!$A$199:$Z$310,20,FALSE)</f>
        <v>0</v>
      </c>
      <c r="F25" s="234">
        <f>VLOOKUP($A25,'Orch iTunes data'!$A$199:$Z$310,26,FALSE)</f>
        <v>0</v>
      </c>
      <c r="G25" s="235">
        <f>SUM(B25:F25)</f>
        <v>4657.6567439999999</v>
      </c>
      <c r="H25" s="218">
        <f t="shared" si="3"/>
        <v>9315.3134879999998</v>
      </c>
      <c r="I25" s="268">
        <f>VLOOKUP($A25,[6]ORCH!$C:$U,19,FALSE)</f>
        <v>17757.756807795748</v>
      </c>
      <c r="J25" s="237">
        <f>H25-I25</f>
        <v>-8442.4433197957478</v>
      </c>
      <c r="K25" s="238">
        <f t="shared" si="0"/>
        <v>-0.47542284823325609</v>
      </c>
      <c r="L25" s="253">
        <v>29612.299630701524</v>
      </c>
      <c r="M25" s="239">
        <f t="shared" si="4"/>
        <v>38927.613118701527</v>
      </c>
      <c r="N25" s="266">
        <v>43575.625898841776</v>
      </c>
      <c r="O25" s="237">
        <f t="shared" si="1"/>
        <v>-4648.0127801402487</v>
      </c>
      <c r="P25" s="238">
        <f t="shared" si="2"/>
        <v>-0.10666542784561107</v>
      </c>
      <c r="Q25" s="247"/>
      <c r="R25" s="208"/>
      <c r="S25" s="154"/>
      <c r="T25" s="247"/>
    </row>
    <row r="26" spans="1:20" s="3" customFormat="1" ht="12">
      <c r="A26" s="240" t="s">
        <v>49</v>
      </c>
      <c r="B26" s="234">
        <f>VLOOKUP($A26,'Orch iTunes data'!$A$199:$Z$310,2,FALSE)</f>
        <v>2098.8218160000001</v>
      </c>
      <c r="C26" s="234">
        <f>VLOOKUP($A26,'Orch iTunes data'!$A$199:$Z$310,8,FALSE)</f>
        <v>2138.7200640000001</v>
      </c>
      <c r="D26" s="234">
        <f>VLOOKUP($A26,'Orch iTunes data'!$A$199:$Z$310,14,FALSE)</f>
        <v>0</v>
      </c>
      <c r="E26" s="234">
        <f>VLOOKUP($A26,'Orch iTunes data'!$A$199:$Z$310,20,FALSE)</f>
        <v>0</v>
      </c>
      <c r="F26" s="234">
        <f>VLOOKUP($A26,'Orch iTunes data'!$A$199:$Z$310,26,FALSE)</f>
        <v>0</v>
      </c>
      <c r="G26" s="235">
        <f>SUM(B26:F26)</f>
        <v>4237.5418800000007</v>
      </c>
      <c r="H26" s="218">
        <f t="shared" si="3"/>
        <v>8475.0837600000013</v>
      </c>
      <c r="I26" s="268">
        <f>VLOOKUP($A26,[6]ORCH!$C:$U,19,FALSE)</f>
        <v>13800.414779542934</v>
      </c>
      <c r="J26" s="237">
        <f>H26-I26</f>
        <v>-5325.3310195429331</v>
      </c>
      <c r="K26" s="238">
        <f t="shared" si="0"/>
        <v>-0.38588195388423729</v>
      </c>
      <c r="L26" s="253">
        <v>22825.921795845032</v>
      </c>
      <c r="M26" s="239">
        <f t="shared" si="4"/>
        <v>31301.005555845033</v>
      </c>
      <c r="N26" s="266">
        <v>33864.734053470587</v>
      </c>
      <c r="O26" s="237">
        <f t="shared" si="1"/>
        <v>-2563.7284976255542</v>
      </c>
      <c r="P26" s="238">
        <f t="shared" si="2"/>
        <v>-7.5704964745258743E-2</v>
      </c>
      <c r="Q26" s="247"/>
      <c r="R26" s="208"/>
      <c r="S26" s="154"/>
      <c r="T26" s="247"/>
    </row>
    <row r="27" spans="1:20" s="142" customFormat="1">
      <c r="A27" s="211" t="s">
        <v>12</v>
      </c>
      <c r="B27" s="215">
        <f>'Orch iTunes data'!B185</f>
        <v>5500.0611120000003</v>
      </c>
      <c r="C27" s="216">
        <f>'Orch iTunes data'!H185</f>
        <v>5638.4321760000003</v>
      </c>
      <c r="D27" s="216">
        <f>'Orch iTunes data'!N185</f>
        <v>0</v>
      </c>
      <c r="E27" s="216">
        <f>'Orch iTunes data'!T185</f>
        <v>0</v>
      </c>
      <c r="F27" s="216">
        <f>'Orch iTunes data'!Z185</f>
        <v>0</v>
      </c>
      <c r="G27" s="216">
        <f t="shared" si="6"/>
        <v>11138.493288000001</v>
      </c>
      <c r="H27" s="218">
        <f t="shared" si="3"/>
        <v>22276.986576000003</v>
      </c>
      <c r="I27" s="302">
        <f>SUM(I28:I29)</f>
        <v>35071.249508766319</v>
      </c>
      <c r="J27" s="219">
        <f t="shared" si="7"/>
        <v>-12794.262932766316</v>
      </c>
      <c r="K27" s="220">
        <f t="shared" si="0"/>
        <v>-0.36480773031962532</v>
      </c>
      <c r="L27" s="252">
        <v>67482.955228447914</v>
      </c>
      <c r="M27" s="245">
        <f t="shared" si="4"/>
        <v>89759.94180444791</v>
      </c>
      <c r="N27" s="265">
        <v>86061.075446648145</v>
      </c>
      <c r="O27" s="219">
        <f t="shared" si="1"/>
        <v>3698.866357799765</v>
      </c>
      <c r="P27" s="220">
        <f t="shared" si="2"/>
        <v>4.2979550727236769E-2</v>
      </c>
      <c r="Q27" s="247"/>
      <c r="R27" s="246">
        <v>6.671563283568856E-3</v>
      </c>
      <c r="S27" s="205">
        <f>R27*$R$129</f>
        <v>32444.427127814248</v>
      </c>
      <c r="T27" s="247"/>
    </row>
    <row r="28" spans="1:20" s="3" customFormat="1" ht="12">
      <c r="A28" s="240" t="s">
        <v>42</v>
      </c>
      <c r="B28" s="234">
        <f>VLOOKUP($A28,'Orch iTunes data'!$A$199:$Z$310,2,FALSE)</f>
        <v>4323.1587360000003</v>
      </c>
      <c r="C28" s="234">
        <f>VLOOKUP($A28,'Orch iTunes data'!$A$199:$Z$310,8,FALSE)</f>
        <v>4464.3312480000004</v>
      </c>
      <c r="D28" s="234">
        <f>VLOOKUP($A28,'Orch iTunes data'!$A$199:$Z$310,14,FALSE)</f>
        <v>0</v>
      </c>
      <c r="E28" s="234">
        <f>VLOOKUP($A28,'Orch iTunes data'!$A$199:$Z$310,20,FALSE)</f>
        <v>0</v>
      </c>
      <c r="F28" s="234">
        <f>VLOOKUP($A28,'Orch iTunes data'!$A$199:$Z$310,26,FALSE)</f>
        <v>0</v>
      </c>
      <c r="G28" s="235">
        <f>SUM(B28:F28)</f>
        <v>8787.4899839999998</v>
      </c>
      <c r="H28" s="218">
        <f t="shared" si="3"/>
        <v>17574.979968</v>
      </c>
      <c r="I28" s="268">
        <f>VLOOKUP($A28,[6]ORCH!$C:$U,19,FALSE)</f>
        <v>27510.477057923974</v>
      </c>
      <c r="J28" s="237">
        <f>H28-I28</f>
        <v>-9935.4970899239743</v>
      </c>
      <c r="K28" s="238">
        <f t="shared" si="0"/>
        <v>-0.36115320970278142</v>
      </c>
      <c r="L28" s="253">
        <v>51763.047839224339</v>
      </c>
      <c r="M28" s="239">
        <f t="shared" si="4"/>
        <v>69338.027807224338</v>
      </c>
      <c r="N28" s="266">
        <v>67507.752783757634</v>
      </c>
      <c r="O28" s="237">
        <f t="shared" si="1"/>
        <v>1830.2750234667037</v>
      </c>
      <c r="P28" s="238">
        <f t="shared" si="2"/>
        <v>2.7112071547241132E-2</v>
      </c>
      <c r="Q28" s="247"/>
      <c r="R28" s="208"/>
      <c r="S28" s="154"/>
      <c r="T28" s="247"/>
    </row>
    <row r="29" spans="1:20" s="3" customFormat="1" ht="12">
      <c r="A29" s="240" t="s">
        <v>41</v>
      </c>
      <c r="B29" s="234">
        <f>VLOOKUP($A29,'Orch iTunes data'!$A$199:$Z$310,2,FALSE)</f>
        <v>1176.902376</v>
      </c>
      <c r="C29" s="234">
        <f>VLOOKUP($A29,'Orch iTunes data'!$A$199:$Z$310,8,FALSE)</f>
        <v>1174.1009280000001</v>
      </c>
      <c r="D29" s="234">
        <f>VLOOKUP($A29,'Orch iTunes data'!$A$199:$Z$310,14,FALSE)</f>
        <v>0</v>
      </c>
      <c r="E29" s="234">
        <f>VLOOKUP($A29,'Orch iTunes data'!$A$199:$Z$310,20,FALSE)</f>
        <v>0</v>
      </c>
      <c r="F29" s="234">
        <f>VLOOKUP($A29,'Orch iTunes data'!$A$199:$Z$310,26,FALSE)</f>
        <v>0</v>
      </c>
      <c r="G29" s="235">
        <f>SUM(B29:F29)</f>
        <v>2351.0033039999998</v>
      </c>
      <c r="H29" s="218">
        <f t="shared" si="3"/>
        <v>4702.0066079999997</v>
      </c>
      <c r="I29" s="268">
        <f>VLOOKUP($A29,[6]ORCH!$C:$U,19,FALSE)</f>
        <v>7560.7724508423444</v>
      </c>
      <c r="J29" s="237">
        <f>H29-I29</f>
        <v>-2858.7658428423447</v>
      </c>
      <c r="K29" s="238">
        <f t="shared" si="0"/>
        <v>-0.3781049967353336</v>
      </c>
      <c r="L29" s="253">
        <v>15719.907389223572</v>
      </c>
      <c r="M29" s="239">
        <f t="shared" si="4"/>
        <v>20421.913997223572</v>
      </c>
      <c r="N29" s="266">
        <v>18553.322662890507</v>
      </c>
      <c r="O29" s="237">
        <f t="shared" si="1"/>
        <v>1868.5913343330649</v>
      </c>
      <c r="P29" s="238">
        <f t="shared" si="2"/>
        <v>0.1007146465506437</v>
      </c>
      <c r="Q29" s="247"/>
      <c r="R29" s="208"/>
      <c r="S29" s="154"/>
      <c r="T29" s="247"/>
    </row>
    <row r="30" spans="1:20" s="142" customFormat="1">
      <c r="A30" s="211" t="s">
        <v>13</v>
      </c>
      <c r="B30" s="215">
        <f>'Orch iTunes data'!B190</f>
        <v>18882.084194999999</v>
      </c>
      <c r="C30" s="216">
        <f>'Orch iTunes data'!H190</f>
        <v>18735.534674999999</v>
      </c>
      <c r="D30" s="216">
        <f>'Orch iTunes data'!N190</f>
        <v>0</v>
      </c>
      <c r="E30" s="216">
        <f>'Orch iTunes data'!T190</f>
        <v>0</v>
      </c>
      <c r="F30" s="216">
        <f>'Orch iTunes data'!Z190</f>
        <v>0</v>
      </c>
      <c r="G30" s="216">
        <f t="shared" si="6"/>
        <v>37617.618869999998</v>
      </c>
      <c r="H30" s="218">
        <f t="shared" si="3"/>
        <v>75235.237739999997</v>
      </c>
      <c r="I30" s="393">
        <f>VLOOKUP($A30,[6]ORCH!$C:$U,19,FALSE)</f>
        <v>109300.21639453439</v>
      </c>
      <c r="J30" s="219">
        <f t="shared" si="7"/>
        <v>-34064.978654534396</v>
      </c>
      <c r="K30" s="220">
        <f t="shared" si="0"/>
        <v>-0.31166432947920342</v>
      </c>
      <c r="L30" s="252">
        <v>156380.6079056263</v>
      </c>
      <c r="M30" s="245">
        <f t="shared" si="4"/>
        <v>231615.84564562631</v>
      </c>
      <c r="N30" s="265">
        <v>268210.97911307006</v>
      </c>
      <c r="O30" s="219">
        <f t="shared" si="1"/>
        <v>-36595.133467443753</v>
      </c>
      <c r="P30" s="220">
        <f t="shared" si="2"/>
        <v>-0.13644159380968626</v>
      </c>
      <c r="Q30" s="247"/>
      <c r="R30" s="246">
        <v>2.0792053913038847E-2</v>
      </c>
      <c r="S30" s="205">
        <f>R30*$R$129</f>
        <v>101113.67446376283</v>
      </c>
      <c r="T30" s="247"/>
    </row>
    <row r="31" spans="1:20" s="142" customFormat="1">
      <c r="A31" s="211" t="s">
        <v>14</v>
      </c>
      <c r="B31" s="215">
        <f>'Orch iTunes data'!B189</f>
        <v>50823.964092000002</v>
      </c>
      <c r="C31" s="216">
        <f>'Orch iTunes data'!H189</f>
        <v>50940.146351999996</v>
      </c>
      <c r="D31" s="216">
        <f>'Orch iTunes data'!N189</f>
        <v>0</v>
      </c>
      <c r="E31" s="216">
        <f>'Orch iTunes data'!T189</f>
        <v>0</v>
      </c>
      <c r="F31" s="216">
        <f>'Orch iTunes data'!Z189</f>
        <v>0</v>
      </c>
      <c r="G31" s="216">
        <f t="shared" si="6"/>
        <v>101764.11044399999</v>
      </c>
      <c r="H31" s="218">
        <f t="shared" si="3"/>
        <v>203528.22088799998</v>
      </c>
      <c r="I31" s="393">
        <f>SUM(I32:I33)</f>
        <v>334919.51068774977</v>
      </c>
      <c r="J31" s="219">
        <f t="shared" si="7"/>
        <v>-131391.28979974979</v>
      </c>
      <c r="K31" s="220">
        <f t="shared" si="0"/>
        <v>-0.39230706365819268</v>
      </c>
      <c r="L31" s="252">
        <v>490864.00663304323</v>
      </c>
      <c r="M31" s="245">
        <f t="shared" si="4"/>
        <v>694392.22752104327</v>
      </c>
      <c r="N31" s="265">
        <v>821856.46880497527</v>
      </c>
      <c r="O31" s="219">
        <f t="shared" si="1"/>
        <v>-127464.241283932</v>
      </c>
      <c r="P31" s="220">
        <f t="shared" si="2"/>
        <v>-0.15509306809894927</v>
      </c>
      <c r="Q31" s="247"/>
      <c r="R31" s="246">
        <v>6.3711351655626761E-2</v>
      </c>
      <c r="S31" s="205">
        <f>R31*$R$129</f>
        <v>309834.1750120935</v>
      </c>
      <c r="T31" s="247"/>
    </row>
    <row r="32" spans="1:20" s="3" customFormat="1" ht="12">
      <c r="A32" s="233" t="s">
        <v>33</v>
      </c>
      <c r="B32" s="234">
        <f>VLOOKUP($A32,'Orch iTunes data'!$A$199:$Z$310,2,FALSE)</f>
        <v>46113.065168000001</v>
      </c>
      <c r="C32" s="234">
        <f>VLOOKUP($A32,'Orch iTunes data'!$A$199:$Z$310,8,FALSE)</f>
        <v>46709.081539999999</v>
      </c>
      <c r="D32" s="234">
        <f>VLOOKUP($A32,'Orch iTunes data'!$A$199:$Z$310,14,FALSE)</f>
        <v>0</v>
      </c>
      <c r="E32" s="234">
        <f>VLOOKUP($A32,'Orch iTunes data'!$A$199:$Z$310,20,FALSE)</f>
        <v>0</v>
      </c>
      <c r="F32" s="234">
        <f>VLOOKUP($A32,'Orch iTunes data'!$A$199:$Z$310,26,FALSE)</f>
        <v>0</v>
      </c>
      <c r="G32" s="235">
        <f>SUM(B32:F32)</f>
        <v>92822.146708</v>
      </c>
      <c r="H32" s="218">
        <f t="shared" si="3"/>
        <v>185644.293416</v>
      </c>
      <c r="I32" s="268">
        <f>VLOOKUP($A32,[6]ORCH!$C:$U,19,FALSE)</f>
        <v>306387.20555268921</v>
      </c>
      <c r="J32" s="237">
        <f>H32-I32</f>
        <v>-120742.91213668921</v>
      </c>
      <c r="K32" s="238">
        <f t="shared" si="0"/>
        <v>-0.3940860125633579</v>
      </c>
      <c r="L32" s="253">
        <v>448976.80550193781</v>
      </c>
      <c r="M32" s="239">
        <f t="shared" si="4"/>
        <v>634621.09891793784</v>
      </c>
      <c r="N32" s="266">
        <v>751841.25978650386</v>
      </c>
      <c r="O32" s="237">
        <f t="shared" si="1"/>
        <v>-117220.16086856602</v>
      </c>
      <c r="P32" s="238">
        <f t="shared" si="2"/>
        <v>-0.15591078481360862</v>
      </c>
      <c r="Q32" s="247"/>
      <c r="R32" s="208"/>
      <c r="S32" s="154"/>
      <c r="T32" s="247"/>
    </row>
    <row r="33" spans="1:20" s="3" customFormat="1" ht="12">
      <c r="A33" s="233" t="s">
        <v>45</v>
      </c>
      <c r="B33" s="234">
        <f>VLOOKUP($A33,'Orch iTunes data'!$A$199:$Z$310,2,FALSE)</f>
        <v>4710.8989240000001</v>
      </c>
      <c r="C33" s="234">
        <f>VLOOKUP($A33,'Orch iTunes data'!$A$199:$Z$310,8,FALSE)</f>
        <v>4231.0648119999996</v>
      </c>
      <c r="D33" s="234">
        <f>VLOOKUP($A33,'Orch iTunes data'!$A$199:$Z$310,14,FALSE)</f>
        <v>0</v>
      </c>
      <c r="E33" s="234">
        <f>VLOOKUP($A33,'Orch iTunes data'!$A$199:$Z$310,20,FALSE)</f>
        <v>0</v>
      </c>
      <c r="F33" s="234">
        <f>VLOOKUP($A33,'Orch iTunes data'!$A$199:$Z$310,26,FALSE)</f>
        <v>0</v>
      </c>
      <c r="G33" s="235">
        <f>SUM(B33:F33)</f>
        <v>8941.9637359999997</v>
      </c>
      <c r="H33" s="218">
        <f t="shared" si="3"/>
        <v>17883.927471999999</v>
      </c>
      <c r="I33" s="268">
        <f>VLOOKUP($A33,[6]ORCH!$C:$U,19,FALSE)</f>
        <v>28532.305135060571</v>
      </c>
      <c r="J33" s="237">
        <f>H33-I33</f>
        <v>-10648.377663060572</v>
      </c>
      <c r="K33" s="238">
        <f t="shared" si="0"/>
        <v>-0.37320425435853821</v>
      </c>
      <c r="L33" s="253">
        <v>41887.201131105438</v>
      </c>
      <c r="M33" s="239">
        <f t="shared" si="4"/>
        <v>59771.128603105433</v>
      </c>
      <c r="N33" s="266">
        <v>70015.209018471331</v>
      </c>
      <c r="O33" s="237">
        <f t="shared" si="1"/>
        <v>-10244.080415365897</v>
      </c>
      <c r="P33" s="238">
        <f t="shared" si="2"/>
        <v>-0.14631221643090883</v>
      </c>
      <c r="Q33" s="247"/>
      <c r="R33" s="208"/>
      <c r="S33" s="154"/>
      <c r="T33" s="247"/>
    </row>
    <row r="34" spans="1:20" s="142" customFormat="1">
      <c r="A34" s="212" t="s">
        <v>180</v>
      </c>
      <c r="B34" s="221">
        <f>'Orch iTunes data'!B132</f>
        <v>23211.925564000001</v>
      </c>
      <c r="C34" s="221">
        <f>'Orch iTunes data'!H132</f>
        <v>23079.725222000001</v>
      </c>
      <c r="D34" s="221">
        <f>'Orch iTunes data'!N132</f>
        <v>0</v>
      </c>
      <c r="E34" s="221">
        <f>'Orch iTunes data'!T132</f>
        <v>0</v>
      </c>
      <c r="F34" s="221">
        <f>'Orch iTunes data'!Z132</f>
        <v>0</v>
      </c>
      <c r="G34" s="216">
        <f t="shared" si="6"/>
        <v>46291.650785999998</v>
      </c>
      <c r="H34" s="218">
        <f t="shared" si="3"/>
        <v>92583.301571999997</v>
      </c>
      <c r="I34" s="393">
        <f>VLOOKUP($A34,[6]ORCH!$C:$U,19,FALSE)</f>
        <v>123933.58530613432</v>
      </c>
      <c r="J34" s="219">
        <f t="shared" ref="J34:J35" si="8">H34-I34</f>
        <v>-31350.283734134326</v>
      </c>
      <c r="K34" s="220">
        <f t="shared" ref="K34:K35" si="9">J34/I34</f>
        <v>-0.25296035498928299</v>
      </c>
      <c r="L34" s="252">
        <v>250611.70750659716</v>
      </c>
      <c r="M34" s="245">
        <f t="shared" si="4"/>
        <v>343195.00907859718</v>
      </c>
      <c r="N34" s="265">
        <v>304119.69304768619</v>
      </c>
      <c r="O34" s="219">
        <f t="shared" si="1"/>
        <v>39075.316030910995</v>
      </c>
      <c r="P34" s="220">
        <f t="shared" si="2"/>
        <v>0.1284866351117353</v>
      </c>
      <c r="Q34" s="247"/>
      <c r="R34" s="246"/>
      <c r="S34" s="205"/>
      <c r="T34" s="247"/>
    </row>
    <row r="35" spans="1:20" s="142" customFormat="1">
      <c r="A35" s="212" t="s">
        <v>190</v>
      </c>
      <c r="B35" s="221">
        <f>'Orch iTunes data'!B133</f>
        <v>8106.0361339999999</v>
      </c>
      <c r="C35" s="221">
        <f>'Orch iTunes data'!H133</f>
        <v>8589.9061349999993</v>
      </c>
      <c r="D35" s="221">
        <f>'Orch iTunes data'!N133</f>
        <v>0</v>
      </c>
      <c r="E35" s="221">
        <f>'Orch iTunes data'!T133</f>
        <v>0</v>
      </c>
      <c r="F35" s="221">
        <f>'Orch iTunes data'!Z133</f>
        <v>0</v>
      </c>
      <c r="G35" s="216">
        <f t="shared" si="6"/>
        <v>16695.942268999999</v>
      </c>
      <c r="H35" s="218">
        <f t="shared" si="3"/>
        <v>33391.884537999998</v>
      </c>
      <c r="I35" s="393">
        <f>VLOOKUP($A35,[6]ORCH!$C:$U,19,FALSE)</f>
        <v>38082.218523873395</v>
      </c>
      <c r="J35" s="219">
        <f t="shared" si="8"/>
        <v>-4690.3339858733962</v>
      </c>
      <c r="K35" s="220">
        <f t="shared" si="9"/>
        <v>-0.12316335990071242</v>
      </c>
      <c r="L35" s="252">
        <v>79048.342426404342</v>
      </c>
      <c r="M35" s="245">
        <f t="shared" si="4"/>
        <v>112440.22696440434</v>
      </c>
      <c r="N35" s="265">
        <v>93449.669671438402</v>
      </c>
      <c r="O35" s="219">
        <f t="shared" si="1"/>
        <v>18990.557292965939</v>
      </c>
      <c r="P35" s="220">
        <f t="shared" si="2"/>
        <v>0.20321695474938783</v>
      </c>
      <c r="Q35" s="247"/>
      <c r="R35" s="246"/>
      <c r="S35" s="205"/>
      <c r="T35" s="247"/>
    </row>
    <row r="36" spans="1:20" s="142" customFormat="1">
      <c r="A36" s="212" t="s">
        <v>88</v>
      </c>
      <c r="B36" s="221">
        <f>'Orch iTunes data'!B186</f>
        <v>5382.6177600000001</v>
      </c>
      <c r="C36" s="222">
        <f>'Orch iTunes data'!H186</f>
        <v>4487.7022319999996</v>
      </c>
      <c r="D36" s="222">
        <f>'Orch iTunes data'!N186</f>
        <v>0</v>
      </c>
      <c r="E36" s="222">
        <f>'Orch iTunes data'!T186</f>
        <v>0</v>
      </c>
      <c r="F36" s="222">
        <f>'Orch iTunes data'!Z186</f>
        <v>0</v>
      </c>
      <c r="G36" s="216">
        <f t="shared" si="6"/>
        <v>9870.3199920000006</v>
      </c>
      <c r="H36" s="218">
        <f t="shared" si="3"/>
        <v>19740.639984000001</v>
      </c>
      <c r="I36" s="302">
        <f>SUM(I37:I48)</f>
        <v>22217.738623744634</v>
      </c>
      <c r="J36" s="219">
        <f t="shared" si="7"/>
        <v>-2477.0986397446322</v>
      </c>
      <c r="K36" s="220">
        <f t="shared" si="0"/>
        <v>-0.11149193361638061</v>
      </c>
      <c r="L36" s="252">
        <v>36995.703056812294</v>
      </c>
      <c r="M36" s="245">
        <f t="shared" si="4"/>
        <v>56736.343040812295</v>
      </c>
      <c r="N36" s="265">
        <v>54519.941739573784</v>
      </c>
      <c r="O36" s="219">
        <f t="shared" ref="O36:O67" si="10">M36-N36</f>
        <v>2216.4013012385112</v>
      </c>
      <c r="P36" s="220">
        <f t="shared" si="2"/>
        <v>4.0653038695925764E-2</v>
      </c>
      <c r="Q36" s="247"/>
      <c r="R36" s="246">
        <v>4.2264547548855908E-3</v>
      </c>
      <c r="S36" s="205">
        <f>R36*$R$129</f>
        <v>20553.639001163247</v>
      </c>
      <c r="T36" s="247"/>
    </row>
    <row r="37" spans="1:20" s="3" customFormat="1" ht="12">
      <c r="A37" s="233" t="s">
        <v>62</v>
      </c>
      <c r="B37" s="234">
        <f>VLOOKUP($A37,'Orch iTunes data'!$A$199:$Z$310,2,FALSE)</f>
        <v>130.68307200000001</v>
      </c>
      <c r="C37" s="234">
        <f>VLOOKUP($A37,'Orch iTunes data'!$A$199:$Z$310,8,FALSE)</f>
        <v>174.82826399999999</v>
      </c>
      <c r="D37" s="234">
        <f>VLOOKUP($A37,'Orch iTunes data'!$A$199:$Z$310,14,FALSE)</f>
        <v>0</v>
      </c>
      <c r="E37" s="234">
        <f>VLOOKUP($A37,'Orch iTunes data'!$A$199:$Z$310,20,FALSE)</f>
        <v>0</v>
      </c>
      <c r="F37" s="234">
        <f>VLOOKUP($A37,'Orch iTunes data'!$A$199:$Z$310,26,FALSE)</f>
        <v>0</v>
      </c>
      <c r="G37" s="235">
        <f t="shared" ref="G37:G48" si="11">SUM(B37:F37)</f>
        <v>305.51133600000003</v>
      </c>
      <c r="H37" s="218">
        <f t="shared" si="3"/>
        <v>611.02267200000006</v>
      </c>
      <c r="I37" s="268">
        <f>VLOOKUP($A37,[6]ORCH!$C:$U,19,FALSE)</f>
        <v>550.23929583543622</v>
      </c>
      <c r="J37" s="237">
        <f t="shared" ref="J37:J48" si="12">H37-I37</f>
        <v>60.783376164563833</v>
      </c>
      <c r="K37" s="238">
        <f t="shared" si="0"/>
        <v>0.11046716696646604</v>
      </c>
      <c r="L37" s="253">
        <v>927.98335105180729</v>
      </c>
      <c r="M37" s="239">
        <f t="shared" si="4"/>
        <v>1539.0060230518075</v>
      </c>
      <c r="N37" s="266">
        <v>1350.2280704531925</v>
      </c>
      <c r="O37" s="237">
        <f t="shared" si="10"/>
        <v>188.777952598615</v>
      </c>
      <c r="P37" s="238">
        <f t="shared" si="2"/>
        <v>0.13981190047045408</v>
      </c>
      <c r="Q37" s="247"/>
      <c r="R37" s="208"/>
      <c r="S37" s="154"/>
      <c r="T37" s="247"/>
    </row>
    <row r="38" spans="1:20" s="3" customFormat="1" ht="12">
      <c r="A38" s="233" t="s">
        <v>61</v>
      </c>
      <c r="B38" s="234">
        <f>VLOOKUP($A38,'Orch iTunes data'!$A$199:$Z$310,2,FALSE)</f>
        <v>180.443952</v>
      </c>
      <c r="C38" s="234">
        <f>VLOOKUP($A38,'Orch iTunes data'!$A$199:$Z$310,8,FALSE)</f>
        <v>139.381632</v>
      </c>
      <c r="D38" s="234">
        <f>VLOOKUP($A38,'Orch iTunes data'!$A$199:$Z$310,14,FALSE)</f>
        <v>0</v>
      </c>
      <c r="E38" s="234">
        <f>VLOOKUP($A38,'Orch iTunes data'!$A$199:$Z$310,20,FALSE)</f>
        <v>0</v>
      </c>
      <c r="F38" s="234">
        <f>VLOOKUP($A38,'Orch iTunes data'!$A$199:$Z$310,26,FALSE)</f>
        <v>0</v>
      </c>
      <c r="G38" s="235">
        <f t="shared" si="11"/>
        <v>319.82558399999999</v>
      </c>
      <c r="H38" s="218">
        <f t="shared" si="3"/>
        <v>639.65116799999998</v>
      </c>
      <c r="I38" s="268">
        <f>VLOOKUP($A38,[6]ORCH!$C:$U,19,FALSE)</f>
        <v>747.56944378566493</v>
      </c>
      <c r="J38" s="237">
        <f t="shared" si="12"/>
        <v>-107.91827578566495</v>
      </c>
      <c r="K38" s="238">
        <f t="shared" si="0"/>
        <v>-0.14435886416005803</v>
      </c>
      <c r="L38" s="253">
        <v>1346.5853532552737</v>
      </c>
      <c r="M38" s="239">
        <f t="shared" si="4"/>
        <v>1986.2365212552736</v>
      </c>
      <c r="N38" s="266">
        <v>1834.4550366580315</v>
      </c>
      <c r="O38" s="237">
        <f t="shared" si="10"/>
        <v>151.78148459724207</v>
      </c>
      <c r="P38" s="238">
        <f t="shared" si="2"/>
        <v>8.2739277640597894E-2</v>
      </c>
      <c r="Q38" s="247"/>
      <c r="R38" s="208"/>
      <c r="S38" s="154"/>
      <c r="T38" s="247"/>
    </row>
    <row r="39" spans="1:20" s="3" customFormat="1" ht="12">
      <c r="A39" s="233" t="s">
        <v>60</v>
      </c>
      <c r="B39" s="234">
        <f>VLOOKUP($A39,'Orch iTunes data'!$A$199:$Z$310,2,FALSE)</f>
        <v>784.32868800000006</v>
      </c>
      <c r="C39" s="234">
        <f>VLOOKUP($A39,'Orch iTunes data'!$A$199:$Z$310,8,FALSE)</f>
        <v>672.75686399999995</v>
      </c>
      <c r="D39" s="234">
        <f>VLOOKUP($A39,'Orch iTunes data'!$A$199:$Z$310,14,FALSE)</f>
        <v>0</v>
      </c>
      <c r="E39" s="234">
        <f>VLOOKUP($A39,'Orch iTunes data'!$A$199:$Z$310,20,FALSE)</f>
        <v>0</v>
      </c>
      <c r="F39" s="234">
        <f>VLOOKUP($A39,'Orch iTunes data'!$A$199:$Z$310,26,FALSE)</f>
        <v>0</v>
      </c>
      <c r="G39" s="235">
        <f t="shared" si="11"/>
        <v>1457.085552</v>
      </c>
      <c r="H39" s="218">
        <f t="shared" si="3"/>
        <v>2914.171104</v>
      </c>
      <c r="I39" s="268">
        <f>VLOOKUP($A39,[6]ORCH!$C:$U,19,FALSE)</f>
        <v>3604.080077513077</v>
      </c>
      <c r="J39" s="237">
        <f t="shared" si="12"/>
        <v>-689.90897351307694</v>
      </c>
      <c r="K39" s="238">
        <f t="shared" si="0"/>
        <v>-0.1914244297227532</v>
      </c>
      <c r="L39" s="253">
        <v>6239.9419488310814</v>
      </c>
      <c r="M39" s="239">
        <f t="shared" si="4"/>
        <v>9154.1130528310823</v>
      </c>
      <c r="N39" s="266">
        <v>8844.0250008510484</v>
      </c>
      <c r="O39" s="237">
        <f t="shared" si="10"/>
        <v>310.08805198003392</v>
      </c>
      <c r="P39" s="238">
        <f t="shared" si="2"/>
        <v>3.5061869674745894E-2</v>
      </c>
      <c r="Q39" s="247"/>
      <c r="R39" s="208"/>
      <c r="S39" s="154"/>
      <c r="T39" s="247"/>
    </row>
    <row r="40" spans="1:20" s="3" customFormat="1" ht="12">
      <c r="A40" s="233" t="s">
        <v>59</v>
      </c>
      <c r="B40" s="234">
        <f>VLOOKUP($A40,'Orch iTunes data'!$A$199:$Z$310,2,FALSE)</f>
        <v>146.250936</v>
      </c>
      <c r="C40" s="234">
        <f>VLOOKUP($A40,'Orch iTunes data'!$A$199:$Z$310,8,FALSE)</f>
        <v>147.862728</v>
      </c>
      <c r="D40" s="234">
        <f>VLOOKUP($A40,'Orch iTunes data'!$A$199:$Z$310,14,FALSE)</f>
        <v>0</v>
      </c>
      <c r="E40" s="234">
        <f>VLOOKUP($A40,'Orch iTunes data'!$A$199:$Z$310,20,FALSE)</f>
        <v>0</v>
      </c>
      <c r="F40" s="234">
        <f>VLOOKUP($A40,'Orch iTunes data'!$A$199:$Z$310,26,FALSE)</f>
        <v>0</v>
      </c>
      <c r="G40" s="235">
        <f t="shared" si="11"/>
        <v>294.11366399999997</v>
      </c>
      <c r="H40" s="218">
        <f t="shared" si="3"/>
        <v>588.22732799999994</v>
      </c>
      <c r="I40" s="268">
        <f>VLOOKUP($A40,[6]ORCH!$C:$U,19,FALSE)</f>
        <v>710.57232301041847</v>
      </c>
      <c r="J40" s="237">
        <f t="shared" si="12"/>
        <v>-122.34499501041853</v>
      </c>
      <c r="K40" s="238">
        <f t="shared" si="0"/>
        <v>-0.17217810354910867</v>
      </c>
      <c r="L40" s="253">
        <v>1310.8376622796059</v>
      </c>
      <c r="M40" s="239">
        <f t="shared" si="4"/>
        <v>1899.0649902796058</v>
      </c>
      <c r="N40" s="266">
        <v>1743.6680801924122</v>
      </c>
      <c r="O40" s="237">
        <f t="shared" si="10"/>
        <v>155.39691008719365</v>
      </c>
      <c r="P40" s="238">
        <f t="shared" si="2"/>
        <v>8.9120694386999239E-2</v>
      </c>
      <c r="Q40" s="247"/>
      <c r="R40" s="208"/>
      <c r="S40" s="154"/>
      <c r="T40" s="247"/>
    </row>
    <row r="41" spans="1:20" s="3" customFormat="1" ht="12">
      <c r="A41" s="233" t="s">
        <v>58</v>
      </c>
      <c r="B41" s="234">
        <f>VLOOKUP($A41,'Orch iTunes data'!$A$199:$Z$310,2,FALSE)</f>
        <v>316.06473599999998</v>
      </c>
      <c r="C41" s="234">
        <f>VLOOKUP($A41,'Orch iTunes data'!$A$199:$Z$310,8,FALSE)</f>
        <v>411.46747199999999</v>
      </c>
      <c r="D41" s="234">
        <f>VLOOKUP($A41,'Orch iTunes data'!$A$199:$Z$310,14,FALSE)</f>
        <v>0</v>
      </c>
      <c r="E41" s="234">
        <f>VLOOKUP($A41,'Orch iTunes data'!$A$199:$Z$310,20,FALSE)</f>
        <v>0</v>
      </c>
      <c r="F41" s="234">
        <f>VLOOKUP($A41,'Orch iTunes data'!$A$199:$Z$310,26,FALSE)</f>
        <v>0</v>
      </c>
      <c r="G41" s="235">
        <f t="shared" si="11"/>
        <v>727.53220799999997</v>
      </c>
      <c r="H41" s="218">
        <f t="shared" si="3"/>
        <v>1455.0644159999999</v>
      </c>
      <c r="I41" s="268">
        <f>VLOOKUP($A41,[6]ORCH!$C:$U,19,FALSE)</f>
        <v>1854.2225799295006</v>
      </c>
      <c r="J41" s="237">
        <f t="shared" si="12"/>
        <v>-399.15816392950069</v>
      </c>
      <c r="K41" s="238">
        <f t="shared" si="0"/>
        <v>-0.21526982156838856</v>
      </c>
      <c r="L41" s="253">
        <v>3233.2631244659433</v>
      </c>
      <c r="M41" s="239">
        <f t="shared" si="4"/>
        <v>4688.3275404659435</v>
      </c>
      <c r="N41" s="266">
        <v>4550.0628458163146</v>
      </c>
      <c r="O41" s="237">
        <f t="shared" si="10"/>
        <v>138.26469464962884</v>
      </c>
      <c r="P41" s="238">
        <f t="shared" si="2"/>
        <v>3.0387425258699505E-2</v>
      </c>
      <c r="Q41" s="247"/>
      <c r="R41" s="208"/>
      <c r="S41" s="154"/>
      <c r="T41" s="247"/>
    </row>
    <row r="42" spans="1:20" s="3" customFormat="1" ht="12">
      <c r="A42" s="233" t="s">
        <v>57</v>
      </c>
      <c r="B42" s="234">
        <f>VLOOKUP($A42,'Orch iTunes data'!$A$199:$Z$310,2,FALSE)</f>
        <v>264.78160800000001</v>
      </c>
      <c r="C42" s="234">
        <f>VLOOKUP($A42,'Orch iTunes data'!$A$199:$Z$310,8,FALSE)</f>
        <v>301.469064</v>
      </c>
      <c r="D42" s="234">
        <f>VLOOKUP($A42,'Orch iTunes data'!$A$199:$Z$310,14,FALSE)</f>
        <v>0</v>
      </c>
      <c r="E42" s="234">
        <f>VLOOKUP($A42,'Orch iTunes data'!$A$199:$Z$310,20,FALSE)</f>
        <v>0</v>
      </c>
      <c r="F42" s="234">
        <f>VLOOKUP($A42,'Orch iTunes data'!$A$199:$Z$310,26,FALSE)</f>
        <v>0</v>
      </c>
      <c r="G42" s="235">
        <f t="shared" si="11"/>
        <v>566.25067200000001</v>
      </c>
      <c r="H42" s="218">
        <f t="shared" si="3"/>
        <v>1132.501344</v>
      </c>
      <c r="I42" s="268">
        <f>VLOOKUP($A42,[6]ORCH!$C:$U,19,FALSE)</f>
        <v>1218.9300662996961</v>
      </c>
      <c r="J42" s="237">
        <f t="shared" si="12"/>
        <v>-86.428722299696119</v>
      </c>
      <c r="K42" s="238">
        <f t="shared" si="0"/>
        <v>-7.0905398668249797E-2</v>
      </c>
      <c r="L42" s="253">
        <v>2346.0452281832681</v>
      </c>
      <c r="M42" s="239">
        <f t="shared" si="4"/>
        <v>3478.5465721832679</v>
      </c>
      <c r="N42" s="266">
        <v>2991.1233237864772</v>
      </c>
      <c r="O42" s="237">
        <f t="shared" si="10"/>
        <v>487.42324839679077</v>
      </c>
      <c r="P42" s="238">
        <f t="shared" si="2"/>
        <v>0.16295658708573721</v>
      </c>
      <c r="Q42" s="247"/>
      <c r="R42" s="208"/>
      <c r="S42" s="154"/>
      <c r="T42" s="247"/>
    </row>
    <row r="43" spans="1:20" s="3" customFormat="1" ht="12">
      <c r="A43" s="233" t="s">
        <v>56</v>
      </c>
      <c r="B43" s="234">
        <f>VLOOKUP($A43,'Orch iTunes data'!$A$199:$Z$310,2,FALSE)</f>
        <v>66.505607999999995</v>
      </c>
      <c r="C43" s="234">
        <f>VLOOKUP($A43,'Orch iTunes data'!$A$199:$Z$310,8,FALSE)</f>
        <v>59.956104000000003</v>
      </c>
      <c r="D43" s="234">
        <f>VLOOKUP($A43,'Orch iTunes data'!$A$199:$Z$310,14,FALSE)</f>
        <v>0</v>
      </c>
      <c r="E43" s="234">
        <f>VLOOKUP($A43,'Orch iTunes data'!$A$199:$Z$310,20,FALSE)</f>
        <v>0</v>
      </c>
      <c r="F43" s="234">
        <f>VLOOKUP($A43,'Orch iTunes data'!$A$199:$Z$310,26,FALSE)</f>
        <v>0</v>
      </c>
      <c r="G43" s="235">
        <f t="shared" si="11"/>
        <v>126.46171200000001</v>
      </c>
      <c r="H43" s="218">
        <f t="shared" si="3"/>
        <v>252.92342400000001</v>
      </c>
      <c r="I43" s="268">
        <f>VLOOKUP($A43,[6]ORCH!$C:$U,19,FALSE)</f>
        <v>398.04371132346034</v>
      </c>
      <c r="J43" s="237">
        <f t="shared" si="12"/>
        <v>-145.12028732346033</v>
      </c>
      <c r="K43" s="238">
        <f t="shared" si="0"/>
        <v>-0.36458379618898673</v>
      </c>
      <c r="L43" s="253">
        <v>731.02615004777954</v>
      </c>
      <c r="M43" s="239">
        <f t="shared" si="4"/>
        <v>983.94957404777961</v>
      </c>
      <c r="N43" s="266">
        <v>976.75647007414409</v>
      </c>
      <c r="O43" s="237">
        <f t="shared" si="10"/>
        <v>7.193103973635516</v>
      </c>
      <c r="P43" s="238">
        <f t="shared" si="2"/>
        <v>7.3642757371133651E-3</v>
      </c>
      <c r="Q43" s="247"/>
      <c r="R43" s="208"/>
      <c r="S43" s="154"/>
      <c r="T43" s="247"/>
    </row>
    <row r="44" spans="1:20" s="3" customFormat="1" ht="12">
      <c r="A44" s="233" t="s">
        <v>55</v>
      </c>
      <c r="B44" s="234">
        <f>VLOOKUP($A44,'Orch iTunes data'!$A$199:$Z$310,2,FALSE)</f>
        <v>93.675815999999998</v>
      </c>
      <c r="C44" s="234">
        <f>VLOOKUP($A44,'Orch iTunes data'!$A$199:$Z$310,8,FALSE)</f>
        <v>43.595135999999997</v>
      </c>
      <c r="D44" s="234">
        <f>VLOOKUP($A44,'Orch iTunes data'!$A$199:$Z$310,14,FALSE)</f>
        <v>0</v>
      </c>
      <c r="E44" s="234">
        <f>VLOOKUP($A44,'Orch iTunes data'!$A$199:$Z$310,20,FALSE)</f>
        <v>0</v>
      </c>
      <c r="F44" s="234">
        <f>VLOOKUP($A44,'Orch iTunes data'!$A$199:$Z$310,26,FALSE)</f>
        <v>0</v>
      </c>
      <c r="G44" s="235">
        <f t="shared" si="11"/>
        <v>137.27095199999999</v>
      </c>
      <c r="H44" s="218">
        <f t="shared" si="3"/>
        <v>274.54190399999999</v>
      </c>
      <c r="I44" s="268">
        <f>VLOOKUP($A44,[6]ORCH!$C:$U,19,FALSE)</f>
        <v>429.74133385975114</v>
      </c>
      <c r="J44" s="237">
        <f t="shared" si="12"/>
        <v>-155.19942985975115</v>
      </c>
      <c r="K44" s="238">
        <f t="shared" si="0"/>
        <v>-0.36114615381726695</v>
      </c>
      <c r="L44" s="253">
        <v>844.53840041160652</v>
      </c>
      <c r="M44" s="239">
        <f t="shared" si="4"/>
        <v>1119.0803044116064</v>
      </c>
      <c r="N44" s="266">
        <v>1054.5390276614701</v>
      </c>
      <c r="O44" s="237">
        <f t="shared" si="10"/>
        <v>64.541276750136376</v>
      </c>
      <c r="P44" s="238">
        <f t="shared" si="2"/>
        <v>6.1203307850314602E-2</v>
      </c>
      <c r="Q44" s="247"/>
      <c r="R44" s="208"/>
      <c r="S44" s="154"/>
      <c r="T44" s="247"/>
    </row>
    <row r="45" spans="1:20" s="3" customFormat="1" ht="12">
      <c r="A45" s="233" t="s">
        <v>54</v>
      </c>
      <c r="B45" s="234">
        <f>VLOOKUP($A45,'Orch iTunes data'!$A$199:$Z$310,2,FALSE)</f>
        <v>2757.9040319999999</v>
      </c>
      <c r="C45" s="234">
        <f>VLOOKUP($A45,'Orch iTunes data'!$A$199:$Z$310,8,FALSE)</f>
        <v>1881.7159919999999</v>
      </c>
      <c r="D45" s="234">
        <f>VLOOKUP($A45,'Orch iTunes data'!$A$199:$Z$310,14,FALSE)</f>
        <v>0</v>
      </c>
      <c r="E45" s="234">
        <f>VLOOKUP($A45,'Orch iTunes data'!$A$199:$Z$310,20,FALSE)</f>
        <v>0</v>
      </c>
      <c r="F45" s="234">
        <f>VLOOKUP($A45,'Orch iTunes data'!$A$199:$Z$310,26,FALSE)</f>
        <v>0</v>
      </c>
      <c r="G45" s="235">
        <f t="shared" si="11"/>
        <v>4639.6200239999998</v>
      </c>
      <c r="H45" s="218">
        <f t="shared" si="3"/>
        <v>9279.2400479999997</v>
      </c>
      <c r="I45" s="268">
        <f>VLOOKUP($A45,[6]ORCH!$C:$U,19,FALSE)</f>
        <v>8384.2459333930437</v>
      </c>
      <c r="J45" s="237">
        <f t="shared" si="12"/>
        <v>894.99411460695592</v>
      </c>
      <c r="K45" s="238">
        <f t="shared" si="0"/>
        <v>0.10674712093574744</v>
      </c>
      <c r="L45" s="253">
        <v>12332.289452672008</v>
      </c>
      <c r="M45" s="239">
        <f t="shared" si="4"/>
        <v>21611.529500672008</v>
      </c>
      <c r="N45" s="266">
        <v>20574.038049503564</v>
      </c>
      <c r="O45" s="237">
        <f t="shared" si="10"/>
        <v>1037.4914511684437</v>
      </c>
      <c r="P45" s="238">
        <f t="shared" si="2"/>
        <v>5.0427215536012759E-2</v>
      </c>
      <c r="Q45" s="247"/>
      <c r="R45" s="208"/>
      <c r="S45" s="154"/>
      <c r="T45" s="247"/>
    </row>
    <row r="46" spans="1:20" s="3" customFormat="1" ht="12">
      <c r="A46" s="233" t="s">
        <v>53</v>
      </c>
      <c r="B46" s="234">
        <f>VLOOKUP($A46,'Orch iTunes data'!$A$199:$Z$310,2,FALSE)</f>
        <v>258.09139199999998</v>
      </c>
      <c r="C46" s="234">
        <f>VLOOKUP($A46,'Orch iTunes data'!$A$199:$Z$310,8,FALSE)</f>
        <v>301.99353600000001</v>
      </c>
      <c r="D46" s="234">
        <f>VLOOKUP($A46,'Orch iTunes data'!$A$199:$Z$310,14,FALSE)</f>
        <v>0</v>
      </c>
      <c r="E46" s="234">
        <f>VLOOKUP($A46,'Orch iTunes data'!$A$199:$Z$310,20,FALSE)</f>
        <v>0</v>
      </c>
      <c r="F46" s="234">
        <f>VLOOKUP($A46,'Orch iTunes data'!$A$199:$Z$310,26,FALSE)</f>
        <v>0</v>
      </c>
      <c r="G46" s="235">
        <f t="shared" si="11"/>
        <v>560.08492799999999</v>
      </c>
      <c r="H46" s="218">
        <f t="shared" si="3"/>
        <v>1120.169856</v>
      </c>
      <c r="I46" s="268">
        <f>VLOOKUP($A46,[6]ORCH!$C:$U,19,FALSE)</f>
        <v>2321.7830617045001</v>
      </c>
      <c r="J46" s="237">
        <f t="shared" si="12"/>
        <v>-1201.6132057045002</v>
      </c>
      <c r="K46" s="238">
        <f t="shared" si="0"/>
        <v>-0.51753896629013862</v>
      </c>
      <c r="L46" s="253">
        <v>3750.1042786240582</v>
      </c>
      <c r="M46" s="239">
        <f t="shared" si="4"/>
        <v>4870.2741346240582</v>
      </c>
      <c r="N46" s="266">
        <v>5697.4059961609119</v>
      </c>
      <c r="O46" s="237">
        <f t="shared" si="10"/>
        <v>-827.13186153685365</v>
      </c>
      <c r="P46" s="238">
        <f t="shared" si="2"/>
        <v>-0.14517692123296122</v>
      </c>
      <c r="Q46" s="247"/>
      <c r="R46" s="208"/>
      <c r="S46" s="154"/>
      <c r="T46" s="247"/>
    </row>
    <row r="47" spans="1:20" s="3" customFormat="1" ht="12">
      <c r="A47" s="233" t="s">
        <v>52</v>
      </c>
      <c r="B47" s="234">
        <f>VLOOKUP($A47,'Orch iTunes data'!$A$199:$Z$310,2,FALSE)</f>
        <v>244.51908</v>
      </c>
      <c r="C47" s="234">
        <f>VLOOKUP($A47,'Orch iTunes data'!$A$199:$Z$310,8,FALSE)</f>
        <v>242.70261600000001</v>
      </c>
      <c r="D47" s="234">
        <f>VLOOKUP($A47,'Orch iTunes data'!$A$199:$Z$310,14,FALSE)</f>
        <v>0</v>
      </c>
      <c r="E47" s="234">
        <f>VLOOKUP($A47,'Orch iTunes data'!$A$199:$Z$310,20,FALSE)</f>
        <v>0</v>
      </c>
      <c r="F47" s="234">
        <f>VLOOKUP($A47,'Orch iTunes data'!$A$199:$Z$310,26,FALSE)</f>
        <v>0</v>
      </c>
      <c r="G47" s="235">
        <f t="shared" si="11"/>
        <v>487.22169600000001</v>
      </c>
      <c r="H47" s="218">
        <f t="shared" si="3"/>
        <v>974.44339200000002</v>
      </c>
      <c r="I47" s="268">
        <f>VLOOKUP($A47,[6]ORCH!$C:$U,19,FALSE)</f>
        <v>1325.6529655712413</v>
      </c>
      <c r="J47" s="237">
        <f t="shared" si="12"/>
        <v>-351.20957357124132</v>
      </c>
      <c r="K47" s="238">
        <f t="shared" si="0"/>
        <v>-0.26493326888149832</v>
      </c>
      <c r="L47" s="253">
        <v>2764.422866165638</v>
      </c>
      <c r="M47" s="239">
        <f t="shared" si="4"/>
        <v>3738.8662581656381</v>
      </c>
      <c r="N47" s="266">
        <v>3253.0098437919219</v>
      </c>
      <c r="O47" s="237">
        <f t="shared" si="10"/>
        <v>485.85641437371623</v>
      </c>
      <c r="P47" s="238">
        <f t="shared" si="2"/>
        <v>0.14935596192582379</v>
      </c>
      <c r="Q47" s="247"/>
      <c r="R47" s="208"/>
      <c r="S47" s="154"/>
      <c r="T47" s="247"/>
    </row>
    <row r="48" spans="1:20" s="3" customFormat="1" ht="12">
      <c r="A48" s="233" t="s">
        <v>90</v>
      </c>
      <c r="B48" s="234">
        <f>VLOOKUP($A48,'Orch iTunes data'!$A$199:$Z$310,2,FALSE)</f>
        <v>139.36884000000001</v>
      </c>
      <c r="C48" s="234">
        <f>VLOOKUP($A48,'Orch iTunes data'!$A$199:$Z$310,8,FALSE)</f>
        <v>109.972824</v>
      </c>
      <c r="D48" s="234">
        <f>VLOOKUP($A48,'Orch iTunes data'!$A$199:$Z$310,14,FALSE)</f>
        <v>0</v>
      </c>
      <c r="E48" s="234">
        <f>VLOOKUP($A48,'Orch iTunes data'!$A$199:$Z$310,20,FALSE)</f>
        <v>0</v>
      </c>
      <c r="F48" s="234">
        <f>VLOOKUP($A48,'Orch iTunes data'!$A$199:$Z$310,26,FALSE)</f>
        <v>0</v>
      </c>
      <c r="G48" s="235">
        <f t="shared" si="11"/>
        <v>249.34166400000001</v>
      </c>
      <c r="H48" s="218">
        <f t="shared" si="3"/>
        <v>498.68332800000002</v>
      </c>
      <c r="I48" s="268">
        <f>VLOOKUP($A48,[6]ORCH!$C:$U,19,FALSE)</f>
        <v>672.65783151884614</v>
      </c>
      <c r="J48" s="237">
        <f t="shared" si="12"/>
        <v>-173.97450351884612</v>
      </c>
      <c r="K48" s="238">
        <f t="shared" si="0"/>
        <v>-0.25863744591513288</v>
      </c>
      <c r="L48" s="253">
        <v>1168.6652408242223</v>
      </c>
      <c r="M48" s="239">
        <f t="shared" si="4"/>
        <v>1667.3485688242224</v>
      </c>
      <c r="N48" s="266">
        <v>1650.6299946242918</v>
      </c>
      <c r="O48" s="237">
        <f t="shared" si="10"/>
        <v>16.718574199930572</v>
      </c>
      <c r="P48" s="238">
        <f t="shared" si="2"/>
        <v>1.0128601960693177E-2</v>
      </c>
      <c r="Q48" s="247"/>
      <c r="R48" s="208"/>
      <c r="S48" s="154"/>
      <c r="T48" s="247"/>
    </row>
    <row r="49" spans="1:20" s="142" customFormat="1">
      <c r="A49" s="212" t="s">
        <v>95</v>
      </c>
      <c r="B49" s="221">
        <f>'Orch iTunes data'!B191</f>
        <v>17983.009999999998</v>
      </c>
      <c r="C49" s="222">
        <f>'Orch iTunes data'!H191</f>
        <v>18190.460000000003</v>
      </c>
      <c r="D49" s="222">
        <f>'Orch iTunes data'!N191</f>
        <v>0</v>
      </c>
      <c r="E49" s="222">
        <f>'Orch iTunes data'!T191</f>
        <v>0</v>
      </c>
      <c r="F49" s="222">
        <f>'Orch iTunes data'!Z191</f>
        <v>0</v>
      </c>
      <c r="G49" s="216">
        <f t="shared" si="6"/>
        <v>36173.47</v>
      </c>
      <c r="H49" s="218">
        <f t="shared" si="3"/>
        <v>72346.94</v>
      </c>
      <c r="I49" s="302">
        <f>SUM(I50:I66)</f>
        <v>103839.29039636375</v>
      </c>
      <c r="J49" s="219">
        <f t="shared" si="7"/>
        <v>-31492.350396363749</v>
      </c>
      <c r="K49" s="220">
        <f t="shared" si="0"/>
        <v>-0.30327971499183654</v>
      </c>
      <c r="L49" s="252">
        <v>198602.06977194562</v>
      </c>
      <c r="M49" s="245">
        <f t="shared" si="4"/>
        <v>270949.00977194565</v>
      </c>
      <c r="N49" s="265">
        <v>254810.45387031662</v>
      </c>
      <c r="O49" s="219">
        <f t="shared" si="10"/>
        <v>16138.555901629035</v>
      </c>
      <c r="P49" s="220">
        <f t="shared" si="2"/>
        <v>6.3335532967743163E-2</v>
      </c>
      <c r="Q49" s="247"/>
      <c r="R49" s="246">
        <v>1.9753228268273172E-2</v>
      </c>
      <c r="S49" s="205">
        <f>R49*$R$129</f>
        <v>96061.769610650939</v>
      </c>
      <c r="T49" s="247"/>
    </row>
    <row r="50" spans="1:20" s="3" customFormat="1" ht="12">
      <c r="A50" s="233" t="s">
        <v>126</v>
      </c>
      <c r="B50" s="234">
        <f>VLOOKUP($A50,'Orch iTunes data'!$A$199:$Z$310,2,FALSE)</f>
        <v>1729.66</v>
      </c>
      <c r="C50" s="234">
        <f>VLOOKUP($A50,'Orch iTunes data'!$A$199:$Z$310,8,FALSE)</f>
        <v>1356.15</v>
      </c>
      <c r="D50" s="234">
        <f>VLOOKUP($A50,'Orch iTunes data'!$A$199:$Z$310,14,FALSE)</f>
        <v>0</v>
      </c>
      <c r="E50" s="234">
        <f>VLOOKUP($A50,'Orch iTunes data'!$A$199:$Z$310,20,FALSE)</f>
        <v>0</v>
      </c>
      <c r="F50" s="234">
        <f>VLOOKUP($A50,'Orch iTunes data'!$A$199:$Z$310,26,FALSE)</f>
        <v>0</v>
      </c>
      <c r="G50" s="235">
        <f t="shared" ref="G50:G66" si="13">SUM(B50:F50)</f>
        <v>3085.8100000000004</v>
      </c>
      <c r="H50" s="218">
        <f t="shared" si="3"/>
        <v>6171.6200000000008</v>
      </c>
      <c r="I50" s="268">
        <f>VLOOKUP($A50,[6]ORCH!$C:$U,19,FALSE)</f>
        <v>11401.725657151601</v>
      </c>
      <c r="J50" s="237">
        <f t="shared" ref="J50:J66" si="14">H50-I50</f>
        <v>-5230.1056571516001</v>
      </c>
      <c r="K50" s="238">
        <f t="shared" si="0"/>
        <v>-0.4587117612210812</v>
      </c>
      <c r="L50" s="253">
        <v>22012.969971656788</v>
      </c>
      <c r="M50" s="239">
        <f t="shared" si="4"/>
        <v>28184.589971656787</v>
      </c>
      <c r="N50" s="266">
        <v>27978.608853295584</v>
      </c>
      <c r="O50" s="237">
        <f t="shared" si="10"/>
        <v>205.9811183612037</v>
      </c>
      <c r="P50" s="238">
        <f t="shared" si="2"/>
        <v>7.3620929275381502E-3</v>
      </c>
      <c r="Q50" s="247"/>
      <c r="R50" s="208"/>
      <c r="S50" s="154"/>
      <c r="T50" s="247"/>
    </row>
    <row r="51" spans="1:20" s="3" customFormat="1" ht="12">
      <c r="A51" s="233" t="s">
        <v>132</v>
      </c>
      <c r="B51" s="234">
        <f>VLOOKUP($A51,'Orch iTunes data'!$A$199:$Z$310,2,FALSE)</f>
        <v>0.61</v>
      </c>
      <c r="C51" s="234">
        <f>VLOOKUP($A51,'Orch iTunes data'!$A$199:$Z$310,8,FALSE)</f>
        <v>0.61</v>
      </c>
      <c r="D51" s="234">
        <f>VLOOKUP($A51,'Orch iTunes data'!$A$199:$Z$310,14,FALSE)</f>
        <v>0</v>
      </c>
      <c r="E51" s="234">
        <f>VLOOKUP($A51,'Orch iTunes data'!$A$199:$Z$310,20,FALSE)</f>
        <v>0</v>
      </c>
      <c r="F51" s="234">
        <f>VLOOKUP($A51,'Orch iTunes data'!$A$199:$Z$310,26,FALSE)</f>
        <v>0</v>
      </c>
      <c r="G51" s="235">
        <f t="shared" si="13"/>
        <v>1.22</v>
      </c>
      <c r="H51" s="218">
        <f t="shared" si="3"/>
        <v>2.44</v>
      </c>
      <c r="I51" s="268">
        <f>VLOOKUP($A51,[6]ORCH!$C:$U,19,FALSE)</f>
        <v>42.840976945901907</v>
      </c>
      <c r="J51" s="237">
        <f t="shared" si="14"/>
        <v>-40.40097694590191</v>
      </c>
      <c r="K51" s="238">
        <f t="shared" si="0"/>
        <v>-0.94304518304796958</v>
      </c>
      <c r="L51" s="253">
        <v>76.249999403953495</v>
      </c>
      <c r="M51" s="239">
        <f t="shared" si="4"/>
        <v>78.689999403953493</v>
      </c>
      <c r="N51" s="266">
        <v>105.12715117913888</v>
      </c>
      <c r="O51" s="237">
        <f t="shared" si="10"/>
        <v>-26.437151775185384</v>
      </c>
      <c r="P51" s="238">
        <f t="shared" si="2"/>
        <v>-0.25147786731265953</v>
      </c>
      <c r="Q51" s="247"/>
      <c r="R51" s="208"/>
      <c r="S51" s="154"/>
      <c r="T51" s="247"/>
    </row>
    <row r="52" spans="1:20" s="3" customFormat="1" ht="12">
      <c r="A52" s="233" t="s">
        <v>134</v>
      </c>
      <c r="B52" s="234">
        <f>VLOOKUP($A52,'Orch iTunes data'!$A$199:$Z$310,2,FALSE)</f>
        <v>34.770000000000003</v>
      </c>
      <c r="C52" s="234">
        <f>VLOOKUP($A52,'Orch iTunes data'!$A$199:$Z$310,8,FALSE)</f>
        <v>8.9700000000000006</v>
      </c>
      <c r="D52" s="234">
        <f>VLOOKUP($A52,'Orch iTunes data'!$A$199:$Z$310,14,FALSE)</f>
        <v>0</v>
      </c>
      <c r="E52" s="234">
        <f>VLOOKUP($A52,'Orch iTunes data'!$A$199:$Z$310,20,FALSE)</f>
        <v>0</v>
      </c>
      <c r="F52" s="234">
        <f>VLOOKUP($A52,'Orch iTunes data'!$A$199:$Z$310,26,FALSE)</f>
        <v>0</v>
      </c>
      <c r="G52" s="235">
        <f t="shared" si="13"/>
        <v>43.74</v>
      </c>
      <c r="H52" s="218">
        <f t="shared" si="3"/>
        <v>87.48</v>
      </c>
      <c r="I52" s="268">
        <f>VLOOKUP($A52,[6]ORCH!$C:$U,19,FALSE)</f>
        <v>142.46187797452066</v>
      </c>
      <c r="J52" s="237">
        <f t="shared" si="14"/>
        <v>-54.981877974520657</v>
      </c>
      <c r="K52" s="238">
        <f t="shared" si="0"/>
        <v>-0.38594098825760376</v>
      </c>
      <c r="L52" s="253">
        <v>245.21999859809875</v>
      </c>
      <c r="M52" s="239">
        <f t="shared" si="4"/>
        <v>332.69999859809877</v>
      </c>
      <c r="N52" s="266">
        <v>349.58613110068461</v>
      </c>
      <c r="O52" s="237">
        <f t="shared" si="10"/>
        <v>-16.886132502585838</v>
      </c>
      <c r="P52" s="238">
        <f t="shared" si="2"/>
        <v>-4.8303210569078464E-2</v>
      </c>
      <c r="Q52" s="247"/>
      <c r="R52" s="208"/>
      <c r="S52" s="154"/>
      <c r="T52" s="247"/>
    </row>
    <row r="53" spans="1:20" s="3" customFormat="1" ht="12">
      <c r="A53" s="233" t="s">
        <v>136</v>
      </c>
      <c r="B53" s="234">
        <f>VLOOKUP($A53,'Orch iTunes data'!$A$199:$Z$310,2,FALSE)</f>
        <v>9286.92</v>
      </c>
      <c r="C53" s="234">
        <f>VLOOKUP($A53,'Orch iTunes data'!$A$199:$Z$310,8,FALSE)</f>
        <v>9513.6</v>
      </c>
      <c r="D53" s="234">
        <f>VLOOKUP($A53,'Orch iTunes data'!$A$199:$Z$310,14,FALSE)</f>
        <v>0</v>
      </c>
      <c r="E53" s="234">
        <f>VLOOKUP($A53,'Orch iTunes data'!$A$199:$Z$310,20,FALSE)</f>
        <v>0</v>
      </c>
      <c r="F53" s="234">
        <f>VLOOKUP($A53,'Orch iTunes data'!$A$199:$Z$310,26,FALSE)</f>
        <v>0</v>
      </c>
      <c r="G53" s="235">
        <f t="shared" si="13"/>
        <v>18800.52</v>
      </c>
      <c r="H53" s="218">
        <f t="shared" si="3"/>
        <v>37601.040000000001</v>
      </c>
      <c r="I53" s="268">
        <f>VLOOKUP($A53,[6]ORCH!$C:$U,19,FALSE)</f>
        <v>51290.951008732824</v>
      </c>
      <c r="J53" s="237">
        <f t="shared" si="14"/>
        <v>-13689.911008732823</v>
      </c>
      <c r="K53" s="238">
        <f t="shared" si="0"/>
        <v>-0.2669069443926273</v>
      </c>
      <c r="L53" s="253">
        <v>97447.699763357799</v>
      </c>
      <c r="M53" s="239">
        <f t="shared" si="4"/>
        <v>135048.73976335779</v>
      </c>
      <c r="N53" s="266">
        <v>125862.47899121864</v>
      </c>
      <c r="O53" s="237">
        <f t="shared" si="10"/>
        <v>9186.2607721391541</v>
      </c>
      <c r="P53" s="238">
        <f t="shared" si="2"/>
        <v>7.2986491651575322E-2</v>
      </c>
      <c r="Q53" s="247"/>
      <c r="R53" s="208"/>
      <c r="S53" s="154"/>
      <c r="T53" s="247"/>
    </row>
    <row r="54" spans="1:20" s="3" customFormat="1" ht="12">
      <c r="A54" s="233" t="s">
        <v>142</v>
      </c>
      <c r="B54" s="234">
        <f>VLOOKUP($A54,'Orch iTunes data'!$A$199:$Z$310,2,FALSE)</f>
        <v>2413.27</v>
      </c>
      <c r="C54" s="234">
        <f>VLOOKUP($A54,'Orch iTunes data'!$A$199:$Z$310,8,FALSE)</f>
        <v>2521.09</v>
      </c>
      <c r="D54" s="234">
        <f>VLOOKUP($A54,'Orch iTunes data'!$A$199:$Z$310,14,FALSE)</f>
        <v>0</v>
      </c>
      <c r="E54" s="234">
        <f>VLOOKUP($A54,'Orch iTunes data'!$A$199:$Z$310,20,FALSE)</f>
        <v>0</v>
      </c>
      <c r="F54" s="234">
        <f>VLOOKUP($A54,'Orch iTunes data'!$A$199:$Z$310,26,FALSE)</f>
        <v>0</v>
      </c>
      <c r="G54" s="235">
        <f t="shared" si="13"/>
        <v>4934.3600000000006</v>
      </c>
      <c r="H54" s="218">
        <f t="shared" si="3"/>
        <v>9868.7200000000012</v>
      </c>
      <c r="I54" s="268">
        <f>VLOOKUP($A54,[6]ORCH!$C:$U,19,FALSE)</f>
        <v>13804.157579971832</v>
      </c>
      <c r="J54" s="237">
        <f t="shared" si="14"/>
        <v>-3935.4375799718309</v>
      </c>
      <c r="K54" s="238">
        <f t="shared" si="0"/>
        <v>-0.28509074582585731</v>
      </c>
      <c r="L54" s="253">
        <v>27692.909942507744</v>
      </c>
      <c r="M54" s="239">
        <f t="shared" si="4"/>
        <v>37561.629942507745</v>
      </c>
      <c r="N54" s="266">
        <v>33873.918483298577</v>
      </c>
      <c r="O54" s="237">
        <f t="shared" si="10"/>
        <v>3687.7114592091675</v>
      </c>
      <c r="P54" s="238">
        <f t="shared" si="2"/>
        <v>0.10886580662427293</v>
      </c>
      <c r="Q54" s="247"/>
      <c r="R54" s="208"/>
      <c r="S54" s="154"/>
      <c r="T54" s="247"/>
    </row>
    <row r="55" spans="1:20" s="3" customFormat="1" ht="12">
      <c r="A55" s="233" t="s">
        <v>143</v>
      </c>
      <c r="B55" s="234">
        <f>VLOOKUP($A55,'Orch iTunes data'!$A$199:$Z$310,2,FALSE)</f>
        <v>1804.31</v>
      </c>
      <c r="C55" s="234">
        <f>VLOOKUP($A55,'Orch iTunes data'!$A$199:$Z$310,8,FALSE)</f>
        <v>1841.18</v>
      </c>
      <c r="D55" s="234">
        <f>VLOOKUP($A55,'Orch iTunes data'!$A$199:$Z$310,14,FALSE)</f>
        <v>0</v>
      </c>
      <c r="E55" s="234">
        <f>VLOOKUP($A55,'Orch iTunes data'!$A$199:$Z$310,20,FALSE)</f>
        <v>0</v>
      </c>
      <c r="F55" s="234">
        <f>VLOOKUP($A55,'Orch iTunes data'!$A$199:$Z$310,26,FALSE)</f>
        <v>0</v>
      </c>
      <c r="G55" s="235">
        <f t="shared" si="13"/>
        <v>3645.49</v>
      </c>
      <c r="H55" s="218">
        <f t="shared" si="3"/>
        <v>7290.98</v>
      </c>
      <c r="I55" s="268">
        <f>VLOOKUP($A55,[6]ORCH!$C:$U,19,FALSE)</f>
        <v>10484.519107416749</v>
      </c>
      <c r="J55" s="237">
        <f t="shared" si="14"/>
        <v>-3193.5391074167492</v>
      </c>
      <c r="K55" s="238">
        <f t="shared" si="0"/>
        <v>-0.30459566859462728</v>
      </c>
      <c r="L55" s="253">
        <v>21063.700030505661</v>
      </c>
      <c r="M55" s="239">
        <f t="shared" si="4"/>
        <v>28354.68003050566</v>
      </c>
      <c r="N55" s="266">
        <v>25727.882597957563</v>
      </c>
      <c r="O55" s="237">
        <f t="shared" si="10"/>
        <v>2626.7974325480973</v>
      </c>
      <c r="P55" s="238">
        <f t="shared" si="2"/>
        <v>0.1020992467042985</v>
      </c>
      <c r="Q55" s="247"/>
      <c r="R55" s="208"/>
      <c r="S55" s="154"/>
      <c r="T55" s="247"/>
    </row>
    <row r="56" spans="1:20" s="3" customFormat="1" ht="12">
      <c r="A56" s="233" t="s">
        <v>144</v>
      </c>
      <c r="B56" s="234">
        <f>VLOOKUP($A56,'Orch iTunes data'!$A$199:$Z$310,2,FALSE)</f>
        <v>349.53</v>
      </c>
      <c r="C56" s="234">
        <f>VLOOKUP($A56,'Orch iTunes data'!$A$199:$Z$310,8,FALSE)</f>
        <v>473.9</v>
      </c>
      <c r="D56" s="234">
        <f>VLOOKUP($A56,'Orch iTunes data'!$A$199:$Z$310,14,FALSE)</f>
        <v>0</v>
      </c>
      <c r="E56" s="234">
        <f>VLOOKUP($A56,'Orch iTunes data'!$A$199:$Z$310,20,FALSE)</f>
        <v>0</v>
      </c>
      <c r="F56" s="234">
        <f>VLOOKUP($A56,'Orch iTunes data'!$A$199:$Z$310,26,FALSE)</f>
        <v>0</v>
      </c>
      <c r="G56" s="235">
        <f t="shared" si="13"/>
        <v>823.43</v>
      </c>
      <c r="H56" s="218">
        <f t="shared" si="3"/>
        <v>1646.86</v>
      </c>
      <c r="I56" s="268">
        <f>VLOOKUP($A56,[6]ORCH!$C:$U,19,FALSE)</f>
        <v>2718.2322531607097</v>
      </c>
      <c r="J56" s="237">
        <f t="shared" si="14"/>
        <v>-1071.3722531607098</v>
      </c>
      <c r="K56" s="238">
        <f t="shared" si="0"/>
        <v>-0.39414301405442381</v>
      </c>
      <c r="L56" s="253">
        <v>4766.7500057816505</v>
      </c>
      <c r="M56" s="239">
        <f t="shared" si="4"/>
        <v>6413.6100057816502</v>
      </c>
      <c r="N56" s="266">
        <v>6670.2496859230141</v>
      </c>
      <c r="O56" s="237">
        <f t="shared" si="10"/>
        <v>-256.6396801413639</v>
      </c>
      <c r="P56" s="238">
        <f t="shared" si="2"/>
        <v>-3.8475273374395533E-2</v>
      </c>
      <c r="Q56" s="247"/>
      <c r="R56" s="208"/>
      <c r="S56" s="154"/>
      <c r="T56" s="247"/>
    </row>
    <row r="57" spans="1:20" s="3" customFormat="1" ht="12">
      <c r="A57" s="233" t="s">
        <v>146</v>
      </c>
      <c r="B57" s="234">
        <f>VLOOKUP($A57,'Orch iTunes data'!$A$199:$Z$310,2,FALSE)</f>
        <v>192.94</v>
      </c>
      <c r="C57" s="234">
        <f>VLOOKUP($A57,'Orch iTunes data'!$A$199:$Z$310,8,FALSE)</f>
        <v>166.28</v>
      </c>
      <c r="D57" s="234">
        <f>VLOOKUP($A57,'Orch iTunes data'!$A$199:$Z$310,14,FALSE)</f>
        <v>0</v>
      </c>
      <c r="E57" s="234">
        <f>VLOOKUP($A57,'Orch iTunes data'!$A$199:$Z$310,20,FALSE)</f>
        <v>0</v>
      </c>
      <c r="F57" s="234">
        <f>VLOOKUP($A57,'Orch iTunes data'!$A$199:$Z$310,26,FALSE)</f>
        <v>0</v>
      </c>
      <c r="G57" s="235">
        <f t="shared" si="13"/>
        <v>359.22</v>
      </c>
      <c r="H57" s="218">
        <f t="shared" si="3"/>
        <v>718.44</v>
      </c>
      <c r="I57" s="268">
        <f>VLOOKUP($A57,[6]ORCH!$C:$U,19,FALSE)</f>
        <v>888.49561454762761</v>
      </c>
      <c r="J57" s="237">
        <f t="shared" si="14"/>
        <v>-170.05561454762756</v>
      </c>
      <c r="K57" s="238">
        <f t="shared" si="0"/>
        <v>-0.1913972469455692</v>
      </c>
      <c r="L57" s="253">
        <v>1496.1100043058409</v>
      </c>
      <c r="M57" s="239">
        <f t="shared" si="4"/>
        <v>2214.550004305841</v>
      </c>
      <c r="N57" s="266">
        <v>2180.2727073777742</v>
      </c>
      <c r="O57" s="237">
        <f t="shared" si="10"/>
        <v>34.277296928066789</v>
      </c>
      <c r="P57" s="238">
        <f t="shared" si="2"/>
        <v>1.5721564009895019E-2</v>
      </c>
      <c r="Q57" s="247"/>
      <c r="R57" s="208"/>
      <c r="S57" s="154"/>
      <c r="T57" s="247"/>
    </row>
    <row r="58" spans="1:20" s="3" customFormat="1" ht="12">
      <c r="A58" s="233" t="s">
        <v>147</v>
      </c>
      <c r="B58" s="234">
        <f>VLOOKUP($A58,'Orch iTunes data'!$A$199:$Z$310,2,FALSE)</f>
        <v>437.91</v>
      </c>
      <c r="C58" s="234">
        <f>VLOOKUP($A58,'Orch iTunes data'!$A$199:$Z$310,8,FALSE)</f>
        <v>459.01</v>
      </c>
      <c r="D58" s="234">
        <f>VLOOKUP($A58,'Orch iTunes data'!$A$199:$Z$310,14,FALSE)</f>
        <v>0</v>
      </c>
      <c r="E58" s="234">
        <f>VLOOKUP($A58,'Orch iTunes data'!$A$199:$Z$310,20,FALSE)</f>
        <v>0</v>
      </c>
      <c r="F58" s="234">
        <f>VLOOKUP($A58,'Orch iTunes data'!$A$199:$Z$310,26,FALSE)</f>
        <v>0</v>
      </c>
      <c r="G58" s="235">
        <f t="shared" si="13"/>
        <v>896.92000000000007</v>
      </c>
      <c r="H58" s="218">
        <f t="shared" si="3"/>
        <v>1793.8400000000001</v>
      </c>
      <c r="I58" s="268">
        <f>VLOOKUP($A58,[6]ORCH!$C:$U,19,FALSE)</f>
        <v>3121.1543354894166</v>
      </c>
      <c r="J58" s="237">
        <f t="shared" si="14"/>
        <v>-1327.3143354894164</v>
      </c>
      <c r="K58" s="238">
        <f t="shared" si="0"/>
        <v>-0.42526392251643819</v>
      </c>
      <c r="L58" s="253">
        <v>5696.8600167036057</v>
      </c>
      <c r="M58" s="239">
        <f t="shared" si="4"/>
        <v>7490.7000167036058</v>
      </c>
      <c r="N58" s="266">
        <v>7658.9771539233734</v>
      </c>
      <c r="O58" s="237">
        <f t="shared" si="10"/>
        <v>-168.27713721976761</v>
      </c>
      <c r="P58" s="238">
        <f t="shared" si="2"/>
        <v>-2.1971228512356417E-2</v>
      </c>
      <c r="Q58" s="247"/>
      <c r="R58" s="208"/>
      <c r="S58" s="154"/>
      <c r="T58" s="247"/>
    </row>
    <row r="59" spans="1:20" s="3" customFormat="1" ht="12">
      <c r="A59" s="233" t="s">
        <v>148</v>
      </c>
      <c r="B59" s="234">
        <f>VLOOKUP($A59,'Orch iTunes data'!$A$199:$Z$310,2,FALSE)</f>
        <v>84.97</v>
      </c>
      <c r="C59" s="234">
        <f>VLOOKUP($A59,'Orch iTunes data'!$A$199:$Z$310,8,FALSE)</f>
        <v>137.43</v>
      </c>
      <c r="D59" s="234">
        <f>VLOOKUP($A59,'Orch iTunes data'!$A$199:$Z$310,14,FALSE)</f>
        <v>0</v>
      </c>
      <c r="E59" s="234">
        <f>VLOOKUP($A59,'Orch iTunes data'!$A$199:$Z$310,20,FALSE)</f>
        <v>0</v>
      </c>
      <c r="F59" s="234">
        <f>VLOOKUP($A59,'Orch iTunes data'!$A$199:$Z$310,26,FALSE)</f>
        <v>0</v>
      </c>
      <c r="G59" s="235">
        <f t="shared" si="13"/>
        <v>222.4</v>
      </c>
      <c r="H59" s="218">
        <f t="shared" si="3"/>
        <v>444.8</v>
      </c>
      <c r="I59" s="268">
        <f>VLOOKUP($A59,[6]ORCH!$C:$U,19,FALSE)</f>
        <v>522.11382685514229</v>
      </c>
      <c r="J59" s="237">
        <f t="shared" si="14"/>
        <v>-77.313826855142281</v>
      </c>
      <c r="K59" s="238">
        <f t="shared" si="0"/>
        <v>-0.1480784895524182</v>
      </c>
      <c r="L59" s="253">
        <v>834.86000066995598</v>
      </c>
      <c r="M59" s="239">
        <f t="shared" si="4"/>
        <v>1279.6600006699559</v>
      </c>
      <c r="N59" s="266">
        <v>1281.2111936156443</v>
      </c>
      <c r="O59" s="237">
        <f t="shared" si="10"/>
        <v>-1.551192945688399</v>
      </c>
      <c r="P59" s="238">
        <f t="shared" si="2"/>
        <v>-1.2107238474172648E-3</v>
      </c>
      <c r="Q59" s="247"/>
      <c r="R59" s="208"/>
      <c r="S59" s="154"/>
      <c r="T59" s="247"/>
    </row>
    <row r="60" spans="1:20" s="3" customFormat="1" ht="12">
      <c r="A60" s="233" t="s">
        <v>153</v>
      </c>
      <c r="B60" s="234">
        <f>VLOOKUP($A60,'Orch iTunes data'!$A$199:$Z$310,2,FALSE)</f>
        <v>188.24</v>
      </c>
      <c r="C60" s="234">
        <f>VLOOKUP($A60,'Orch iTunes data'!$A$199:$Z$310,8,FALSE)</f>
        <v>208.19</v>
      </c>
      <c r="D60" s="234">
        <f>VLOOKUP($A60,'Orch iTunes data'!$A$199:$Z$310,14,FALSE)</f>
        <v>0</v>
      </c>
      <c r="E60" s="234">
        <f>VLOOKUP($A60,'Orch iTunes data'!$A$199:$Z$310,20,FALSE)</f>
        <v>0</v>
      </c>
      <c r="F60" s="234">
        <f>VLOOKUP($A60,'Orch iTunes data'!$A$199:$Z$310,26,FALSE)</f>
        <v>0</v>
      </c>
      <c r="G60" s="235">
        <f t="shared" si="13"/>
        <v>396.43</v>
      </c>
      <c r="H60" s="218">
        <f t="shared" si="3"/>
        <v>792.86</v>
      </c>
      <c r="I60" s="268">
        <f>VLOOKUP($A60,[6]ORCH!$C:$U,19,FALSE)</f>
        <v>1275.7271578809848</v>
      </c>
      <c r="J60" s="237">
        <f t="shared" si="14"/>
        <v>-482.86715788098479</v>
      </c>
      <c r="K60" s="238">
        <f t="shared" si="0"/>
        <v>-0.37850347144999202</v>
      </c>
      <c r="L60" s="253">
        <v>2391.0599999427795</v>
      </c>
      <c r="M60" s="239">
        <f t="shared" si="4"/>
        <v>3183.9199999427797</v>
      </c>
      <c r="N60" s="266">
        <v>3130.4972797245355</v>
      </c>
      <c r="O60" s="237">
        <f t="shared" si="10"/>
        <v>53.422720218244194</v>
      </c>
      <c r="P60" s="238">
        <f t="shared" si="2"/>
        <v>1.7065250484084454E-2</v>
      </c>
      <c r="Q60" s="247"/>
      <c r="R60" s="208"/>
      <c r="S60" s="154"/>
      <c r="T60" s="247"/>
    </row>
    <row r="61" spans="1:20" s="3" customFormat="1" ht="12">
      <c r="A61" s="233" t="s">
        <v>155</v>
      </c>
      <c r="B61" s="234">
        <f>VLOOKUP($A61,'Orch iTunes data'!$A$199:$Z$310,2,FALSE)</f>
        <v>156.77000000000001</v>
      </c>
      <c r="C61" s="234">
        <f>VLOOKUP($A61,'Orch iTunes data'!$A$199:$Z$310,8,FALSE)</f>
        <v>81.92</v>
      </c>
      <c r="D61" s="234">
        <f>VLOOKUP($A61,'Orch iTunes data'!$A$199:$Z$310,14,FALSE)</f>
        <v>0</v>
      </c>
      <c r="E61" s="234">
        <f>VLOOKUP($A61,'Orch iTunes data'!$A$199:$Z$310,20,FALSE)</f>
        <v>0</v>
      </c>
      <c r="F61" s="234">
        <f>VLOOKUP($A61,'Orch iTunes data'!$A$199:$Z$310,26,FALSE)</f>
        <v>0</v>
      </c>
      <c r="G61" s="235">
        <f t="shared" si="13"/>
        <v>238.69</v>
      </c>
      <c r="H61" s="218">
        <f t="shared" si="3"/>
        <v>477.38</v>
      </c>
      <c r="I61" s="268">
        <f>VLOOKUP($A61,[6]ORCH!$C:$U,19,FALSE)</f>
        <v>676.23172258634327</v>
      </c>
      <c r="J61" s="237">
        <f t="shared" si="14"/>
        <v>-198.85172258634327</v>
      </c>
      <c r="K61" s="238">
        <f t="shared" si="0"/>
        <v>-0.29405855410894793</v>
      </c>
      <c r="L61" s="253">
        <v>1210.0600019097326</v>
      </c>
      <c r="M61" s="239">
        <f t="shared" si="4"/>
        <v>1687.4400019097325</v>
      </c>
      <c r="N61" s="266">
        <v>1659.3999390404749</v>
      </c>
      <c r="O61" s="237">
        <f t="shared" si="10"/>
        <v>28.040062869257554</v>
      </c>
      <c r="P61" s="238">
        <f t="shared" si="2"/>
        <v>1.6897712365514087E-2</v>
      </c>
      <c r="Q61" s="247"/>
      <c r="R61" s="208"/>
      <c r="S61" s="154"/>
      <c r="T61" s="247"/>
    </row>
    <row r="62" spans="1:20" s="3" customFormat="1" ht="12">
      <c r="A62" s="233" t="s">
        <v>172</v>
      </c>
      <c r="B62" s="234">
        <f>VLOOKUP($A62,'Orch iTunes data'!$A$199:$Z$310,2,FALSE)</f>
        <v>51.24</v>
      </c>
      <c r="C62" s="234">
        <f>VLOOKUP($A62,'Orch iTunes data'!$A$199:$Z$310,8,FALSE)</f>
        <v>84.79</v>
      </c>
      <c r="D62" s="234">
        <f>VLOOKUP($A62,'Orch iTunes data'!$A$199:$Z$310,14,FALSE)</f>
        <v>0</v>
      </c>
      <c r="E62" s="234">
        <f>VLOOKUP($A62,'Orch iTunes data'!$A$199:$Z$310,20,FALSE)</f>
        <v>0</v>
      </c>
      <c r="F62" s="234">
        <f>VLOOKUP($A62,'Orch iTunes data'!$A$199:$Z$310,26,FALSE)</f>
        <v>0</v>
      </c>
      <c r="G62" s="235">
        <f t="shared" si="13"/>
        <v>136.03</v>
      </c>
      <c r="H62" s="218">
        <f t="shared" si="3"/>
        <v>272.06</v>
      </c>
      <c r="I62" s="268">
        <f>VLOOKUP($A62,[6]ORCH!$C:$U,19,FALSE)</f>
        <v>305.82882724947189</v>
      </c>
      <c r="J62" s="237">
        <f t="shared" si="14"/>
        <v>-33.768827249471883</v>
      </c>
      <c r="K62" s="238">
        <f t="shared" si="0"/>
        <v>-0.11041741078883269</v>
      </c>
      <c r="L62" s="253">
        <v>556.25000137090683</v>
      </c>
      <c r="M62" s="239">
        <f t="shared" si="4"/>
        <v>828.31000137090678</v>
      </c>
      <c r="N62" s="266">
        <v>750.47105946703857</v>
      </c>
      <c r="O62" s="237">
        <f t="shared" si="10"/>
        <v>77.838941903868204</v>
      </c>
      <c r="P62" s="238">
        <f t="shared" si="2"/>
        <v>0.10372011141794998</v>
      </c>
      <c r="Q62" s="247"/>
      <c r="R62" s="208"/>
      <c r="S62" s="154"/>
      <c r="T62" s="247"/>
    </row>
    <row r="63" spans="1:20" s="3" customFormat="1" ht="12">
      <c r="A63" s="233" t="s">
        <v>175</v>
      </c>
      <c r="B63" s="234">
        <f>VLOOKUP($A63,'Orch iTunes data'!$A$199:$Z$310,2,FALSE)</f>
        <v>187.13</v>
      </c>
      <c r="C63" s="234">
        <f>VLOOKUP($A63,'Orch iTunes data'!$A$199:$Z$310,8,FALSE)</f>
        <v>167.14</v>
      </c>
      <c r="D63" s="234">
        <f>VLOOKUP($A63,'Orch iTunes data'!$A$199:$Z$310,14,FALSE)</f>
        <v>0</v>
      </c>
      <c r="E63" s="234">
        <f>VLOOKUP($A63,'Orch iTunes data'!$A$199:$Z$310,20,FALSE)</f>
        <v>0</v>
      </c>
      <c r="F63" s="234">
        <f>VLOOKUP($A63,'Orch iTunes data'!$A$199:$Z$310,26,FALSE)</f>
        <v>0</v>
      </c>
      <c r="G63" s="235">
        <f t="shared" si="13"/>
        <v>354.27</v>
      </c>
      <c r="H63" s="218">
        <f t="shared" si="3"/>
        <v>708.54</v>
      </c>
      <c r="I63" s="268">
        <f>VLOOKUP($A63,[6]ORCH!$C:$U,19,FALSE)</f>
        <v>1186.0240959651499</v>
      </c>
      <c r="J63" s="237">
        <f t="shared" si="14"/>
        <v>-477.48409596514989</v>
      </c>
      <c r="K63" s="238">
        <f t="shared" si="0"/>
        <v>-0.40259223871551114</v>
      </c>
      <c r="L63" s="253">
        <v>2234.5599969625482</v>
      </c>
      <c r="M63" s="239">
        <f t="shared" si="4"/>
        <v>2943.0999969625482</v>
      </c>
      <c r="N63" s="266">
        <v>2910.3756106233432</v>
      </c>
      <c r="O63" s="237">
        <f t="shared" si="10"/>
        <v>32.724386339205012</v>
      </c>
      <c r="P63" s="238">
        <f t="shared" si="2"/>
        <v>1.1244042253431376E-2</v>
      </c>
      <c r="Q63" s="247"/>
      <c r="R63" s="208"/>
      <c r="S63" s="154"/>
      <c r="T63" s="247"/>
    </row>
    <row r="64" spans="1:20" s="3" customFormat="1" ht="12">
      <c r="A64" s="233" t="s">
        <v>177</v>
      </c>
      <c r="B64" s="234">
        <f>VLOOKUP($A64,'Orch iTunes data'!$A$199:$Z$310,2,FALSE)</f>
        <v>88.77</v>
      </c>
      <c r="C64" s="234">
        <f>VLOOKUP($A64,'Orch iTunes data'!$A$199:$Z$310,8,FALSE)</f>
        <v>112.24</v>
      </c>
      <c r="D64" s="234">
        <f>VLOOKUP($A64,'Orch iTunes data'!$A$199:$Z$310,14,FALSE)</f>
        <v>0</v>
      </c>
      <c r="E64" s="234">
        <f>VLOOKUP($A64,'Orch iTunes data'!$A$199:$Z$310,20,FALSE)</f>
        <v>0</v>
      </c>
      <c r="F64" s="234">
        <f>VLOOKUP($A64,'Orch iTunes data'!$A$199:$Z$310,26,FALSE)</f>
        <v>0</v>
      </c>
      <c r="G64" s="235">
        <f t="shared" si="13"/>
        <v>201.01</v>
      </c>
      <c r="H64" s="218">
        <f t="shared" si="3"/>
        <v>402.02</v>
      </c>
      <c r="I64" s="268">
        <f>VLOOKUP($A64,[6]ORCH!$C:$U,19,FALSE)</f>
        <v>741.35724927113517</v>
      </c>
      <c r="J64" s="237">
        <f t="shared" si="14"/>
        <v>-339.33724927113519</v>
      </c>
      <c r="K64" s="238">
        <f t="shared" si="0"/>
        <v>-0.45772432872917118</v>
      </c>
      <c r="L64" s="253">
        <v>1268.3000048398949</v>
      </c>
      <c r="M64" s="239">
        <f t="shared" si="4"/>
        <v>1670.3200048398949</v>
      </c>
      <c r="N64" s="266">
        <v>1819.2109792522479</v>
      </c>
      <c r="O64" s="237">
        <f t="shared" si="10"/>
        <v>-148.89097441235299</v>
      </c>
      <c r="P64" s="238">
        <f t="shared" si="2"/>
        <v>-8.184370922912515E-2</v>
      </c>
      <c r="Q64" s="247"/>
      <c r="R64" s="208"/>
      <c r="S64" s="154"/>
      <c r="T64" s="247"/>
    </row>
    <row r="65" spans="1:20" s="3" customFormat="1" ht="12">
      <c r="A65" s="233" t="s">
        <v>178</v>
      </c>
      <c r="B65" s="234">
        <f>VLOOKUP($A65,'Orch iTunes data'!$A$199:$Z$310,2,FALSE)</f>
        <v>889.35</v>
      </c>
      <c r="C65" s="234">
        <f>VLOOKUP($A65,'Orch iTunes data'!$A$199:$Z$310,8,FALSE)</f>
        <v>981.1</v>
      </c>
      <c r="D65" s="234">
        <f>VLOOKUP($A65,'Orch iTunes data'!$A$199:$Z$310,14,FALSE)</f>
        <v>0</v>
      </c>
      <c r="E65" s="234">
        <f>VLOOKUP($A65,'Orch iTunes data'!$A$199:$Z$310,20,FALSE)</f>
        <v>0</v>
      </c>
      <c r="F65" s="234">
        <f>VLOOKUP($A65,'Orch iTunes data'!$A$199:$Z$310,26,FALSE)</f>
        <v>0</v>
      </c>
      <c r="G65" s="235">
        <f t="shared" si="13"/>
        <v>1870.45</v>
      </c>
      <c r="H65" s="218">
        <f t="shared" si="3"/>
        <v>3740.9</v>
      </c>
      <c r="I65" s="268">
        <f>VLOOKUP($A65,[6]ORCH!$C:$U,19,FALSE)</f>
        <v>3957.5213764130435</v>
      </c>
      <c r="J65" s="237">
        <f t="shared" si="14"/>
        <v>-216.62137641304344</v>
      </c>
      <c r="K65" s="238">
        <f t="shared" si="0"/>
        <v>-5.4736628260333327E-2</v>
      </c>
      <c r="L65" s="253">
        <v>8016.9500306844693</v>
      </c>
      <c r="M65" s="239">
        <f t="shared" si="4"/>
        <v>11757.850030684469</v>
      </c>
      <c r="N65" s="266">
        <v>9711.3319464729375</v>
      </c>
      <c r="O65" s="237">
        <f t="shared" si="10"/>
        <v>2046.5180842115315</v>
      </c>
      <c r="P65" s="238">
        <f t="shared" si="2"/>
        <v>0.21073505627153516</v>
      </c>
      <c r="Q65" s="247"/>
      <c r="R65" s="208"/>
      <c r="S65" s="154"/>
      <c r="T65" s="247"/>
    </row>
    <row r="66" spans="1:20" s="3" customFormat="1" ht="12">
      <c r="A66" s="233" t="s">
        <v>195</v>
      </c>
      <c r="B66" s="234">
        <f>VLOOKUP($A66,'Orch iTunes data'!$A$199:$Z$310,2,FALSE)</f>
        <v>86.62</v>
      </c>
      <c r="C66" s="234">
        <f>VLOOKUP($A66,'Orch iTunes data'!$A$199:$Z$310,8,FALSE)</f>
        <v>76.86</v>
      </c>
      <c r="D66" s="234">
        <f>VLOOKUP($A66,'Orch iTunes data'!$A$199:$Z$310,14,FALSE)</f>
        <v>0</v>
      </c>
      <c r="E66" s="234">
        <f>VLOOKUP($A66,'Orch iTunes data'!$A$199:$Z$310,20,FALSE)</f>
        <v>0</v>
      </c>
      <c r="F66" s="234">
        <f>VLOOKUP($A66,'Orch iTunes data'!$A$199:$Z$310,26,FALSE)</f>
        <v>0</v>
      </c>
      <c r="G66" s="235">
        <f t="shared" si="13"/>
        <v>163.48000000000002</v>
      </c>
      <c r="H66" s="218">
        <f t="shared" si="3"/>
        <v>326.96000000000004</v>
      </c>
      <c r="I66" s="268">
        <f>VLOOKUP($A66,[6]ORCH!$C:$U,19,FALSE)</f>
        <v>1279.9477287512968</v>
      </c>
      <c r="J66" s="237">
        <f t="shared" si="14"/>
        <v>-952.9877287512968</v>
      </c>
      <c r="K66" s="238">
        <f t="shared" si="0"/>
        <v>-0.74455206829502429</v>
      </c>
      <c r="L66" s="253">
        <v>1591.5600027441983</v>
      </c>
      <c r="M66" s="239">
        <f t="shared" si="4"/>
        <v>1918.5200027441983</v>
      </c>
      <c r="N66" s="266">
        <v>3140.8541068460518</v>
      </c>
      <c r="O66" s="237">
        <f t="shared" si="10"/>
        <v>-1222.3341041018534</v>
      </c>
      <c r="P66" s="238">
        <f t="shared" si="2"/>
        <v>-0.38917251885006637</v>
      </c>
      <c r="Q66" s="247"/>
      <c r="R66" s="208"/>
      <c r="S66" s="154"/>
      <c r="T66" s="247"/>
    </row>
    <row r="67" spans="1:20" s="142" customFormat="1">
      <c r="A67" s="212" t="s">
        <v>100</v>
      </c>
      <c r="B67" s="221">
        <f>'Orch iTunes data'!B192</f>
        <v>4806.7368839999999</v>
      </c>
      <c r="C67" s="221">
        <f>'Orch iTunes data'!H192</f>
        <v>5418.7716899999996</v>
      </c>
      <c r="D67" s="222">
        <f>'Orch iTunes data'!N192</f>
        <v>0</v>
      </c>
      <c r="E67" s="222">
        <f>'Orch iTunes data'!T192</f>
        <v>0</v>
      </c>
      <c r="F67" s="222">
        <f>'Orch iTunes data'!Z192</f>
        <v>0</v>
      </c>
      <c r="G67" s="216">
        <f t="shared" si="6"/>
        <v>10225.508573999999</v>
      </c>
      <c r="H67" s="218">
        <f t="shared" si="3"/>
        <v>20451.017147999999</v>
      </c>
      <c r="I67" s="302">
        <f>SUM(I68:I80)</f>
        <v>72747.963502254614</v>
      </c>
      <c r="J67" s="219">
        <f t="shared" si="7"/>
        <v>-52296.946354254615</v>
      </c>
      <c r="K67" s="220">
        <f t="shared" si="0"/>
        <v>-0.71887849276542048</v>
      </c>
      <c r="L67" s="252">
        <v>110957.16255310181</v>
      </c>
      <c r="M67" s="245">
        <f t="shared" si="4"/>
        <v>131408.17970110179</v>
      </c>
      <c r="N67" s="265">
        <v>178515.68060021964</v>
      </c>
      <c r="O67" s="219">
        <f t="shared" si="10"/>
        <v>-47107.500899117847</v>
      </c>
      <c r="P67" s="220">
        <f t="shared" si="2"/>
        <v>-0.26388438674254977</v>
      </c>
      <c r="Q67" s="247"/>
      <c r="R67" s="246">
        <v>1.383876106651786E-2</v>
      </c>
      <c r="S67" s="205">
        <f>R67*$R$129</f>
        <v>67299.17050591037</v>
      </c>
      <c r="T67" s="247"/>
    </row>
    <row r="68" spans="1:20" s="3" customFormat="1" ht="12">
      <c r="A68" s="233" t="s">
        <v>137</v>
      </c>
      <c r="B68" s="234">
        <f>VLOOKUP($A68,'Orch iTunes data'!$A$199:$Z$310,2,FALSE)</f>
        <v>38.44</v>
      </c>
      <c r="C68" s="234">
        <f>VLOOKUP($A68,'Orch iTunes data'!$A$199:$Z$310,8,FALSE)</f>
        <v>16.12</v>
      </c>
      <c r="D68" s="234">
        <f>VLOOKUP($A68,'Orch iTunes data'!$A$199:$Z$310,14,FALSE)</f>
        <v>0</v>
      </c>
      <c r="E68" s="234">
        <f>VLOOKUP($A68,'Orch iTunes data'!$A$199:$Z$310,20,FALSE)</f>
        <v>0</v>
      </c>
      <c r="F68" s="234">
        <f>VLOOKUP($A68,'Orch iTunes data'!$A$199:$Z$310,26,FALSE)</f>
        <v>0</v>
      </c>
      <c r="G68" s="235">
        <f t="shared" ref="G68:G80" si="15">SUM(B68:F68)</f>
        <v>54.56</v>
      </c>
      <c r="H68" s="218">
        <f t="shared" si="3"/>
        <v>109.12</v>
      </c>
      <c r="I68" s="268">
        <f>VLOOKUP($A68,[6]ORCH!$C:$U,19,FALSE)</f>
        <v>131.57016568889566</v>
      </c>
      <c r="J68" s="237">
        <f t="shared" ref="J68:J80" si="16">H68-I68</f>
        <v>-22.450165688895652</v>
      </c>
      <c r="K68" s="238">
        <f t="shared" si="0"/>
        <v>-0.17063264738892409</v>
      </c>
      <c r="L68" s="253">
        <v>155.38999825716019</v>
      </c>
      <c r="M68" s="239">
        <f t="shared" si="4"/>
        <v>264.50999825716019</v>
      </c>
      <c r="N68" s="266">
        <v>322.85904022466491</v>
      </c>
      <c r="O68" s="237">
        <f t="shared" ref="O68:O99" si="17">M68-N68</f>
        <v>-58.349041967504718</v>
      </c>
      <c r="P68" s="238">
        <f t="shared" si="2"/>
        <v>-0.18072605904701294</v>
      </c>
      <c r="Q68" s="247"/>
      <c r="R68" s="208"/>
      <c r="S68" s="154"/>
      <c r="T68" s="247"/>
    </row>
    <row r="69" spans="1:20" s="3" customFormat="1" ht="12">
      <c r="A69" s="233" t="s">
        <v>139</v>
      </c>
      <c r="B69" s="234">
        <f>VLOOKUP($A69,'Orch iTunes data'!$A$199:$Z$310,2,FALSE)</f>
        <v>0.62</v>
      </c>
      <c r="C69" s="234">
        <f>VLOOKUP($A69,'Orch iTunes data'!$A$199:$Z$310,8,FALSE)</f>
        <v>5.58</v>
      </c>
      <c r="D69" s="234">
        <f>VLOOKUP($A69,'Orch iTunes data'!$A$199:$Z$310,14,FALSE)</f>
        <v>0</v>
      </c>
      <c r="E69" s="234">
        <f>VLOOKUP($A69,'Orch iTunes data'!$A$199:$Z$310,20,FALSE)</f>
        <v>0</v>
      </c>
      <c r="F69" s="234">
        <f>VLOOKUP($A69,'Orch iTunes data'!$A$199:$Z$310,26,FALSE)</f>
        <v>0</v>
      </c>
      <c r="G69" s="235">
        <f t="shared" si="15"/>
        <v>6.2</v>
      </c>
      <c r="H69" s="218">
        <f t="shared" ref="H69:H125" si="18">IFERROR((((B69+C69+D69+E69+F69))/COUNTIF(B69:F69, "&gt;0")*4),0)</f>
        <v>12.4</v>
      </c>
      <c r="I69" s="268">
        <f>VLOOKUP($A69,[6]ORCH!$C:$U,19,FALSE)</f>
        <v>47.887266611042243</v>
      </c>
      <c r="J69" s="237">
        <f t="shared" si="16"/>
        <v>-35.487266611042244</v>
      </c>
      <c r="K69" s="238">
        <f t="shared" si="0"/>
        <v>-0.74105851351430641</v>
      </c>
      <c r="L69" s="253">
        <v>114.49333139260627</v>
      </c>
      <c r="M69" s="239">
        <f t="shared" ref="M69:M125" si="19">L69+H69</f>
        <v>126.89333139260627</v>
      </c>
      <c r="N69" s="266">
        <v>117.51020344218213</v>
      </c>
      <c r="O69" s="237">
        <f t="shared" si="17"/>
        <v>9.3831279504241394</v>
      </c>
      <c r="P69" s="238">
        <f t="shared" si="2"/>
        <v>7.9849474135587434E-2</v>
      </c>
      <c r="Q69" s="247"/>
      <c r="R69" s="208"/>
      <c r="S69" s="154"/>
      <c r="T69" s="247"/>
    </row>
    <row r="70" spans="1:20" s="3" customFormat="1" ht="12">
      <c r="A70" s="233" t="s">
        <v>156</v>
      </c>
      <c r="B70" s="234">
        <f>VLOOKUP($A70,'Orch iTunes data'!$A$199:$Z$310,2,FALSE)</f>
        <v>708.22645599999998</v>
      </c>
      <c r="C70" s="234">
        <f>VLOOKUP($A70,'Orch iTunes data'!$A$199:$Z$310,8,FALSE)</f>
        <v>768.56828599999994</v>
      </c>
      <c r="D70" s="234">
        <f>VLOOKUP($A70,'Orch iTunes data'!$A$199:$Z$310,14,FALSE)</f>
        <v>0</v>
      </c>
      <c r="E70" s="234">
        <f>VLOOKUP($A70,'Orch iTunes data'!$A$199:$Z$310,20,FALSE)</f>
        <v>0</v>
      </c>
      <c r="F70" s="234">
        <f>VLOOKUP($A70,'Orch iTunes data'!$A$199:$Z$310,26,FALSE)</f>
        <v>0</v>
      </c>
      <c r="G70" s="235">
        <f t="shared" si="15"/>
        <v>1476.794742</v>
      </c>
      <c r="H70" s="218">
        <f t="shared" si="18"/>
        <v>2953.5894840000001</v>
      </c>
      <c r="I70" s="268">
        <f>VLOOKUP($A70,[6]ORCH!$C:$U,19,FALSE)</f>
        <v>5137.76093506303</v>
      </c>
      <c r="J70" s="237">
        <f t="shared" si="16"/>
        <v>-2184.17145106303</v>
      </c>
      <c r="K70" s="238">
        <f t="shared" si="0"/>
        <v>-0.42512126949251183</v>
      </c>
      <c r="L70" s="253">
        <v>7021.638428092001</v>
      </c>
      <c r="M70" s="239">
        <f t="shared" si="19"/>
        <v>9975.2279120920011</v>
      </c>
      <c r="N70" s="266">
        <v>12607.512924476197</v>
      </c>
      <c r="O70" s="237">
        <f t="shared" si="17"/>
        <v>-2632.2850123841963</v>
      </c>
      <c r="P70" s="238">
        <f t="shared" si="2"/>
        <v>-0.2087870167694918</v>
      </c>
      <c r="Q70" s="247"/>
      <c r="R70" s="208"/>
      <c r="S70" s="154"/>
      <c r="T70" s="247"/>
    </row>
    <row r="71" spans="1:20" s="3" customFormat="1" ht="12">
      <c r="A71" s="233" t="s">
        <v>201</v>
      </c>
      <c r="B71" s="234">
        <f>VLOOKUP($A71,'Orch iTunes data'!$A$199:$Z$310,2,FALSE)</f>
        <v>0.62</v>
      </c>
      <c r="C71" s="234">
        <f>VLOOKUP($A71,'Orch iTunes data'!$A$199:$Z$310,8,FALSE)</f>
        <v>0</v>
      </c>
      <c r="D71" s="234">
        <f>VLOOKUP($A71,'Orch iTunes data'!$A$199:$Z$310,14,FALSE)</f>
        <v>0</v>
      </c>
      <c r="E71" s="234">
        <f>VLOOKUP($A71,'Orch iTunes data'!$A$199:$Z$310,20,FALSE)</f>
        <v>0</v>
      </c>
      <c r="F71" s="234">
        <f>VLOOKUP($A71,'Orch iTunes data'!$A$199:$Z$310,26,FALSE)</f>
        <v>0</v>
      </c>
      <c r="G71" s="235">
        <f t="shared" si="15"/>
        <v>0.62</v>
      </c>
      <c r="H71" s="218">
        <f t="shared" si="18"/>
        <v>2.48</v>
      </c>
      <c r="I71" s="268">
        <f>VLOOKUP($A71,[6]ORCH!$C:$U,19,FALSE)</f>
        <v>34.54353381849252</v>
      </c>
      <c r="J71" s="237">
        <f t="shared" si="16"/>
        <v>-32.063533818492523</v>
      </c>
      <c r="K71" s="238">
        <f t="shared" si="0"/>
        <v>-0.92820653459975899</v>
      </c>
      <c r="L71" s="253">
        <v>74.846666375795948</v>
      </c>
      <c r="M71" s="239">
        <f t="shared" si="19"/>
        <v>77.326666375795952</v>
      </c>
      <c r="N71" s="266">
        <v>84.766117882513399</v>
      </c>
      <c r="O71" s="237">
        <f t="shared" si="17"/>
        <v>-7.4394515067174467</v>
      </c>
      <c r="P71" s="238">
        <f t="shared" si="2"/>
        <v>-8.7764447547646257E-2</v>
      </c>
      <c r="Q71" s="247"/>
      <c r="R71" s="208"/>
      <c r="S71" s="154"/>
      <c r="T71" s="247"/>
    </row>
    <row r="72" spans="1:20" s="3" customFormat="1" ht="12">
      <c r="A72" s="233" t="s">
        <v>163</v>
      </c>
      <c r="B72" s="234">
        <f>VLOOKUP($A72,'Orch iTunes data'!$A$199:$Z$310,2,FALSE)</f>
        <v>25.42</v>
      </c>
      <c r="C72" s="234">
        <f>VLOOKUP($A72,'Orch iTunes data'!$A$199:$Z$310,8,FALSE)</f>
        <v>37.200000000000003</v>
      </c>
      <c r="D72" s="234">
        <f>VLOOKUP($A72,'Orch iTunes data'!$A$199:$Z$310,14,FALSE)</f>
        <v>0</v>
      </c>
      <c r="E72" s="234">
        <f>VLOOKUP($A72,'Orch iTunes data'!$A$199:$Z$310,20,FALSE)</f>
        <v>0</v>
      </c>
      <c r="F72" s="234">
        <f>VLOOKUP($A72,'Orch iTunes data'!$A$199:$Z$310,26,FALSE)</f>
        <v>0</v>
      </c>
      <c r="G72" s="235">
        <f t="shared" si="15"/>
        <v>62.620000000000005</v>
      </c>
      <c r="H72" s="218">
        <f t="shared" si="18"/>
        <v>125.24000000000001</v>
      </c>
      <c r="I72" s="268">
        <f>VLOOKUP($A72,[6]ORCH!$C:$U,19,FALSE)</f>
        <v>179.7769462770857</v>
      </c>
      <c r="J72" s="237">
        <f t="shared" si="16"/>
        <v>-54.53694627708569</v>
      </c>
      <c r="K72" s="238">
        <f t="shared" si="0"/>
        <v>-0.30335895345017855</v>
      </c>
      <c r="L72" s="253">
        <v>370.37999844551098</v>
      </c>
      <c r="M72" s="239">
        <f t="shared" si="19"/>
        <v>495.61999844551099</v>
      </c>
      <c r="N72" s="266">
        <v>441.15329661274234</v>
      </c>
      <c r="O72" s="237">
        <f t="shared" si="17"/>
        <v>54.466701832768649</v>
      </c>
      <c r="P72" s="238">
        <f t="shared" si="2"/>
        <v>0.12346434278282445</v>
      </c>
      <c r="Q72" s="247"/>
      <c r="R72" s="208"/>
      <c r="S72" s="154"/>
      <c r="T72" s="247"/>
    </row>
    <row r="73" spans="1:20" s="3" customFormat="1" ht="12">
      <c r="A73" s="233" t="s">
        <v>164</v>
      </c>
      <c r="B73" s="234">
        <f>VLOOKUP($A73,'Orch iTunes data'!$A$199:$Z$310,2,FALSE)</f>
        <v>470.44</v>
      </c>
      <c r="C73" s="234">
        <f>VLOOKUP($A73,'Orch iTunes data'!$A$199:$Z$310,8,FALSE)</f>
        <v>522.52</v>
      </c>
      <c r="D73" s="234">
        <f>VLOOKUP($A73,'Orch iTunes data'!$A$199:$Z$310,14,FALSE)</f>
        <v>0</v>
      </c>
      <c r="E73" s="234">
        <f>VLOOKUP($A73,'Orch iTunes data'!$A$199:$Z$310,20,FALSE)</f>
        <v>0</v>
      </c>
      <c r="F73" s="234">
        <f>VLOOKUP($A73,'Orch iTunes data'!$A$199:$Z$310,26,FALSE)</f>
        <v>0</v>
      </c>
      <c r="G73" s="235">
        <f t="shared" si="15"/>
        <v>992.96</v>
      </c>
      <c r="H73" s="218">
        <f t="shared" si="18"/>
        <v>1985.92</v>
      </c>
      <c r="I73" s="268">
        <f>VLOOKUP($A73,[6]ORCH!$C:$U,19,FALSE)</f>
        <v>2893.4293370948221</v>
      </c>
      <c r="J73" s="237">
        <f t="shared" si="16"/>
        <v>-907.50933709482206</v>
      </c>
      <c r="K73" s="238">
        <f t="shared" si="0"/>
        <v>-0.31364489378061544</v>
      </c>
      <c r="L73" s="253">
        <v>4311.3999602198619</v>
      </c>
      <c r="M73" s="239">
        <f t="shared" si="19"/>
        <v>6297.319960219862</v>
      </c>
      <c r="N73" s="266">
        <v>7100.1644927712159</v>
      </c>
      <c r="O73" s="237">
        <f t="shared" si="17"/>
        <v>-802.84453255135395</v>
      </c>
      <c r="P73" s="238">
        <f t="shared" si="2"/>
        <v>-0.11307407502583103</v>
      </c>
      <c r="Q73" s="247"/>
      <c r="R73" s="208"/>
      <c r="S73" s="154"/>
      <c r="T73" s="247"/>
    </row>
    <row r="74" spans="1:20" s="3" customFormat="1" ht="12">
      <c r="A74" s="233" t="s">
        <v>168</v>
      </c>
      <c r="B74" s="234">
        <f>VLOOKUP($A74,'Orch iTunes data'!$A$199:$Z$310,2,FALSE)</f>
        <v>7.44</v>
      </c>
      <c r="C74" s="234">
        <f>VLOOKUP($A74,'Orch iTunes data'!$A$199:$Z$310,8,FALSE)</f>
        <v>19.84</v>
      </c>
      <c r="D74" s="234">
        <f>VLOOKUP($A74,'Orch iTunes data'!$A$199:$Z$310,14,FALSE)</f>
        <v>0</v>
      </c>
      <c r="E74" s="234">
        <f>VLOOKUP($A74,'Orch iTunes data'!$A$199:$Z$310,20,FALSE)</f>
        <v>0</v>
      </c>
      <c r="F74" s="234">
        <f>VLOOKUP($A74,'Orch iTunes data'!$A$199:$Z$310,26,FALSE)</f>
        <v>0</v>
      </c>
      <c r="G74" s="235">
        <f t="shared" si="15"/>
        <v>27.28</v>
      </c>
      <c r="H74" s="218">
        <f t="shared" si="18"/>
        <v>54.56</v>
      </c>
      <c r="I74" s="268">
        <f>VLOOKUP($A74,[6]ORCH!$C:$U,19,FALSE)</f>
        <v>42.343686602393817</v>
      </c>
      <c r="J74" s="237">
        <f t="shared" si="16"/>
        <v>12.216313397606186</v>
      </c>
      <c r="K74" s="238">
        <f t="shared" si="0"/>
        <v>0.28850377418284501</v>
      </c>
      <c r="L74" s="253">
        <v>94.93999934196485</v>
      </c>
      <c r="M74" s="239">
        <f t="shared" si="19"/>
        <v>149.49999934196484</v>
      </c>
      <c r="N74" s="266">
        <v>103.90685414464511</v>
      </c>
      <c r="O74" s="237">
        <f t="shared" si="17"/>
        <v>45.593145197319728</v>
      </c>
      <c r="P74" s="238">
        <f t="shared" si="2"/>
        <v>0.43878862056444418</v>
      </c>
      <c r="Q74" s="247"/>
      <c r="R74" s="208"/>
      <c r="S74" s="154"/>
      <c r="T74" s="247"/>
    </row>
    <row r="75" spans="1:20" s="3" customFormat="1" ht="12">
      <c r="A75" s="233" t="s">
        <v>179</v>
      </c>
      <c r="B75" s="234">
        <f>VLOOKUP($A75,'Orch iTunes data'!$A$199:$Z$310,2,FALSE)</f>
        <v>1175.5</v>
      </c>
      <c r="C75" s="234">
        <f>VLOOKUP($A75,'Orch iTunes data'!$A$199:$Z$310,8,FALSE)</f>
        <v>1335.8</v>
      </c>
      <c r="D75" s="234">
        <f>VLOOKUP($A75,'Orch iTunes data'!$A$199:$Z$310,14,FALSE)</f>
        <v>0</v>
      </c>
      <c r="E75" s="234">
        <f>VLOOKUP($A75,'Orch iTunes data'!$A$199:$Z$310,20,FALSE)</f>
        <v>0</v>
      </c>
      <c r="F75" s="234">
        <f>VLOOKUP($A75,'Orch iTunes data'!$A$199:$Z$310,26,FALSE)</f>
        <v>0</v>
      </c>
      <c r="G75" s="235">
        <f t="shared" si="15"/>
        <v>2511.3000000000002</v>
      </c>
      <c r="H75" s="218">
        <f t="shared" si="18"/>
        <v>5022.6000000000004</v>
      </c>
      <c r="I75" s="268">
        <f>VLOOKUP($A75,[6]ORCH!$C:$U,19,FALSE)</f>
        <v>8394.5720344253459</v>
      </c>
      <c r="J75" s="237">
        <f t="shared" si="16"/>
        <v>-3371.9720344253456</v>
      </c>
      <c r="K75" s="238">
        <f t="shared" si="0"/>
        <v>-0.40168480544299423</v>
      </c>
      <c r="L75" s="253">
        <v>13548.779977619653</v>
      </c>
      <c r="M75" s="239">
        <f t="shared" si="19"/>
        <v>18571.379977619654</v>
      </c>
      <c r="N75" s="266">
        <v>20599.377191178246</v>
      </c>
      <c r="O75" s="237">
        <f t="shared" si="17"/>
        <v>-2027.9972135585922</v>
      </c>
      <c r="P75" s="238">
        <f t="shared" si="2"/>
        <v>-9.8449443142731949E-2</v>
      </c>
      <c r="Q75" s="247"/>
      <c r="R75" s="208"/>
      <c r="S75" s="154"/>
      <c r="T75" s="247"/>
    </row>
    <row r="76" spans="1:20" s="3" customFormat="1" ht="12">
      <c r="A76" s="233" t="s">
        <v>182</v>
      </c>
      <c r="B76" s="234">
        <f>VLOOKUP($A76,'Orch iTunes data'!$A$199:$Z$310,2,FALSE)</f>
        <v>1208.735868</v>
      </c>
      <c r="C76" s="234">
        <f>VLOOKUP($A76,'Orch iTunes data'!$A$199:$Z$310,8,FALSE)</f>
        <v>1360.3302200000001</v>
      </c>
      <c r="D76" s="234">
        <f>VLOOKUP($A76,'Orch iTunes data'!$A$199:$Z$310,14,FALSE)</f>
        <v>0</v>
      </c>
      <c r="E76" s="234">
        <f>VLOOKUP($A76,'Orch iTunes data'!$A$199:$Z$310,20,FALSE)</f>
        <v>0</v>
      </c>
      <c r="F76" s="234">
        <f>VLOOKUP($A76,'Orch iTunes data'!$A$199:$Z$310,26,FALSE)</f>
        <v>0</v>
      </c>
      <c r="G76" s="235">
        <f t="shared" si="15"/>
        <v>2569.066088</v>
      </c>
      <c r="H76" s="218">
        <f t="shared" si="18"/>
        <v>5138.1321760000001</v>
      </c>
      <c r="I76" s="268">
        <f>VLOOKUP($A76,[6]ORCH!$C:$U,19,FALSE)</f>
        <v>7733.9257530918785</v>
      </c>
      <c r="J76" s="237">
        <f t="shared" si="16"/>
        <v>-2595.7935770918784</v>
      </c>
      <c r="K76" s="238">
        <f t="shared" si="0"/>
        <v>-0.3356372507266609</v>
      </c>
      <c r="L76" s="253">
        <v>11039.276337295783</v>
      </c>
      <c r="M76" s="239">
        <f t="shared" si="19"/>
        <v>16177.408513295784</v>
      </c>
      <c r="N76" s="266">
        <v>18978.22224923141</v>
      </c>
      <c r="O76" s="237">
        <f t="shared" si="17"/>
        <v>-2800.813735935626</v>
      </c>
      <c r="P76" s="238">
        <f t="shared" si="2"/>
        <v>-0.14758040553819812</v>
      </c>
      <c r="Q76" s="247"/>
      <c r="R76" s="208"/>
      <c r="S76" s="154"/>
      <c r="T76" s="247"/>
    </row>
    <row r="77" spans="1:20" s="3" customFormat="1" ht="12">
      <c r="A77" s="233" t="s">
        <v>184</v>
      </c>
      <c r="B77" s="234">
        <f>VLOOKUP($A77,'Orch iTunes data'!$A$199:$Z$310,2,FALSE)</f>
        <v>118.42</v>
      </c>
      <c r="C77" s="234">
        <f>VLOOKUP($A77,'Orch iTunes data'!$A$199:$Z$310,8,FALSE)</f>
        <v>138.26</v>
      </c>
      <c r="D77" s="234">
        <f>VLOOKUP($A77,'Orch iTunes data'!$A$199:$Z$310,14,FALSE)</f>
        <v>0</v>
      </c>
      <c r="E77" s="234">
        <f>VLOOKUP($A77,'Orch iTunes data'!$A$199:$Z$310,20,FALSE)</f>
        <v>0</v>
      </c>
      <c r="F77" s="234">
        <f>VLOOKUP($A77,'Orch iTunes data'!$A$199:$Z$310,26,FALSE)</f>
        <v>0</v>
      </c>
      <c r="G77" s="235">
        <f t="shared" si="15"/>
        <v>256.68</v>
      </c>
      <c r="H77" s="218">
        <f t="shared" si="18"/>
        <v>513.36</v>
      </c>
      <c r="I77" s="268">
        <f>VLOOKUP($A77,[6]ORCH!$C:$U,19,FALSE)</f>
        <v>313.62565055913257</v>
      </c>
      <c r="J77" s="237">
        <f t="shared" si="16"/>
        <v>199.73434944086745</v>
      </c>
      <c r="K77" s="238">
        <f t="shared" si="0"/>
        <v>0.63685591113093132</v>
      </c>
      <c r="L77" s="253">
        <v>464.61999237537412</v>
      </c>
      <c r="M77" s="239">
        <f t="shared" si="19"/>
        <v>977.9799923753742</v>
      </c>
      <c r="N77" s="266">
        <v>769.60362555736776</v>
      </c>
      <c r="O77" s="237">
        <f t="shared" si="17"/>
        <v>208.37636681800643</v>
      </c>
      <c r="P77" s="238">
        <f t="shared" si="2"/>
        <v>0.27075803686228039</v>
      </c>
      <c r="Q77" s="247"/>
      <c r="R77" s="208"/>
      <c r="S77" s="154"/>
      <c r="T77" s="247"/>
    </row>
    <row r="78" spans="1:20" s="3" customFormat="1" ht="12">
      <c r="A78" s="233" t="s">
        <v>186</v>
      </c>
      <c r="B78" s="234">
        <f>VLOOKUP($A78,'Orch iTunes data'!$A$199:$Z$310,2,FALSE)</f>
        <v>408.93455999999998</v>
      </c>
      <c r="C78" s="234">
        <f>VLOOKUP($A78,'Orch iTunes data'!$A$199:$Z$310,8,FALSE)</f>
        <v>438.36318399999999</v>
      </c>
      <c r="D78" s="234">
        <f>VLOOKUP($A78,'Orch iTunes data'!$A$199:$Z$310,14,FALSE)</f>
        <v>0</v>
      </c>
      <c r="E78" s="234">
        <f>VLOOKUP($A78,'Orch iTunes data'!$A$199:$Z$310,20,FALSE)</f>
        <v>0</v>
      </c>
      <c r="F78" s="234">
        <f>VLOOKUP($A78,'Orch iTunes data'!$A$199:$Z$310,26,FALSE)</f>
        <v>0</v>
      </c>
      <c r="G78" s="235">
        <f t="shared" si="15"/>
        <v>847.29774399999997</v>
      </c>
      <c r="H78" s="218">
        <f t="shared" si="18"/>
        <v>1694.5954879999999</v>
      </c>
      <c r="I78" s="268">
        <f>VLOOKUP($A78,[6]ORCH!$C:$U,19,FALSE)</f>
        <v>3207.2093397306967</v>
      </c>
      <c r="J78" s="237">
        <f t="shared" si="16"/>
        <v>-1512.6138517306968</v>
      </c>
      <c r="K78" s="238">
        <f t="shared" si="0"/>
        <v>-0.47162928624350664</v>
      </c>
      <c r="L78" s="253">
        <v>4413.367230296134</v>
      </c>
      <c r="M78" s="239">
        <f t="shared" si="19"/>
        <v>6107.962718296134</v>
      </c>
      <c r="N78" s="266">
        <v>7870.1468817290297</v>
      </c>
      <c r="O78" s="237">
        <f t="shared" si="17"/>
        <v>-1762.1841634328957</v>
      </c>
      <c r="P78" s="238">
        <f t="shared" si="2"/>
        <v>-0.22390740476825169</v>
      </c>
      <c r="Q78" s="247"/>
      <c r="R78" s="208"/>
      <c r="S78" s="154"/>
      <c r="T78" s="247"/>
    </row>
    <row r="79" spans="1:20" s="3" customFormat="1" ht="12">
      <c r="A79" s="233" t="s">
        <v>188</v>
      </c>
      <c r="B79" s="234">
        <f>VLOOKUP($A79,'Orch iTunes data'!$A$199:$Z$310,2,FALSE)</f>
        <v>584.41999999999996</v>
      </c>
      <c r="C79" s="234">
        <f>VLOOKUP($A79,'Orch iTunes data'!$A$199:$Z$310,8,FALSE)</f>
        <v>673.08</v>
      </c>
      <c r="D79" s="234">
        <f>VLOOKUP($A79,'Orch iTunes data'!$A$199:$Z$310,14,FALSE)</f>
        <v>0</v>
      </c>
      <c r="E79" s="234">
        <f>VLOOKUP($A79,'Orch iTunes data'!$A$199:$Z$310,20,FALSE)</f>
        <v>0</v>
      </c>
      <c r="F79" s="234">
        <f>VLOOKUP($A79,'Orch iTunes data'!$A$199:$Z$310,26,FALSE)</f>
        <v>0</v>
      </c>
      <c r="G79" s="235">
        <f t="shared" si="15"/>
        <v>1257.5</v>
      </c>
      <c r="H79" s="218">
        <f t="shared" si="18"/>
        <v>2515</v>
      </c>
      <c r="I79" s="268">
        <f>VLOOKUP($A79,[6]ORCH!$C:$U,19,FALSE)</f>
        <v>44220.081460773472</v>
      </c>
      <c r="J79" s="237">
        <f t="shared" si="16"/>
        <v>-41705.081460773472</v>
      </c>
      <c r="K79" s="238">
        <f t="shared" si="0"/>
        <v>-0.94312538745024721</v>
      </c>
      <c r="L79" s="253">
        <v>68621.820643305779</v>
      </c>
      <c r="M79" s="239">
        <f t="shared" si="19"/>
        <v>71136.820643305779</v>
      </c>
      <c r="N79" s="266">
        <v>108511.32537782285</v>
      </c>
      <c r="O79" s="237">
        <f t="shared" si="17"/>
        <v>-37374.504734517075</v>
      </c>
      <c r="P79" s="238">
        <f t="shared" si="2"/>
        <v>-0.34442952940058308</v>
      </c>
      <c r="Q79" s="247"/>
      <c r="R79" s="208"/>
      <c r="S79" s="154"/>
      <c r="T79" s="247"/>
    </row>
    <row r="80" spans="1:20" s="3" customFormat="1" ht="12">
      <c r="A80" s="233" t="s">
        <v>196</v>
      </c>
      <c r="B80" s="234">
        <f>VLOOKUP($A80,'Orch iTunes data'!$A$199:$Z$310,2,FALSE)</f>
        <v>59.52</v>
      </c>
      <c r="C80" s="234">
        <f>VLOOKUP($A80,'Orch iTunes data'!$A$199:$Z$310,8,FALSE)</f>
        <v>103.11</v>
      </c>
      <c r="D80" s="234">
        <f>VLOOKUP($A80,'Orch iTunes data'!$A$199:$Z$310,14,FALSE)</f>
        <v>0</v>
      </c>
      <c r="E80" s="234">
        <f>VLOOKUP($A80,'Orch iTunes data'!$A$199:$Z$310,20,FALSE)</f>
        <v>0</v>
      </c>
      <c r="F80" s="234">
        <f>VLOOKUP($A80,'Orch iTunes data'!$A$199:$Z$310,26,FALSE)</f>
        <v>0</v>
      </c>
      <c r="G80" s="235">
        <f t="shared" si="15"/>
        <v>162.63</v>
      </c>
      <c r="H80" s="218">
        <f t="shared" si="18"/>
        <v>325.26</v>
      </c>
      <c r="I80" s="268">
        <f>VLOOKUP($A80,[6]ORCH!$C:$U,19,FALSE)</f>
        <v>411.23739251832188</v>
      </c>
      <c r="J80" s="237">
        <f t="shared" si="16"/>
        <v>-85.977392518321892</v>
      </c>
      <c r="K80" s="238">
        <f t="shared" si="0"/>
        <v>-0.20906997778537695</v>
      </c>
      <c r="L80" s="253">
        <v>767.55998992920036</v>
      </c>
      <c r="M80" s="239">
        <f t="shared" si="19"/>
        <v>1092.8199899292003</v>
      </c>
      <c r="N80" s="266">
        <v>1009.1323451465787</v>
      </c>
      <c r="O80" s="237">
        <f t="shared" si="17"/>
        <v>83.687644782621646</v>
      </c>
      <c r="P80" s="238">
        <f t="shared" si="2"/>
        <v>8.2930296690139127E-2</v>
      </c>
      <c r="Q80" s="247"/>
      <c r="R80" s="208"/>
      <c r="S80" s="154"/>
      <c r="T80" s="247"/>
    </row>
    <row r="81" spans="1:20" s="142" customFormat="1">
      <c r="A81" s="212" t="s">
        <v>26</v>
      </c>
      <c r="B81" s="221">
        <f>'Orch iTunes data'!B193</f>
        <v>10535.702955000001</v>
      </c>
      <c r="C81" s="221">
        <f>'Orch iTunes data'!H193</f>
        <v>10659.372379999999</v>
      </c>
      <c r="D81" s="222">
        <f>'Orch iTunes data'!N193</f>
        <v>0</v>
      </c>
      <c r="E81" s="222">
        <f>'Orch iTunes data'!T193</f>
        <v>0</v>
      </c>
      <c r="F81" s="222">
        <f>'Orch iTunes data'!Z193</f>
        <v>0</v>
      </c>
      <c r="G81" s="216">
        <f t="shared" si="6"/>
        <v>21195.075335000001</v>
      </c>
      <c r="H81" s="218">
        <f t="shared" si="18"/>
        <v>42390.150670000003</v>
      </c>
      <c r="I81" s="302">
        <f>SUM(I82:I125)</f>
        <v>49895.304213782147</v>
      </c>
      <c r="J81" s="219">
        <f t="shared" si="7"/>
        <v>-7505.153543782144</v>
      </c>
      <c r="K81" s="220">
        <f t="shared" si="0"/>
        <v>-0.15041803356134384</v>
      </c>
      <c r="L81" s="252">
        <v>102222.53019978106</v>
      </c>
      <c r="M81" s="245">
        <f t="shared" si="19"/>
        <v>144612.68086978106</v>
      </c>
      <c r="N81" s="265">
        <v>122437.71181584042</v>
      </c>
      <c r="O81" s="219">
        <f t="shared" si="17"/>
        <v>22174.969053940644</v>
      </c>
      <c r="P81" s="220">
        <f t="shared" si="2"/>
        <v>0.18111224658701724</v>
      </c>
      <c r="Q81" s="247"/>
      <c r="R81" s="246">
        <v>4.0311605306561908E-2</v>
      </c>
      <c r="S81" s="205">
        <f>R81*$R$129</f>
        <v>196039.05189584332</v>
      </c>
      <c r="T81" s="247"/>
    </row>
    <row r="82" spans="1:20" s="3" customFormat="1" ht="12">
      <c r="A82" s="233" t="s">
        <v>124</v>
      </c>
      <c r="B82" s="234">
        <f>VLOOKUP($A82,'Orch iTunes data'!$A$199:$Z$310,2,FALSE)</f>
        <v>0</v>
      </c>
      <c r="C82" s="234">
        <f>VLOOKUP($A82,'Orch iTunes data'!$A$199:$Z$310,8,FALSE)</f>
        <v>0</v>
      </c>
      <c r="D82" s="234">
        <f>VLOOKUP($A82,'Orch iTunes data'!$A$199:$Z$310,14,FALSE)</f>
        <v>0</v>
      </c>
      <c r="E82" s="234">
        <f>VLOOKUP($A82,'Orch iTunes data'!$A$199:$Z$310,20,FALSE)</f>
        <v>0</v>
      </c>
      <c r="F82" s="234">
        <f>VLOOKUP($A82,'Orch iTunes data'!$A$199:$Z$310,26,FALSE)</f>
        <v>0</v>
      </c>
      <c r="G82" s="235">
        <f t="shared" ref="G82:G125" si="20">SUM(B82:F82)</f>
        <v>0</v>
      </c>
      <c r="H82" s="218">
        <f t="shared" si="18"/>
        <v>0</v>
      </c>
      <c r="I82" s="268">
        <f>VLOOKUP($A82,[6]ORCH!$C:$U,19,FALSE)</f>
        <v>6.4502321607715576</v>
      </c>
      <c r="J82" s="237">
        <f t="shared" ref="J82:J125" si="21">H82-I82</f>
        <v>-6.4502321607715576</v>
      </c>
      <c r="K82" s="238">
        <f t="shared" ref="K82:K125" si="22">J82/I82</f>
        <v>-1</v>
      </c>
      <c r="L82" s="253">
        <v>35.379999637603767</v>
      </c>
      <c r="M82" s="239">
        <f t="shared" si="19"/>
        <v>35.379999637603767</v>
      </c>
      <c r="N82" s="266">
        <v>15.828176195940845</v>
      </c>
      <c r="O82" s="237">
        <f t="shared" si="17"/>
        <v>19.551823441662922</v>
      </c>
      <c r="P82" s="238">
        <f t="shared" ref="P82:P125" si="23">O82/N82</f>
        <v>1.235254346402652</v>
      </c>
      <c r="Q82" s="247"/>
      <c r="R82" s="208"/>
      <c r="S82" s="154"/>
      <c r="T82" s="247"/>
    </row>
    <row r="83" spans="1:20" s="3" customFormat="1" ht="12">
      <c r="A83" s="233" t="s">
        <v>125</v>
      </c>
      <c r="B83" s="234">
        <f>VLOOKUP($A83,'Orch iTunes data'!$A$199:$Z$310,2,FALSE)</f>
        <v>1.22</v>
      </c>
      <c r="C83" s="234">
        <f>VLOOKUP($A83,'Orch iTunes data'!$A$199:$Z$310,8,FALSE)</f>
        <v>1.83</v>
      </c>
      <c r="D83" s="234">
        <f>VLOOKUP($A83,'Orch iTunes data'!$A$199:$Z$310,14,FALSE)</f>
        <v>0</v>
      </c>
      <c r="E83" s="234">
        <f>VLOOKUP($A83,'Orch iTunes data'!$A$199:$Z$310,20,FALSE)</f>
        <v>0</v>
      </c>
      <c r="F83" s="234">
        <f>VLOOKUP($A83,'Orch iTunes data'!$A$199:$Z$310,26,FALSE)</f>
        <v>0</v>
      </c>
      <c r="G83" s="235">
        <f t="shared" si="20"/>
        <v>3.05</v>
      </c>
      <c r="H83" s="218">
        <f t="shared" si="18"/>
        <v>6.1</v>
      </c>
      <c r="I83" s="268">
        <f>VLOOKUP($A83,[6]ORCH!$C:$U,19,FALSE)</f>
        <v>27.951005798607181</v>
      </c>
      <c r="J83" s="237">
        <f t="shared" si="21"/>
        <v>-21.851005798607183</v>
      </c>
      <c r="K83" s="238">
        <f t="shared" si="22"/>
        <v>-0.78176098406076089</v>
      </c>
      <c r="L83" s="253">
        <v>56.323333779970731</v>
      </c>
      <c r="M83" s="239">
        <f t="shared" si="19"/>
        <v>62.423333779970733</v>
      </c>
      <c r="N83" s="266">
        <v>68.588762947905821</v>
      </c>
      <c r="O83" s="237">
        <f t="shared" si="17"/>
        <v>-6.1654291679350877</v>
      </c>
      <c r="P83" s="238">
        <f t="shared" si="23"/>
        <v>-8.9889785191458002E-2</v>
      </c>
      <c r="Q83" s="247"/>
      <c r="R83" s="208"/>
      <c r="S83" s="154"/>
      <c r="T83" s="247"/>
    </row>
    <row r="84" spans="1:20" s="3" customFormat="1" ht="12">
      <c r="A84" s="233" t="s">
        <v>127</v>
      </c>
      <c r="B84" s="234">
        <f>VLOOKUP($A84,'Orch iTunes data'!$A$199:$Z$310,2,FALSE)</f>
        <v>24.6</v>
      </c>
      <c r="C84" s="234">
        <f>VLOOKUP($A84,'Orch iTunes data'!$A$199:$Z$310,8,FALSE)</f>
        <v>11.16</v>
      </c>
      <c r="D84" s="234">
        <f>VLOOKUP($A84,'Orch iTunes data'!$A$199:$Z$310,14,FALSE)</f>
        <v>0</v>
      </c>
      <c r="E84" s="234">
        <f>VLOOKUP($A84,'Orch iTunes data'!$A$199:$Z$310,20,FALSE)</f>
        <v>0</v>
      </c>
      <c r="F84" s="234">
        <f>VLOOKUP($A84,'Orch iTunes data'!$A$199:$Z$310,26,FALSE)</f>
        <v>0</v>
      </c>
      <c r="G84" s="235">
        <f t="shared" si="20"/>
        <v>35.760000000000005</v>
      </c>
      <c r="H84" s="218">
        <f t="shared" si="18"/>
        <v>71.52000000000001</v>
      </c>
      <c r="I84" s="268">
        <f>VLOOKUP($A84,[6]ORCH!$C:$U,19,FALSE)</f>
        <v>94.486936549398905</v>
      </c>
      <c r="J84" s="237">
        <f t="shared" si="21"/>
        <v>-22.966936549398895</v>
      </c>
      <c r="K84" s="238">
        <f t="shared" si="22"/>
        <v>-0.24306996700429065</v>
      </c>
      <c r="L84" s="253">
        <v>183.72000253200537</v>
      </c>
      <c r="M84" s="239">
        <f t="shared" si="19"/>
        <v>255.24000253200538</v>
      </c>
      <c r="N84" s="266">
        <v>231.86078309151512</v>
      </c>
      <c r="O84" s="237">
        <f t="shared" si="17"/>
        <v>23.37921944049026</v>
      </c>
      <c r="P84" s="238">
        <f t="shared" si="23"/>
        <v>0.10083300474001468</v>
      </c>
      <c r="Q84" s="247"/>
      <c r="R84" s="208"/>
      <c r="S84" s="154"/>
      <c r="T84" s="247"/>
    </row>
    <row r="85" spans="1:20" s="3" customFormat="1" ht="12">
      <c r="A85" s="233" t="s">
        <v>128</v>
      </c>
      <c r="B85" s="234">
        <f>VLOOKUP($A85,'Orch iTunes data'!$A$199:$Z$310,2,FALSE)</f>
        <v>91.56</v>
      </c>
      <c r="C85" s="234">
        <f>VLOOKUP($A85,'Orch iTunes data'!$A$199:$Z$310,8,FALSE)</f>
        <v>113.16</v>
      </c>
      <c r="D85" s="234">
        <f>VLOOKUP($A85,'Orch iTunes data'!$A$199:$Z$310,14,FALSE)</f>
        <v>0</v>
      </c>
      <c r="E85" s="234">
        <f>VLOOKUP($A85,'Orch iTunes data'!$A$199:$Z$310,20,FALSE)</f>
        <v>0</v>
      </c>
      <c r="F85" s="234">
        <f>VLOOKUP($A85,'Orch iTunes data'!$A$199:$Z$310,26,FALSE)</f>
        <v>0</v>
      </c>
      <c r="G85" s="235">
        <f t="shared" si="20"/>
        <v>204.72</v>
      </c>
      <c r="H85" s="218">
        <f t="shared" si="18"/>
        <v>409.44</v>
      </c>
      <c r="I85" s="268">
        <f>VLOOKUP($A85,[6]ORCH!$C:$U,19,FALSE)</f>
        <v>584.28161862251898</v>
      </c>
      <c r="J85" s="237">
        <f t="shared" si="21"/>
        <v>-174.84161862251898</v>
      </c>
      <c r="K85" s="238">
        <f t="shared" si="22"/>
        <v>-0.29924203166739904</v>
      </c>
      <c r="L85" s="253">
        <v>1191.9600169658661</v>
      </c>
      <c r="M85" s="239">
        <f t="shared" si="19"/>
        <v>1601.4000169658661</v>
      </c>
      <c r="N85" s="266">
        <v>1433.7642703546521</v>
      </c>
      <c r="O85" s="237">
        <f t="shared" si="17"/>
        <v>167.63574661121402</v>
      </c>
      <c r="P85" s="238">
        <f t="shared" si="23"/>
        <v>0.11692001961364826</v>
      </c>
      <c r="Q85" s="247"/>
      <c r="R85" s="208"/>
      <c r="S85" s="154"/>
      <c r="T85" s="247"/>
    </row>
    <row r="86" spans="1:20" s="3" customFormat="1" ht="12">
      <c r="A86" s="233" t="s">
        <v>129</v>
      </c>
      <c r="B86" s="234">
        <f>VLOOKUP($A86,'Orch iTunes data'!$A$199:$Z$310,2,FALSE)</f>
        <v>6.1</v>
      </c>
      <c r="C86" s="234">
        <f>VLOOKUP($A86,'Orch iTunes data'!$A$199:$Z$310,8,FALSE)</f>
        <v>21.71</v>
      </c>
      <c r="D86" s="234">
        <f>VLOOKUP($A86,'Orch iTunes data'!$A$199:$Z$310,14,FALSE)</f>
        <v>0</v>
      </c>
      <c r="E86" s="234">
        <f>VLOOKUP($A86,'Orch iTunes data'!$A$199:$Z$310,20,FALSE)</f>
        <v>0</v>
      </c>
      <c r="F86" s="234">
        <f>VLOOKUP($A86,'Orch iTunes data'!$A$199:$Z$310,26,FALSE)</f>
        <v>0</v>
      </c>
      <c r="G86" s="235">
        <f t="shared" si="20"/>
        <v>27.810000000000002</v>
      </c>
      <c r="H86" s="218">
        <f t="shared" si="18"/>
        <v>55.620000000000005</v>
      </c>
      <c r="I86" s="268">
        <f>VLOOKUP($A86,[6]ORCH!$C:$U,19,FALSE)</f>
        <v>93.855551439611773</v>
      </c>
      <c r="J86" s="237">
        <f t="shared" si="21"/>
        <v>-38.235551439611768</v>
      </c>
      <c r="K86" s="238">
        <f t="shared" si="22"/>
        <v>-0.40738721208423306</v>
      </c>
      <c r="L86" s="253">
        <v>160.61000031232834</v>
      </c>
      <c r="M86" s="239">
        <f t="shared" si="19"/>
        <v>216.23000031232834</v>
      </c>
      <c r="N86" s="266">
        <v>230.3114319183926</v>
      </c>
      <c r="O86" s="237">
        <f t="shared" si="17"/>
        <v>-14.081431606064257</v>
      </c>
      <c r="P86" s="238">
        <f t="shared" si="23"/>
        <v>-6.1140827829396678E-2</v>
      </c>
      <c r="Q86" s="247"/>
      <c r="R86" s="208"/>
      <c r="S86" s="154"/>
      <c r="T86" s="247"/>
    </row>
    <row r="87" spans="1:20" s="3" customFormat="1" ht="12">
      <c r="A87" s="233" t="s">
        <v>130</v>
      </c>
      <c r="B87" s="234">
        <f>VLOOKUP($A87,'Orch iTunes data'!$A$199:$Z$310,2,FALSE)</f>
        <v>16.47</v>
      </c>
      <c r="C87" s="234">
        <f>VLOOKUP($A87,'Orch iTunes data'!$A$199:$Z$310,8,FALSE)</f>
        <v>14.64</v>
      </c>
      <c r="D87" s="234">
        <f>VLOOKUP($A87,'Orch iTunes data'!$A$199:$Z$310,14,FALSE)</f>
        <v>0</v>
      </c>
      <c r="E87" s="234">
        <f>VLOOKUP($A87,'Orch iTunes data'!$A$199:$Z$310,20,FALSE)</f>
        <v>0</v>
      </c>
      <c r="F87" s="234">
        <f>VLOOKUP($A87,'Orch iTunes data'!$A$199:$Z$310,26,FALSE)</f>
        <v>0</v>
      </c>
      <c r="G87" s="235">
        <f t="shared" si="20"/>
        <v>31.11</v>
      </c>
      <c r="H87" s="218">
        <f t="shared" si="18"/>
        <v>62.22</v>
      </c>
      <c r="I87" s="268">
        <f>VLOOKUP($A87,[6]ORCH!$C:$U,19,FALSE)</f>
        <v>86.442918562645829</v>
      </c>
      <c r="J87" s="237">
        <f t="shared" si="21"/>
        <v>-24.22291856264583</v>
      </c>
      <c r="K87" s="238">
        <f t="shared" si="22"/>
        <v>-0.28021865718348343</v>
      </c>
      <c r="L87" s="253">
        <v>146.40000140666967</v>
      </c>
      <c r="M87" s="239">
        <f t="shared" si="19"/>
        <v>208.62000140666967</v>
      </c>
      <c r="N87" s="266">
        <v>212.1216278418822</v>
      </c>
      <c r="O87" s="237">
        <f t="shared" si="17"/>
        <v>-3.501626435212529</v>
      </c>
      <c r="P87" s="238">
        <f t="shared" si="23"/>
        <v>-1.6507635128194847E-2</v>
      </c>
      <c r="Q87" s="247"/>
      <c r="R87" s="208"/>
      <c r="S87" s="154"/>
      <c r="T87" s="247"/>
    </row>
    <row r="88" spans="1:20" s="3" customFormat="1" ht="12">
      <c r="A88" s="233" t="s">
        <v>131</v>
      </c>
      <c r="B88" s="234">
        <f>VLOOKUP($A88,'Orch iTunes data'!$A$199:$Z$310,2,FALSE)</f>
        <v>68.94</v>
      </c>
      <c r="C88" s="234">
        <f>VLOOKUP($A88,'Orch iTunes data'!$A$199:$Z$310,8,FALSE)</f>
        <v>60</v>
      </c>
      <c r="D88" s="234">
        <f>VLOOKUP($A88,'Orch iTunes data'!$A$199:$Z$310,14,FALSE)</f>
        <v>0</v>
      </c>
      <c r="E88" s="234">
        <f>VLOOKUP($A88,'Orch iTunes data'!$A$199:$Z$310,20,FALSE)</f>
        <v>0</v>
      </c>
      <c r="F88" s="234">
        <f>VLOOKUP($A88,'Orch iTunes data'!$A$199:$Z$310,26,FALSE)</f>
        <v>0</v>
      </c>
      <c r="G88" s="235">
        <f t="shared" si="20"/>
        <v>128.94</v>
      </c>
      <c r="H88" s="218">
        <f t="shared" si="18"/>
        <v>257.88</v>
      </c>
      <c r="I88" s="268">
        <f>VLOOKUP($A88,[6]ORCH!$C:$U,19,FALSE)</f>
        <v>252.27166090005579</v>
      </c>
      <c r="J88" s="237">
        <f t="shared" si="21"/>
        <v>5.6083390999442031</v>
      </c>
      <c r="K88" s="238">
        <f t="shared" si="22"/>
        <v>2.2231348063174238E-2</v>
      </c>
      <c r="L88" s="253">
        <v>696.60001122951439</v>
      </c>
      <c r="M88" s="239">
        <f t="shared" si="19"/>
        <v>954.48001122951439</v>
      </c>
      <c r="N88" s="266">
        <v>619.04753169242417</v>
      </c>
      <c r="O88" s="237">
        <f t="shared" si="17"/>
        <v>335.43247953709022</v>
      </c>
      <c r="P88" s="238">
        <f t="shared" si="23"/>
        <v>0.54185254340655531</v>
      </c>
      <c r="Q88" s="247"/>
      <c r="R88" s="208"/>
      <c r="S88" s="154"/>
      <c r="T88" s="247"/>
    </row>
    <row r="89" spans="1:20" s="3" customFormat="1" ht="12">
      <c r="A89" s="233" t="s">
        <v>133</v>
      </c>
      <c r="B89" s="234">
        <f>VLOOKUP($A89,'Orch iTunes data'!$A$199:$Z$310,2,FALSE)</f>
        <v>32.08</v>
      </c>
      <c r="C89" s="234">
        <f>VLOOKUP($A89,'Orch iTunes data'!$A$199:$Z$310,8,FALSE)</f>
        <v>42.09</v>
      </c>
      <c r="D89" s="234">
        <f>VLOOKUP($A89,'Orch iTunes data'!$A$199:$Z$310,14,FALSE)</f>
        <v>0</v>
      </c>
      <c r="E89" s="234">
        <f>VLOOKUP($A89,'Orch iTunes data'!$A$199:$Z$310,20,FALSE)</f>
        <v>0</v>
      </c>
      <c r="F89" s="234">
        <f>VLOOKUP($A89,'Orch iTunes data'!$A$199:$Z$310,26,FALSE)</f>
        <v>0</v>
      </c>
      <c r="G89" s="235">
        <f t="shared" si="20"/>
        <v>74.17</v>
      </c>
      <c r="H89" s="218">
        <f t="shared" si="18"/>
        <v>148.34</v>
      </c>
      <c r="I89" s="268">
        <f>VLOOKUP($A89,[6]ORCH!$C:$U,19,FALSE)</f>
        <v>120.52539884347914</v>
      </c>
      <c r="J89" s="237">
        <f t="shared" si="21"/>
        <v>27.814601156520865</v>
      </c>
      <c r="K89" s="238">
        <f t="shared" si="22"/>
        <v>0.23077792252438364</v>
      </c>
      <c r="L89" s="253">
        <v>245.83000063896168</v>
      </c>
      <c r="M89" s="239">
        <f t="shared" si="19"/>
        <v>394.17000063896171</v>
      </c>
      <c r="N89" s="266">
        <v>295.75636991528688</v>
      </c>
      <c r="O89" s="237">
        <f t="shared" si="17"/>
        <v>98.413630723674828</v>
      </c>
      <c r="P89" s="238">
        <f t="shared" si="23"/>
        <v>0.33275236219548987</v>
      </c>
      <c r="Q89" s="247"/>
      <c r="R89" s="208"/>
      <c r="S89" s="154"/>
      <c r="T89" s="247"/>
    </row>
    <row r="90" spans="1:20" s="3" customFormat="1" ht="12">
      <c r="A90" s="233" t="s">
        <v>135</v>
      </c>
      <c r="B90" s="234">
        <f>VLOOKUP($A90,'Orch iTunes data'!$A$199:$Z$310,2,FALSE)</f>
        <v>12.81</v>
      </c>
      <c r="C90" s="234">
        <f>VLOOKUP($A90,'Orch iTunes data'!$A$199:$Z$310,8,FALSE)</f>
        <v>64.23</v>
      </c>
      <c r="D90" s="234">
        <f>VLOOKUP($A90,'Orch iTunes data'!$A$199:$Z$310,14,FALSE)</f>
        <v>0</v>
      </c>
      <c r="E90" s="234">
        <f>VLOOKUP($A90,'Orch iTunes data'!$A$199:$Z$310,20,FALSE)</f>
        <v>0</v>
      </c>
      <c r="F90" s="234">
        <f>VLOOKUP($A90,'Orch iTunes data'!$A$199:$Z$310,26,FALSE)</f>
        <v>0</v>
      </c>
      <c r="G90" s="235">
        <f t="shared" si="20"/>
        <v>77.040000000000006</v>
      </c>
      <c r="H90" s="218">
        <f t="shared" si="18"/>
        <v>154.08000000000001</v>
      </c>
      <c r="I90" s="268">
        <f>VLOOKUP($A90,[6]ORCH!$C:$U,19,FALSE)</f>
        <v>166.94438878196277</v>
      </c>
      <c r="J90" s="237">
        <f t="shared" si="21"/>
        <v>-12.864388781962759</v>
      </c>
      <c r="K90" s="238">
        <f t="shared" si="22"/>
        <v>-7.7057928546279297E-2</v>
      </c>
      <c r="L90" s="253">
        <v>410.81999844312662</v>
      </c>
      <c r="M90" s="239">
        <f t="shared" si="19"/>
        <v>564.89999844312661</v>
      </c>
      <c r="N90" s="266">
        <v>409.66358027157867</v>
      </c>
      <c r="O90" s="237">
        <f t="shared" si="17"/>
        <v>155.23641817154794</v>
      </c>
      <c r="P90" s="238">
        <f t="shared" si="23"/>
        <v>0.37893634105486484</v>
      </c>
      <c r="Q90" s="247"/>
      <c r="R90" s="208"/>
      <c r="S90" s="154"/>
      <c r="T90" s="247"/>
    </row>
    <row r="91" spans="1:20" s="3" customFormat="1" ht="12">
      <c r="A91" s="233" t="s">
        <v>138</v>
      </c>
      <c r="B91" s="234">
        <f>VLOOKUP($A91,'Orch iTunes data'!$A$199:$Z$310,2,FALSE)</f>
        <v>0</v>
      </c>
      <c r="C91" s="234">
        <f>VLOOKUP($A91,'Orch iTunes data'!$A$199:$Z$310,8,FALSE)</f>
        <v>10.98</v>
      </c>
      <c r="D91" s="234">
        <f>VLOOKUP($A91,'Orch iTunes data'!$A$199:$Z$310,14,FALSE)</f>
        <v>0</v>
      </c>
      <c r="E91" s="234">
        <f>VLOOKUP($A91,'Orch iTunes data'!$A$199:$Z$310,20,FALSE)</f>
        <v>0</v>
      </c>
      <c r="F91" s="234">
        <f>VLOOKUP($A91,'Orch iTunes data'!$A$199:$Z$310,26,FALSE)</f>
        <v>0</v>
      </c>
      <c r="G91" s="235">
        <f t="shared" si="20"/>
        <v>10.98</v>
      </c>
      <c r="H91" s="218">
        <f t="shared" si="18"/>
        <v>43.92</v>
      </c>
      <c r="I91" s="268">
        <f>VLOOKUP($A91,[6]ORCH!$C:$U,19,FALSE)</f>
        <v>48.863304568886697</v>
      </c>
      <c r="J91" s="237">
        <f t="shared" si="21"/>
        <v>-4.9433045688866954</v>
      </c>
      <c r="K91" s="238">
        <f t="shared" si="22"/>
        <v>-0.10116598974426104</v>
      </c>
      <c r="L91" s="253">
        <v>83.796667198340074</v>
      </c>
      <c r="M91" s="239">
        <f t="shared" si="19"/>
        <v>127.71666719834008</v>
      </c>
      <c r="N91" s="266">
        <v>119.90529564748972</v>
      </c>
      <c r="O91" s="237">
        <f t="shared" si="17"/>
        <v>7.8113715508503532</v>
      </c>
      <c r="P91" s="238">
        <f t="shared" si="23"/>
        <v>6.5146176477601542E-2</v>
      </c>
      <c r="Q91" s="247"/>
      <c r="R91" s="208"/>
      <c r="S91" s="154"/>
      <c r="T91" s="247"/>
    </row>
    <row r="92" spans="1:20" s="3" customFormat="1" ht="12">
      <c r="A92" s="233" t="s">
        <v>140</v>
      </c>
      <c r="B92" s="234">
        <f>VLOOKUP($A92,'Orch iTunes data'!$A$199:$Z$310,2,FALSE)</f>
        <v>1.22</v>
      </c>
      <c r="C92" s="234">
        <f>VLOOKUP($A92,'Orch iTunes data'!$A$199:$Z$310,8,FALSE)</f>
        <v>1.83</v>
      </c>
      <c r="D92" s="234">
        <f>VLOOKUP($A92,'Orch iTunes data'!$A$199:$Z$310,14,FALSE)</f>
        <v>0</v>
      </c>
      <c r="E92" s="234">
        <f>VLOOKUP($A92,'Orch iTunes data'!$A$199:$Z$310,20,FALSE)</f>
        <v>0</v>
      </c>
      <c r="F92" s="234">
        <f>VLOOKUP($A92,'Orch iTunes data'!$A$199:$Z$310,26,FALSE)</f>
        <v>0</v>
      </c>
      <c r="G92" s="235">
        <f t="shared" si="20"/>
        <v>3.05</v>
      </c>
      <c r="H92" s="218">
        <f t="shared" si="18"/>
        <v>6.1</v>
      </c>
      <c r="I92" s="268">
        <f>VLOOKUP($A92,[6]ORCH!$C:$U,19,FALSE)</f>
        <v>7.291566635551006</v>
      </c>
      <c r="J92" s="237">
        <f t="shared" si="21"/>
        <v>-1.1915666355510064</v>
      </c>
      <c r="K92" s="238">
        <f t="shared" si="22"/>
        <v>-0.16341709472164243</v>
      </c>
      <c r="L92" s="253">
        <v>80.316666265328706</v>
      </c>
      <c r="M92" s="239">
        <f t="shared" si="19"/>
        <v>86.416666265328701</v>
      </c>
      <c r="N92" s="266">
        <v>17.892720537075935</v>
      </c>
      <c r="O92" s="237">
        <f t="shared" si="17"/>
        <v>68.52394572825277</v>
      </c>
      <c r="P92" s="238">
        <f t="shared" si="23"/>
        <v>3.8297108361058152</v>
      </c>
      <c r="Q92" s="247"/>
      <c r="R92" s="208"/>
      <c r="S92" s="154"/>
      <c r="T92" s="247"/>
    </row>
    <row r="93" spans="1:20" s="3" customFormat="1" ht="12">
      <c r="A93" s="233" t="s">
        <v>141</v>
      </c>
      <c r="B93" s="234">
        <f>VLOOKUP($A93,'Orch iTunes data'!$A$199:$Z$310,2,FALSE)</f>
        <v>5.49</v>
      </c>
      <c r="C93" s="234">
        <f>VLOOKUP($A93,'Orch iTunes data'!$A$199:$Z$310,8,FALSE)</f>
        <v>13.78</v>
      </c>
      <c r="D93" s="234">
        <f>VLOOKUP($A93,'Orch iTunes data'!$A$199:$Z$310,14,FALSE)</f>
        <v>0</v>
      </c>
      <c r="E93" s="234">
        <f>VLOOKUP($A93,'Orch iTunes data'!$A$199:$Z$310,20,FALSE)</f>
        <v>0</v>
      </c>
      <c r="F93" s="234">
        <f>VLOOKUP($A93,'Orch iTunes data'!$A$199:$Z$310,26,FALSE)</f>
        <v>0</v>
      </c>
      <c r="G93" s="235">
        <f t="shared" si="20"/>
        <v>19.27</v>
      </c>
      <c r="H93" s="218">
        <f t="shared" si="18"/>
        <v>38.54</v>
      </c>
      <c r="I93" s="268">
        <f>VLOOKUP($A93,[6]ORCH!$C:$U,19,FALSE)</f>
        <v>98.062223740434433</v>
      </c>
      <c r="J93" s="237">
        <f t="shared" si="21"/>
        <v>-59.522223740434434</v>
      </c>
      <c r="K93" s="238">
        <f t="shared" si="22"/>
        <v>-0.60698423378595456</v>
      </c>
      <c r="L93" s="253">
        <v>171.66000092029572</v>
      </c>
      <c r="M93" s="239">
        <f t="shared" si="19"/>
        <v>210.20000092029571</v>
      </c>
      <c r="N93" s="266">
        <v>240.63415344475084</v>
      </c>
      <c r="O93" s="237">
        <f t="shared" si="17"/>
        <v>-30.434152524455129</v>
      </c>
      <c r="P93" s="238">
        <f t="shared" si="23"/>
        <v>-0.12647478376939023</v>
      </c>
      <c r="Q93" s="247"/>
      <c r="R93" s="208"/>
      <c r="S93" s="154"/>
      <c r="T93" s="247"/>
    </row>
    <row r="94" spans="1:20" s="3" customFormat="1" ht="12">
      <c r="A94" s="233" t="s">
        <v>145</v>
      </c>
      <c r="B94" s="234">
        <f>VLOOKUP($A94,'Orch iTunes data'!$A$199:$Z$310,2,FALSE)</f>
        <v>0.61</v>
      </c>
      <c r="C94" s="234">
        <f>VLOOKUP($A94,'Orch iTunes data'!$A$199:$Z$310,8,FALSE)</f>
        <v>0.61</v>
      </c>
      <c r="D94" s="234">
        <f>VLOOKUP($A94,'Orch iTunes data'!$A$199:$Z$310,14,FALSE)</f>
        <v>0</v>
      </c>
      <c r="E94" s="234">
        <f>VLOOKUP($A94,'Orch iTunes data'!$A$199:$Z$310,20,FALSE)</f>
        <v>0</v>
      </c>
      <c r="F94" s="234">
        <f>VLOOKUP($A94,'Orch iTunes data'!$A$199:$Z$310,26,FALSE)</f>
        <v>0</v>
      </c>
      <c r="G94" s="235">
        <f t="shared" si="20"/>
        <v>1.22</v>
      </c>
      <c r="H94" s="218">
        <f t="shared" si="18"/>
        <v>2.44</v>
      </c>
      <c r="I94" s="268">
        <f>VLOOKUP($A94,[6]ORCH!$C:$U,19,FALSE)</f>
        <v>12.806982475741771</v>
      </c>
      <c r="J94" s="237">
        <f t="shared" si="21"/>
        <v>-10.366982475741771</v>
      </c>
      <c r="K94" s="238">
        <f t="shared" si="22"/>
        <v>-0.80947893037085794</v>
      </c>
      <c r="L94" s="253">
        <v>43.310000618298858</v>
      </c>
      <c r="M94" s="239">
        <f t="shared" si="19"/>
        <v>45.750000618298856</v>
      </c>
      <c r="N94" s="266">
        <v>31.426957993418913</v>
      </c>
      <c r="O94" s="237">
        <f t="shared" si="17"/>
        <v>14.323042624879943</v>
      </c>
      <c r="P94" s="238">
        <f t="shared" si="23"/>
        <v>0.45575657140851228</v>
      </c>
      <c r="Q94" s="247"/>
      <c r="R94" s="208"/>
      <c r="S94" s="154"/>
      <c r="T94" s="247"/>
    </row>
    <row r="95" spans="1:20" s="3" customFormat="1" ht="12">
      <c r="A95" s="233" t="s">
        <v>149</v>
      </c>
      <c r="B95" s="234">
        <f>VLOOKUP($A95,'Orch iTunes data'!$A$199:$Z$310,2,FALSE)</f>
        <v>4.2699999999999996</v>
      </c>
      <c r="C95" s="234">
        <f>VLOOKUP($A95,'Orch iTunes data'!$A$199:$Z$310,8,FALSE)</f>
        <v>0.61</v>
      </c>
      <c r="D95" s="234">
        <f>VLOOKUP($A95,'Orch iTunes data'!$A$199:$Z$310,14,FALSE)</f>
        <v>0</v>
      </c>
      <c r="E95" s="234">
        <f>VLOOKUP($A95,'Orch iTunes data'!$A$199:$Z$310,20,FALSE)</f>
        <v>0</v>
      </c>
      <c r="F95" s="234">
        <f>VLOOKUP($A95,'Orch iTunes data'!$A$199:$Z$310,26,FALSE)</f>
        <v>0</v>
      </c>
      <c r="G95" s="235">
        <f t="shared" si="20"/>
        <v>4.88</v>
      </c>
      <c r="H95" s="218">
        <f t="shared" si="18"/>
        <v>9.76</v>
      </c>
      <c r="I95" s="268">
        <f>VLOOKUP($A95,[6]ORCH!$C:$U,19,FALSE)</f>
        <v>17.200618924883329</v>
      </c>
      <c r="J95" s="237">
        <f t="shared" si="21"/>
        <v>-7.4406189248833297</v>
      </c>
      <c r="K95" s="238">
        <f t="shared" si="22"/>
        <v>-0.43257855763081493</v>
      </c>
      <c r="L95" s="253">
        <v>34.363333185513824</v>
      </c>
      <c r="M95" s="239">
        <f t="shared" si="19"/>
        <v>44.123333185513822</v>
      </c>
      <c r="N95" s="266">
        <v>42.208469437435205</v>
      </c>
      <c r="O95" s="237">
        <f t="shared" si="17"/>
        <v>1.9148637480786164</v>
      </c>
      <c r="P95" s="238">
        <f t="shared" si="23"/>
        <v>4.5366813191769051E-2</v>
      </c>
      <c r="Q95" s="247"/>
      <c r="R95" s="208"/>
      <c r="S95" s="154"/>
      <c r="T95" s="247"/>
    </row>
    <row r="96" spans="1:20" s="3" customFormat="1" ht="12">
      <c r="A96" s="233" t="s">
        <v>150</v>
      </c>
      <c r="B96" s="234">
        <f>VLOOKUP($A96,'Orch iTunes data'!$A$199:$Z$310,2,FALSE)</f>
        <v>0</v>
      </c>
      <c r="C96" s="234">
        <f>VLOOKUP($A96,'Orch iTunes data'!$A$199:$Z$310,8,FALSE)</f>
        <v>0</v>
      </c>
      <c r="D96" s="234">
        <f>VLOOKUP($A96,'Orch iTunes data'!$A$199:$Z$310,14,FALSE)</f>
        <v>0</v>
      </c>
      <c r="E96" s="234">
        <f>VLOOKUP($A96,'Orch iTunes data'!$A$199:$Z$310,20,FALSE)</f>
        <v>0</v>
      </c>
      <c r="F96" s="234">
        <f>VLOOKUP($A96,'Orch iTunes data'!$A$199:$Z$310,26,FALSE)</f>
        <v>0</v>
      </c>
      <c r="G96" s="235">
        <f t="shared" si="20"/>
        <v>0</v>
      </c>
      <c r="H96" s="218">
        <f t="shared" si="18"/>
        <v>0</v>
      </c>
      <c r="I96" s="268">
        <f>VLOOKUP($A96,[6]ORCH!$C:$U,19,FALSE)</f>
        <v>0.18696325315496123</v>
      </c>
      <c r="J96" s="237">
        <f t="shared" si="21"/>
        <v>-0.18696325315496123</v>
      </c>
      <c r="K96" s="238">
        <f t="shared" si="22"/>
        <v>-1</v>
      </c>
      <c r="L96" s="253">
        <v>0</v>
      </c>
      <c r="M96" s="239">
        <f t="shared" si="19"/>
        <v>0</v>
      </c>
      <c r="N96" s="266">
        <v>0.45878772102197313</v>
      </c>
      <c r="O96" s="237">
        <f t="shared" si="17"/>
        <v>-0.45878772102197313</v>
      </c>
      <c r="P96" s="238">
        <f t="shared" si="23"/>
        <v>-1</v>
      </c>
      <c r="Q96" s="247"/>
      <c r="R96" s="208"/>
      <c r="S96" s="154"/>
      <c r="T96" s="247"/>
    </row>
    <row r="97" spans="1:20" s="3" customFormat="1" ht="12">
      <c r="A97" s="233" t="s">
        <v>151</v>
      </c>
      <c r="B97" s="234">
        <f>VLOOKUP($A97,'Orch iTunes data'!$A$199:$Z$310,2,FALSE)</f>
        <v>28.06</v>
      </c>
      <c r="C97" s="234">
        <f>VLOOKUP($A97,'Orch iTunes data'!$A$199:$Z$310,8,FALSE)</f>
        <v>13.42</v>
      </c>
      <c r="D97" s="234">
        <f>VLOOKUP($A97,'Orch iTunes data'!$A$199:$Z$310,14,FALSE)</f>
        <v>0</v>
      </c>
      <c r="E97" s="234">
        <f>VLOOKUP($A97,'Orch iTunes data'!$A$199:$Z$310,20,FALSE)</f>
        <v>0</v>
      </c>
      <c r="F97" s="234">
        <f>VLOOKUP($A97,'Orch iTunes data'!$A$199:$Z$310,26,FALSE)</f>
        <v>0</v>
      </c>
      <c r="G97" s="235">
        <f t="shared" si="20"/>
        <v>41.48</v>
      </c>
      <c r="H97" s="218">
        <f t="shared" si="18"/>
        <v>82.96</v>
      </c>
      <c r="I97" s="268">
        <f>VLOOKUP($A97,[6]ORCH!$C:$U,19,FALSE)</f>
        <v>146.71251261494589</v>
      </c>
      <c r="J97" s="237">
        <f t="shared" si="21"/>
        <v>-63.7525126149459</v>
      </c>
      <c r="K97" s="238">
        <f t="shared" si="22"/>
        <v>-0.43454039112715259</v>
      </c>
      <c r="L97" s="253">
        <v>265.54999816417694</v>
      </c>
      <c r="M97" s="239">
        <f t="shared" si="19"/>
        <v>348.50999816417692</v>
      </c>
      <c r="N97" s="266">
        <v>360.01673148161291</v>
      </c>
      <c r="O97" s="237">
        <f t="shared" si="17"/>
        <v>-11.506733317435987</v>
      </c>
      <c r="P97" s="238">
        <f t="shared" si="23"/>
        <v>-3.1961662642958771E-2</v>
      </c>
      <c r="Q97" s="247"/>
      <c r="R97" s="208"/>
      <c r="S97" s="154"/>
      <c r="T97" s="247"/>
    </row>
    <row r="98" spans="1:20" s="3" customFormat="1" ht="12">
      <c r="A98" s="233" t="s">
        <v>152</v>
      </c>
      <c r="B98" s="234">
        <f>VLOOKUP($A98,'Orch iTunes data'!$A$199:$Z$310,2,FALSE)</f>
        <v>0.61</v>
      </c>
      <c r="C98" s="234">
        <f>VLOOKUP($A98,'Orch iTunes data'!$A$199:$Z$310,8,FALSE)</f>
        <v>7.32</v>
      </c>
      <c r="D98" s="234">
        <f>VLOOKUP($A98,'Orch iTunes data'!$A$199:$Z$310,14,FALSE)</f>
        <v>0</v>
      </c>
      <c r="E98" s="234">
        <f>VLOOKUP($A98,'Orch iTunes data'!$A$199:$Z$310,20,FALSE)</f>
        <v>0</v>
      </c>
      <c r="F98" s="234">
        <f>VLOOKUP($A98,'Orch iTunes data'!$A$199:$Z$310,26,FALSE)</f>
        <v>0</v>
      </c>
      <c r="G98" s="235">
        <f t="shared" si="20"/>
        <v>7.9300000000000006</v>
      </c>
      <c r="H98" s="218">
        <f t="shared" si="18"/>
        <v>15.860000000000001</v>
      </c>
      <c r="I98" s="268">
        <f>VLOOKUP($A98,[6]ORCH!$C:$U,19,FALSE)</f>
        <v>7.1046035102766112</v>
      </c>
      <c r="J98" s="237">
        <f t="shared" si="21"/>
        <v>8.75539648972339</v>
      </c>
      <c r="K98" s="238">
        <f t="shared" si="22"/>
        <v>1.2323553984481967</v>
      </c>
      <c r="L98" s="253">
        <v>27.65333338578543</v>
      </c>
      <c r="M98" s="239">
        <f t="shared" si="19"/>
        <v>43.51333338578543</v>
      </c>
      <c r="N98" s="266">
        <v>17.43393312985912</v>
      </c>
      <c r="O98" s="237">
        <f t="shared" si="17"/>
        <v>26.079400255926309</v>
      </c>
      <c r="P98" s="238">
        <f t="shared" si="23"/>
        <v>1.4958988348567246</v>
      </c>
      <c r="Q98" s="247"/>
      <c r="R98" s="208"/>
      <c r="S98" s="154"/>
      <c r="T98" s="247"/>
    </row>
    <row r="99" spans="1:20" s="3" customFormat="1" ht="12">
      <c r="A99" s="233" t="s">
        <v>154</v>
      </c>
      <c r="B99" s="234">
        <f>VLOOKUP($A99,'Orch iTunes data'!$A$199:$Z$310,2,FALSE)</f>
        <v>0</v>
      </c>
      <c r="C99" s="234">
        <f>VLOOKUP($A99,'Orch iTunes data'!$A$199:$Z$310,8,FALSE)</f>
        <v>0</v>
      </c>
      <c r="D99" s="234">
        <f>VLOOKUP($A99,'Orch iTunes data'!$A$199:$Z$310,14,FALSE)</f>
        <v>0</v>
      </c>
      <c r="E99" s="234">
        <f>VLOOKUP($A99,'Orch iTunes data'!$A$199:$Z$310,20,FALSE)</f>
        <v>0</v>
      </c>
      <c r="F99" s="234">
        <f>VLOOKUP($A99,'Orch iTunes data'!$A$199:$Z$310,26,FALSE)</f>
        <v>0</v>
      </c>
      <c r="G99" s="235">
        <f t="shared" si="20"/>
        <v>0</v>
      </c>
      <c r="H99" s="218">
        <f t="shared" si="18"/>
        <v>0</v>
      </c>
      <c r="I99" s="268"/>
      <c r="J99" s="237">
        <f t="shared" si="21"/>
        <v>0</v>
      </c>
      <c r="K99" s="238" t="e">
        <f t="shared" si="22"/>
        <v>#DIV/0!</v>
      </c>
      <c r="L99" s="253">
        <v>0</v>
      </c>
      <c r="M99" s="239">
        <f t="shared" si="19"/>
        <v>0</v>
      </c>
      <c r="N99" s="266">
        <v>0</v>
      </c>
      <c r="O99" s="237">
        <f t="shared" si="17"/>
        <v>0</v>
      </c>
      <c r="P99" s="238" t="e">
        <f t="shared" si="23"/>
        <v>#DIV/0!</v>
      </c>
      <c r="Q99" s="247"/>
      <c r="R99" s="208"/>
      <c r="S99" s="154"/>
      <c r="T99" s="247"/>
    </row>
    <row r="100" spans="1:20" s="3" customFormat="1" ht="12">
      <c r="A100" s="233" t="s">
        <v>157</v>
      </c>
      <c r="B100" s="234">
        <f>VLOOKUP($A100,'Orch iTunes data'!$A$199:$Z$310,2,FALSE)</f>
        <v>1371.6181349999999</v>
      </c>
      <c r="C100" s="234">
        <f>VLOOKUP($A100,'Orch iTunes data'!$A$199:$Z$310,8,FALSE)</f>
        <v>1387.7029239999999</v>
      </c>
      <c r="D100" s="234">
        <f>VLOOKUP($A100,'Orch iTunes data'!$A$199:$Z$310,14,FALSE)</f>
        <v>0</v>
      </c>
      <c r="E100" s="234">
        <f>VLOOKUP($A100,'Orch iTunes data'!$A$199:$Z$310,20,FALSE)</f>
        <v>0</v>
      </c>
      <c r="F100" s="234">
        <f>VLOOKUP($A100,'Orch iTunes data'!$A$199:$Z$310,26,FALSE)</f>
        <v>0</v>
      </c>
      <c r="G100" s="235">
        <f t="shared" si="20"/>
        <v>2759.3210589999999</v>
      </c>
      <c r="H100" s="218">
        <f t="shared" si="18"/>
        <v>5518.6421179999998</v>
      </c>
      <c r="I100" s="268">
        <f>VLOOKUP($A100,[6]ORCH!$C:$U,19,FALSE)</f>
        <v>6419.4109386772088</v>
      </c>
      <c r="J100" s="237">
        <f t="shared" si="21"/>
        <v>-900.76882067720908</v>
      </c>
      <c r="K100" s="238">
        <f t="shared" si="22"/>
        <v>-0.14031954478097683</v>
      </c>
      <c r="L100" s="253">
        <v>12468.170134574177</v>
      </c>
      <c r="M100" s="239">
        <f t="shared" si="19"/>
        <v>17986.812252574178</v>
      </c>
      <c r="N100" s="266">
        <v>15752.544230807793</v>
      </c>
      <c r="O100" s="237">
        <f t="shared" ref="O100:O125" si="24">M100-N100</f>
        <v>2234.2680217663856</v>
      </c>
      <c r="P100" s="238">
        <f t="shared" si="23"/>
        <v>0.14183537522762518</v>
      </c>
      <c r="Q100" s="247"/>
      <c r="R100" s="208"/>
      <c r="S100" s="154"/>
      <c r="T100" s="247"/>
    </row>
    <row r="101" spans="1:20" s="3" customFormat="1" ht="12">
      <c r="A101" s="233" t="s">
        <v>158</v>
      </c>
      <c r="B101" s="234">
        <f>VLOOKUP($A101,'Orch iTunes data'!$A$199:$Z$310,2,FALSE)</f>
        <v>879.274</v>
      </c>
      <c r="C101" s="234">
        <f>VLOOKUP($A101,'Orch iTunes data'!$A$199:$Z$310,8,FALSE)</f>
        <v>879.85799999999995</v>
      </c>
      <c r="D101" s="234">
        <f>VLOOKUP($A101,'Orch iTunes data'!$A$199:$Z$310,14,FALSE)</f>
        <v>0</v>
      </c>
      <c r="E101" s="234">
        <f>VLOOKUP($A101,'Orch iTunes data'!$A$199:$Z$310,20,FALSE)</f>
        <v>0</v>
      </c>
      <c r="F101" s="234">
        <f>VLOOKUP($A101,'Orch iTunes data'!$A$199:$Z$310,26,FALSE)</f>
        <v>0</v>
      </c>
      <c r="G101" s="235">
        <f t="shared" si="20"/>
        <v>1759.1320000000001</v>
      </c>
      <c r="H101" s="218">
        <f t="shared" si="18"/>
        <v>3518.2640000000001</v>
      </c>
      <c r="I101" s="268">
        <f>VLOOKUP($A101,[6]ORCH!$C:$U,19,FALSE)</f>
        <v>4057.0181899862296</v>
      </c>
      <c r="J101" s="237">
        <f t="shared" si="21"/>
        <v>-538.75418998622945</v>
      </c>
      <c r="K101" s="238">
        <f t="shared" si="22"/>
        <v>-0.13279560622035519</v>
      </c>
      <c r="L101" s="253">
        <v>7756.1103401035052</v>
      </c>
      <c r="M101" s="239">
        <f t="shared" si="19"/>
        <v>11274.374340103506</v>
      </c>
      <c r="N101" s="266">
        <v>9955.4864291206886</v>
      </c>
      <c r="O101" s="237">
        <f t="shared" si="24"/>
        <v>1318.8879109828176</v>
      </c>
      <c r="P101" s="238">
        <f t="shared" si="23"/>
        <v>0.13247850020918642</v>
      </c>
      <c r="Q101" s="247"/>
      <c r="R101" s="208"/>
      <c r="S101" s="154"/>
      <c r="T101" s="247"/>
    </row>
    <row r="102" spans="1:20" s="3" customFormat="1" ht="12">
      <c r="A102" s="233" t="s">
        <v>159</v>
      </c>
      <c r="B102" s="234">
        <f>VLOOKUP($A102,'Orch iTunes data'!$A$199:$Z$310,2,FALSE)</f>
        <v>998.33281999999997</v>
      </c>
      <c r="C102" s="234">
        <f>VLOOKUP($A102,'Orch iTunes data'!$A$199:$Z$310,8,FALSE)</f>
        <v>1037.779456</v>
      </c>
      <c r="D102" s="234">
        <f>VLOOKUP($A102,'Orch iTunes data'!$A$199:$Z$310,14,FALSE)</f>
        <v>0</v>
      </c>
      <c r="E102" s="234">
        <f>VLOOKUP($A102,'Orch iTunes data'!$A$199:$Z$310,20,FALSE)</f>
        <v>0</v>
      </c>
      <c r="F102" s="234">
        <f>VLOOKUP($A102,'Orch iTunes data'!$A$199:$Z$310,26,FALSE)</f>
        <v>0</v>
      </c>
      <c r="G102" s="235">
        <f t="shared" si="20"/>
        <v>2036.1122759999998</v>
      </c>
      <c r="H102" s="218">
        <f t="shared" si="18"/>
        <v>4072.2245519999997</v>
      </c>
      <c r="I102" s="268">
        <f>VLOOKUP($A102,[6]ORCH!$C:$U,19,FALSE)</f>
        <v>11487.792616245173</v>
      </c>
      <c r="J102" s="237">
        <f t="shared" si="21"/>
        <v>-7415.5680642451734</v>
      </c>
      <c r="K102" s="238">
        <f t="shared" si="22"/>
        <v>-0.64551722963370994</v>
      </c>
      <c r="L102" s="253">
        <v>22236.04332190752</v>
      </c>
      <c r="M102" s="239">
        <f t="shared" si="19"/>
        <v>26308.26787390752</v>
      </c>
      <c r="N102" s="266">
        <v>28189.807917023376</v>
      </c>
      <c r="O102" s="237">
        <f t="shared" si="24"/>
        <v>-1881.540043115856</v>
      </c>
      <c r="P102" s="238">
        <f t="shared" si="23"/>
        <v>-6.6745401339880148E-2</v>
      </c>
      <c r="Q102" s="247"/>
      <c r="R102" s="208"/>
      <c r="S102" s="154"/>
      <c r="T102" s="247"/>
    </row>
    <row r="103" spans="1:20" s="3" customFormat="1" ht="12">
      <c r="A103" s="233" t="s">
        <v>160</v>
      </c>
      <c r="B103" s="234">
        <f>VLOOKUP($A103,'Orch iTunes data'!$A$199:$Z$310,2,FALSE)</f>
        <v>293.52</v>
      </c>
      <c r="C103" s="234">
        <f>VLOOKUP($A103,'Orch iTunes data'!$A$199:$Z$310,8,FALSE)</f>
        <v>460.56</v>
      </c>
      <c r="D103" s="234">
        <f>VLOOKUP($A103,'Orch iTunes data'!$A$199:$Z$310,14,FALSE)</f>
        <v>0</v>
      </c>
      <c r="E103" s="234">
        <f>VLOOKUP($A103,'Orch iTunes data'!$A$199:$Z$310,20,FALSE)</f>
        <v>0</v>
      </c>
      <c r="F103" s="234">
        <f>VLOOKUP($A103,'Orch iTunes data'!$A$199:$Z$310,26,FALSE)</f>
        <v>0</v>
      </c>
      <c r="G103" s="235">
        <f t="shared" si="20"/>
        <v>754.07999999999993</v>
      </c>
      <c r="H103" s="218">
        <f t="shared" si="18"/>
        <v>1508.1599999999999</v>
      </c>
      <c r="I103" s="268">
        <f>VLOOKUP($A103,[6]ORCH!$C:$U,19,FALSE)</f>
        <v>1635.2694741439725</v>
      </c>
      <c r="J103" s="237">
        <f t="shared" si="21"/>
        <v>-127.10947414397265</v>
      </c>
      <c r="K103" s="238">
        <f t="shared" si="22"/>
        <v>-7.7729986496880982E-2</v>
      </c>
      <c r="L103" s="253">
        <v>2839.0800306797018</v>
      </c>
      <c r="M103" s="239">
        <f t="shared" si="19"/>
        <v>4347.2400306797017</v>
      </c>
      <c r="N103" s="266">
        <v>4012.7754659761335</v>
      </c>
      <c r="O103" s="237">
        <f t="shared" si="24"/>
        <v>334.46456470356816</v>
      </c>
      <c r="P103" s="238">
        <f t="shared" si="23"/>
        <v>8.3349932618820843E-2</v>
      </c>
      <c r="Q103" s="247"/>
      <c r="R103" s="208"/>
      <c r="S103" s="154"/>
      <c r="T103" s="247"/>
    </row>
    <row r="104" spans="1:20" s="3" customFormat="1" ht="12">
      <c r="A104" s="233" t="s">
        <v>161</v>
      </c>
      <c r="B104" s="234">
        <f>VLOOKUP($A104,'Orch iTunes data'!$A$199:$Z$310,2,FALSE)</f>
        <v>129.32</v>
      </c>
      <c r="C104" s="234">
        <f>VLOOKUP($A104,'Orch iTunes data'!$A$199:$Z$310,8,FALSE)</f>
        <v>159.82</v>
      </c>
      <c r="D104" s="234">
        <f>VLOOKUP($A104,'Orch iTunes data'!$A$199:$Z$310,14,FALSE)</f>
        <v>0</v>
      </c>
      <c r="E104" s="234">
        <f>VLOOKUP($A104,'Orch iTunes data'!$A$199:$Z$310,20,FALSE)</f>
        <v>0</v>
      </c>
      <c r="F104" s="234">
        <f>VLOOKUP($A104,'Orch iTunes data'!$A$199:$Z$310,26,FALSE)</f>
        <v>0</v>
      </c>
      <c r="G104" s="235">
        <f t="shared" si="20"/>
        <v>289.14</v>
      </c>
      <c r="H104" s="218">
        <f t="shared" si="18"/>
        <v>578.28</v>
      </c>
      <c r="I104" s="268">
        <f>VLOOKUP($A104,[6]ORCH!$C:$U,19,FALSE)</f>
        <v>603.54648380532933</v>
      </c>
      <c r="J104" s="237">
        <f t="shared" si="21"/>
        <v>-25.266483805329358</v>
      </c>
      <c r="K104" s="238">
        <f t="shared" si="22"/>
        <v>-4.1863360127666532E-2</v>
      </c>
      <c r="L104" s="253">
        <v>1298.0800020694733</v>
      </c>
      <c r="M104" s="239">
        <f t="shared" si="19"/>
        <v>1876.3600020694732</v>
      </c>
      <c r="N104" s="266">
        <v>1481.0381781620406</v>
      </c>
      <c r="O104" s="237">
        <f t="shared" si="24"/>
        <v>395.32182390743264</v>
      </c>
      <c r="P104" s="238">
        <f t="shared" si="23"/>
        <v>0.26692210216891549</v>
      </c>
      <c r="Q104" s="247"/>
      <c r="R104" s="208"/>
      <c r="S104" s="154"/>
      <c r="T104" s="247"/>
    </row>
    <row r="105" spans="1:20" s="3" customFormat="1" ht="12">
      <c r="A105" s="233" t="s">
        <v>162</v>
      </c>
      <c r="B105" s="234">
        <f>VLOOKUP($A105,'Orch iTunes data'!$A$199:$Z$310,2,FALSE)</f>
        <v>3.6</v>
      </c>
      <c r="C105" s="234">
        <f>VLOOKUP($A105,'Orch iTunes data'!$A$199:$Z$310,8,FALSE)</f>
        <v>7.2</v>
      </c>
      <c r="D105" s="234">
        <f>VLOOKUP($A105,'Orch iTunes data'!$A$199:$Z$310,14,FALSE)</f>
        <v>0</v>
      </c>
      <c r="E105" s="234">
        <f>VLOOKUP($A105,'Orch iTunes data'!$A$199:$Z$310,20,FALSE)</f>
        <v>0</v>
      </c>
      <c r="F105" s="234">
        <f>VLOOKUP($A105,'Orch iTunes data'!$A$199:$Z$310,26,FALSE)</f>
        <v>0</v>
      </c>
      <c r="G105" s="235">
        <f t="shared" si="20"/>
        <v>10.8</v>
      </c>
      <c r="H105" s="218">
        <f t="shared" si="18"/>
        <v>21.6</v>
      </c>
      <c r="I105" s="268">
        <f>VLOOKUP($A105,[6]ORCH!$C:$U,19,FALSE)</f>
        <v>13.792370938817951</v>
      </c>
      <c r="J105" s="237">
        <f t="shared" si="21"/>
        <v>7.80762906118205</v>
      </c>
      <c r="K105" s="238">
        <f t="shared" si="22"/>
        <v>0.5660831698782014</v>
      </c>
      <c r="L105" s="253">
        <v>27.180000662803703</v>
      </c>
      <c r="M105" s="239">
        <f t="shared" si="19"/>
        <v>48.780000662803701</v>
      </c>
      <c r="N105" s="266">
        <v>33.844995333202277</v>
      </c>
      <c r="O105" s="237">
        <f t="shared" si="24"/>
        <v>14.935005329601424</v>
      </c>
      <c r="P105" s="238">
        <f t="shared" si="23"/>
        <v>0.4412766254675779</v>
      </c>
      <c r="Q105" s="247"/>
      <c r="R105" s="208"/>
      <c r="S105" s="154"/>
      <c r="T105" s="247"/>
    </row>
    <row r="106" spans="1:20" s="3" customFormat="1" ht="12">
      <c r="A106" s="233" t="s">
        <v>165</v>
      </c>
      <c r="B106" s="234">
        <f>VLOOKUP($A106,'Orch iTunes data'!$A$199:$Z$310,2,FALSE)</f>
        <v>35.130000000000003</v>
      </c>
      <c r="C106" s="234">
        <f>VLOOKUP($A106,'Orch iTunes data'!$A$199:$Z$310,8,FALSE)</f>
        <v>55.51</v>
      </c>
      <c r="D106" s="234">
        <f>VLOOKUP($A106,'Orch iTunes data'!$A$199:$Z$310,14,FALSE)</f>
        <v>0</v>
      </c>
      <c r="E106" s="234">
        <f>VLOOKUP($A106,'Orch iTunes data'!$A$199:$Z$310,20,FALSE)</f>
        <v>0</v>
      </c>
      <c r="F106" s="234">
        <f>VLOOKUP($A106,'Orch iTunes data'!$A$199:$Z$310,26,FALSE)</f>
        <v>0</v>
      </c>
      <c r="G106" s="235">
        <f t="shared" si="20"/>
        <v>90.64</v>
      </c>
      <c r="H106" s="218">
        <f t="shared" si="18"/>
        <v>181.28</v>
      </c>
      <c r="I106" s="268">
        <f>VLOOKUP($A106,[6]ORCH!$C:$U,19,FALSE)</f>
        <v>107.00887586163203</v>
      </c>
      <c r="J106" s="237">
        <f t="shared" si="21"/>
        <v>74.271124138367966</v>
      </c>
      <c r="K106" s="238">
        <f t="shared" si="22"/>
        <v>0.69406508142749146</v>
      </c>
      <c r="L106" s="253">
        <v>315.62000215053553</v>
      </c>
      <c r="M106" s="239">
        <f t="shared" si="19"/>
        <v>496.90000215053556</v>
      </c>
      <c r="N106" s="266">
        <v>262.58827580942005</v>
      </c>
      <c r="O106" s="237">
        <f t="shared" si="24"/>
        <v>234.3117263411155</v>
      </c>
      <c r="P106" s="238">
        <f t="shared" si="23"/>
        <v>0.89231602446399028</v>
      </c>
      <c r="Q106" s="247"/>
      <c r="R106" s="208"/>
      <c r="S106" s="154"/>
      <c r="T106" s="247"/>
    </row>
    <row r="107" spans="1:20" s="3" customFormat="1" ht="12">
      <c r="A107" s="233" t="s">
        <v>166</v>
      </c>
      <c r="B107" s="234">
        <f>VLOOKUP($A107,'Orch iTunes data'!$A$199:$Z$310,2,FALSE)</f>
        <v>0</v>
      </c>
      <c r="C107" s="234">
        <f>VLOOKUP($A107,'Orch iTunes data'!$A$199:$Z$310,8,FALSE)</f>
        <v>1.22</v>
      </c>
      <c r="D107" s="234">
        <f>VLOOKUP($A107,'Orch iTunes data'!$A$199:$Z$310,14,FALSE)</f>
        <v>0</v>
      </c>
      <c r="E107" s="234">
        <f>VLOOKUP($A107,'Orch iTunes data'!$A$199:$Z$310,20,FALSE)</f>
        <v>0</v>
      </c>
      <c r="F107" s="234">
        <f>VLOOKUP($A107,'Orch iTunes data'!$A$199:$Z$310,26,FALSE)</f>
        <v>0</v>
      </c>
      <c r="G107" s="235">
        <f t="shared" si="20"/>
        <v>1.22</v>
      </c>
      <c r="H107" s="218">
        <f t="shared" si="18"/>
        <v>4.88</v>
      </c>
      <c r="I107" s="268"/>
      <c r="J107" s="237">
        <f t="shared" si="21"/>
        <v>4.88</v>
      </c>
      <c r="K107" s="238" t="e">
        <f t="shared" si="22"/>
        <v>#DIV/0!</v>
      </c>
      <c r="L107" s="253">
        <v>4.8800001144409197</v>
      </c>
      <c r="M107" s="239">
        <f t="shared" si="19"/>
        <v>9.7600001144409205</v>
      </c>
      <c r="N107" s="266">
        <v>0</v>
      </c>
      <c r="O107" s="237">
        <f t="shared" si="24"/>
        <v>9.7600001144409205</v>
      </c>
      <c r="P107" s="238" t="e">
        <f t="shared" si="23"/>
        <v>#DIV/0!</v>
      </c>
      <c r="Q107" s="247"/>
      <c r="R107" s="208"/>
      <c r="S107" s="154"/>
      <c r="T107" s="247"/>
    </row>
    <row r="108" spans="1:20" s="3" customFormat="1" ht="12">
      <c r="A108" s="233" t="s">
        <v>167</v>
      </c>
      <c r="B108" s="234">
        <f>VLOOKUP($A108,'Orch iTunes data'!$A$199:$Z$310,2,FALSE)</f>
        <v>4.8</v>
      </c>
      <c r="C108" s="234">
        <f>VLOOKUP($A108,'Orch iTunes data'!$A$199:$Z$310,8,FALSE)</f>
        <v>13.8</v>
      </c>
      <c r="D108" s="234">
        <f>VLOOKUP($A108,'Orch iTunes data'!$A$199:$Z$310,14,FALSE)</f>
        <v>0</v>
      </c>
      <c r="E108" s="234">
        <f>VLOOKUP($A108,'Orch iTunes data'!$A$199:$Z$310,20,FALSE)</f>
        <v>0</v>
      </c>
      <c r="F108" s="234">
        <f>VLOOKUP($A108,'Orch iTunes data'!$A$199:$Z$310,26,FALSE)</f>
        <v>0</v>
      </c>
      <c r="G108" s="235">
        <f t="shared" si="20"/>
        <v>18.600000000000001</v>
      </c>
      <c r="H108" s="218">
        <f t="shared" si="18"/>
        <v>37.200000000000003</v>
      </c>
      <c r="I108" s="268">
        <f>VLOOKUP($A108,[6]ORCH!$C:$U,19,FALSE)</f>
        <v>83.039267837312067</v>
      </c>
      <c r="J108" s="237">
        <f t="shared" si="21"/>
        <v>-45.839267837312065</v>
      </c>
      <c r="K108" s="238">
        <f t="shared" si="22"/>
        <v>-0.55201917154567071</v>
      </c>
      <c r="L108" s="253">
        <v>169.92000210285175</v>
      </c>
      <c r="M108" s="239">
        <f t="shared" si="19"/>
        <v>207.12000210285174</v>
      </c>
      <c r="N108" s="266">
        <v>203.76943492118883</v>
      </c>
      <c r="O108" s="237">
        <f t="shared" si="24"/>
        <v>3.3505671816629103</v>
      </c>
      <c r="P108" s="238">
        <f t="shared" si="23"/>
        <v>1.6442933077567778E-2</v>
      </c>
      <c r="Q108" s="247"/>
      <c r="R108" s="208"/>
      <c r="S108" s="154"/>
      <c r="T108" s="247"/>
    </row>
    <row r="109" spans="1:20" s="3" customFormat="1" ht="12">
      <c r="A109" s="233" t="s">
        <v>169</v>
      </c>
      <c r="B109" s="234">
        <f>VLOOKUP($A109,'Orch iTunes data'!$A$199:$Z$310,2,FALSE)</f>
        <v>25.62</v>
      </c>
      <c r="C109" s="234">
        <f>VLOOKUP($A109,'Orch iTunes data'!$A$199:$Z$310,8,FALSE)</f>
        <v>47.58</v>
      </c>
      <c r="D109" s="234">
        <f>VLOOKUP($A109,'Orch iTunes data'!$A$199:$Z$310,14,FALSE)</f>
        <v>0</v>
      </c>
      <c r="E109" s="234">
        <f>VLOOKUP($A109,'Orch iTunes data'!$A$199:$Z$310,20,FALSE)</f>
        <v>0</v>
      </c>
      <c r="F109" s="234">
        <f>VLOOKUP($A109,'Orch iTunes data'!$A$199:$Z$310,26,FALSE)</f>
        <v>0</v>
      </c>
      <c r="G109" s="235">
        <f t="shared" si="20"/>
        <v>73.2</v>
      </c>
      <c r="H109" s="218">
        <f t="shared" si="18"/>
        <v>146.4</v>
      </c>
      <c r="I109" s="268">
        <f>VLOOKUP($A109,[6]ORCH!$C:$U,19,FALSE)</f>
        <v>167.10683278142486</v>
      </c>
      <c r="J109" s="237">
        <f t="shared" si="21"/>
        <v>-20.706832781424851</v>
      </c>
      <c r="K109" s="238">
        <f t="shared" si="22"/>
        <v>-0.12391374090914233</v>
      </c>
      <c r="L109" s="253">
        <v>325.91999977827078</v>
      </c>
      <c r="M109" s="239">
        <f t="shared" si="19"/>
        <v>472.31999977827081</v>
      </c>
      <c r="N109" s="266">
        <v>410.0622003803395</v>
      </c>
      <c r="O109" s="237">
        <f t="shared" si="24"/>
        <v>62.257799397931308</v>
      </c>
      <c r="P109" s="238">
        <f t="shared" si="23"/>
        <v>0.1518252580710589</v>
      </c>
      <c r="Q109" s="247"/>
      <c r="R109" s="208"/>
      <c r="S109" s="154"/>
      <c r="T109" s="247"/>
    </row>
    <row r="110" spans="1:20" s="3" customFormat="1" ht="12">
      <c r="A110" s="233" t="s">
        <v>170</v>
      </c>
      <c r="B110" s="234">
        <f>VLOOKUP($A110,'Orch iTunes data'!$A$199:$Z$310,2,FALSE)</f>
        <v>52.64</v>
      </c>
      <c r="C110" s="234">
        <f>VLOOKUP($A110,'Orch iTunes data'!$A$199:$Z$310,8,FALSE)</f>
        <v>103.09</v>
      </c>
      <c r="D110" s="234">
        <f>VLOOKUP($A110,'Orch iTunes data'!$A$199:$Z$310,14,FALSE)</f>
        <v>0</v>
      </c>
      <c r="E110" s="234">
        <f>VLOOKUP($A110,'Orch iTunes data'!$A$199:$Z$310,20,FALSE)</f>
        <v>0</v>
      </c>
      <c r="F110" s="234">
        <f>VLOOKUP($A110,'Orch iTunes data'!$A$199:$Z$310,26,FALSE)</f>
        <v>0</v>
      </c>
      <c r="G110" s="235">
        <f t="shared" si="20"/>
        <v>155.73000000000002</v>
      </c>
      <c r="H110" s="218">
        <f t="shared" si="18"/>
        <v>311.46000000000004</v>
      </c>
      <c r="I110" s="268">
        <f>VLOOKUP($A110,[6]ORCH!$C:$U,19,FALSE)</f>
        <v>283.31062048919409</v>
      </c>
      <c r="J110" s="237">
        <f t="shared" si="21"/>
        <v>28.149379510805943</v>
      </c>
      <c r="K110" s="238">
        <f t="shared" si="22"/>
        <v>9.9358716105313119E-2</v>
      </c>
      <c r="L110" s="253">
        <v>562.60000103712082</v>
      </c>
      <c r="M110" s="239">
        <f t="shared" si="19"/>
        <v>874.06000103712086</v>
      </c>
      <c r="N110" s="266">
        <v>695.21380122663606</v>
      </c>
      <c r="O110" s="237">
        <f t="shared" si="24"/>
        <v>178.84619981048479</v>
      </c>
      <c r="P110" s="238">
        <f t="shared" si="23"/>
        <v>0.25725352329733436</v>
      </c>
      <c r="Q110" s="247"/>
      <c r="R110" s="208"/>
      <c r="S110" s="154"/>
      <c r="T110" s="247"/>
    </row>
    <row r="111" spans="1:20" s="3" customFormat="1" ht="12">
      <c r="A111" s="233" t="s">
        <v>171</v>
      </c>
      <c r="B111" s="234">
        <f>VLOOKUP($A111,'Orch iTunes data'!$A$199:$Z$310,2,FALSE)</f>
        <v>0</v>
      </c>
      <c r="C111" s="234">
        <f>VLOOKUP($A111,'Orch iTunes data'!$A$199:$Z$310,8,FALSE)</f>
        <v>0</v>
      </c>
      <c r="D111" s="234">
        <f>VLOOKUP($A111,'Orch iTunes data'!$A$199:$Z$310,14,FALSE)</f>
        <v>0</v>
      </c>
      <c r="E111" s="234">
        <f>VLOOKUP($A111,'Orch iTunes data'!$A$199:$Z$310,20,FALSE)</f>
        <v>0</v>
      </c>
      <c r="F111" s="234">
        <f>VLOOKUP($A111,'Orch iTunes data'!$A$199:$Z$310,26,FALSE)</f>
        <v>0</v>
      </c>
      <c r="G111" s="235">
        <f t="shared" si="20"/>
        <v>0</v>
      </c>
      <c r="H111" s="218">
        <f t="shared" si="18"/>
        <v>0</v>
      </c>
      <c r="I111" s="268">
        <f>VLOOKUP($A111,[6]ORCH!$C:$U,19,FALSE)</f>
        <v>0.95014110761648174</v>
      </c>
      <c r="J111" s="237">
        <f t="shared" si="21"/>
        <v>-0.95014110761648174</v>
      </c>
      <c r="K111" s="238">
        <f t="shared" si="22"/>
        <v>-1</v>
      </c>
      <c r="L111" s="253">
        <v>2.4800000190734881</v>
      </c>
      <c r="M111" s="239">
        <f t="shared" si="19"/>
        <v>2.4800000190734881</v>
      </c>
      <c r="N111" s="266">
        <v>2.3315441192679716</v>
      </c>
      <c r="O111" s="237">
        <f t="shared" si="24"/>
        <v>0.14845589980551654</v>
      </c>
      <c r="P111" s="238">
        <f t="shared" si="23"/>
        <v>6.3672781732359768E-2</v>
      </c>
      <c r="Q111" s="247"/>
      <c r="R111" s="208"/>
      <c r="S111" s="154"/>
      <c r="T111" s="247"/>
    </row>
    <row r="112" spans="1:20" s="3" customFormat="1" ht="12">
      <c r="A112" s="233" t="s">
        <v>173</v>
      </c>
      <c r="B112" s="234">
        <f>VLOOKUP($A112,'Orch iTunes data'!$A$199:$Z$310,2,FALSE)</f>
        <v>0</v>
      </c>
      <c r="C112" s="234">
        <f>VLOOKUP($A112,'Orch iTunes data'!$A$199:$Z$310,8,FALSE)</f>
        <v>3.05</v>
      </c>
      <c r="D112" s="234">
        <f>VLOOKUP($A112,'Orch iTunes data'!$A$199:$Z$310,14,FALSE)</f>
        <v>0</v>
      </c>
      <c r="E112" s="234">
        <f>VLOOKUP($A112,'Orch iTunes data'!$A$199:$Z$310,20,FALSE)</f>
        <v>0</v>
      </c>
      <c r="F112" s="234">
        <f>VLOOKUP($A112,'Orch iTunes data'!$A$199:$Z$310,26,FALSE)</f>
        <v>0</v>
      </c>
      <c r="G112" s="235">
        <f t="shared" si="20"/>
        <v>3.05</v>
      </c>
      <c r="H112" s="218">
        <f t="shared" si="18"/>
        <v>12.2</v>
      </c>
      <c r="I112" s="268">
        <f>VLOOKUP($A112,[6]ORCH!$C:$U,19,FALSE)</f>
        <v>10.750386727574526</v>
      </c>
      <c r="J112" s="237">
        <f t="shared" si="21"/>
        <v>1.4496132724254736</v>
      </c>
      <c r="K112" s="238">
        <f t="shared" si="22"/>
        <v>0.13484289534508043</v>
      </c>
      <c r="L112" s="253">
        <v>65.574999511241884</v>
      </c>
      <c r="M112" s="239">
        <f t="shared" si="19"/>
        <v>77.774999511241887</v>
      </c>
      <c r="N112" s="266">
        <v>26.380293151835886</v>
      </c>
      <c r="O112" s="237">
        <f t="shared" si="24"/>
        <v>51.394706359406001</v>
      </c>
      <c r="P112" s="238">
        <f t="shared" si="23"/>
        <v>1.9482234736208488</v>
      </c>
      <c r="Q112" s="247"/>
      <c r="R112" s="208"/>
      <c r="S112" s="154"/>
      <c r="T112" s="247"/>
    </row>
    <row r="113" spans="1:20" s="3" customFormat="1" ht="12">
      <c r="A113" s="233" t="s">
        <v>174</v>
      </c>
      <c r="B113" s="234">
        <f>VLOOKUP($A113,'Orch iTunes data'!$A$199:$Z$310,2,FALSE)</f>
        <v>488.35</v>
      </c>
      <c r="C113" s="234">
        <f>VLOOKUP($A113,'Orch iTunes data'!$A$199:$Z$310,8,FALSE)</f>
        <v>562.02</v>
      </c>
      <c r="D113" s="234">
        <f>VLOOKUP($A113,'Orch iTunes data'!$A$199:$Z$310,14,FALSE)</f>
        <v>0</v>
      </c>
      <c r="E113" s="234">
        <f>VLOOKUP($A113,'Orch iTunes data'!$A$199:$Z$310,20,FALSE)</f>
        <v>0</v>
      </c>
      <c r="F113" s="234">
        <f>VLOOKUP($A113,'Orch iTunes data'!$A$199:$Z$310,26,FALSE)</f>
        <v>0</v>
      </c>
      <c r="G113" s="235">
        <f t="shared" si="20"/>
        <v>1050.3699999999999</v>
      </c>
      <c r="H113" s="218">
        <f t="shared" si="18"/>
        <v>2100.7399999999998</v>
      </c>
      <c r="I113" s="268">
        <f>VLOOKUP($A113,[6]ORCH!$C:$U,19,FALSE)</f>
        <v>2622.0844644985696</v>
      </c>
      <c r="J113" s="237">
        <f t="shared" si="21"/>
        <v>-521.34446449856978</v>
      </c>
      <c r="K113" s="238">
        <f t="shared" si="22"/>
        <v>-0.19882824964537071</v>
      </c>
      <c r="L113" s="253">
        <v>6612.4099832177135</v>
      </c>
      <c r="M113" s="239">
        <f t="shared" si="19"/>
        <v>8713.1499832177142</v>
      </c>
      <c r="N113" s="266">
        <v>6434.3133503210402</v>
      </c>
      <c r="O113" s="237">
        <f t="shared" si="24"/>
        <v>2278.836632896674</v>
      </c>
      <c r="P113" s="238">
        <f t="shared" si="23"/>
        <v>0.35416935869046096</v>
      </c>
      <c r="Q113" s="247"/>
      <c r="R113" s="208"/>
      <c r="S113" s="154"/>
      <c r="T113" s="247"/>
    </row>
    <row r="114" spans="1:20" s="3" customFormat="1" ht="12">
      <c r="A114" s="233" t="s">
        <v>176</v>
      </c>
      <c r="B114" s="234">
        <f>VLOOKUP($A114,'Orch iTunes data'!$A$199:$Z$310,2,FALSE)</f>
        <v>0.61</v>
      </c>
      <c r="C114" s="234">
        <f>VLOOKUP($A114,'Orch iTunes data'!$A$199:$Z$310,8,FALSE)</f>
        <v>8.5399999999999991</v>
      </c>
      <c r="D114" s="234">
        <f>VLOOKUP($A114,'Orch iTunes data'!$A$199:$Z$310,14,FALSE)</f>
        <v>0</v>
      </c>
      <c r="E114" s="234">
        <f>VLOOKUP($A114,'Orch iTunes data'!$A$199:$Z$310,20,FALSE)</f>
        <v>0</v>
      </c>
      <c r="F114" s="234">
        <f>VLOOKUP($A114,'Orch iTunes data'!$A$199:$Z$310,26,FALSE)</f>
        <v>0</v>
      </c>
      <c r="G114" s="235">
        <f t="shared" si="20"/>
        <v>9.1499999999999986</v>
      </c>
      <c r="H114" s="218">
        <f t="shared" si="18"/>
        <v>18.299999999999997</v>
      </c>
      <c r="I114" s="268">
        <f>VLOOKUP($A114,[6]ORCH!$C:$U,19,FALSE)</f>
        <v>69.418534926165762</v>
      </c>
      <c r="J114" s="237">
        <f t="shared" si="21"/>
        <v>-51.118534926165765</v>
      </c>
      <c r="K114" s="238">
        <f t="shared" si="22"/>
        <v>-0.73638164476585311</v>
      </c>
      <c r="L114" s="253">
        <v>136.38999903202057</v>
      </c>
      <c r="M114" s="239">
        <f t="shared" si="19"/>
        <v>154.68999903202058</v>
      </c>
      <c r="N114" s="266">
        <v>170.34562085343509</v>
      </c>
      <c r="O114" s="237">
        <f t="shared" si="24"/>
        <v>-15.655621821414513</v>
      </c>
      <c r="P114" s="238">
        <f t="shared" si="23"/>
        <v>-9.1905044244633485E-2</v>
      </c>
      <c r="Q114" s="247"/>
      <c r="R114" s="208"/>
      <c r="S114" s="154"/>
      <c r="T114" s="247"/>
    </row>
    <row r="115" spans="1:20" s="3" customFormat="1" ht="12">
      <c r="A115" s="233" t="s">
        <v>181</v>
      </c>
      <c r="B115" s="234">
        <f>VLOOKUP($A115,'Orch iTunes data'!$A$199:$Z$310,2,FALSE)</f>
        <v>15.86</v>
      </c>
      <c r="C115" s="234">
        <f>VLOOKUP($A115,'Orch iTunes data'!$A$199:$Z$310,8,FALSE)</f>
        <v>1.83</v>
      </c>
      <c r="D115" s="234">
        <f>VLOOKUP($A115,'Orch iTunes data'!$A$199:$Z$310,14,FALSE)</f>
        <v>0</v>
      </c>
      <c r="E115" s="234">
        <f>VLOOKUP($A115,'Orch iTunes data'!$A$199:$Z$310,20,FALSE)</f>
        <v>0</v>
      </c>
      <c r="F115" s="234">
        <f>VLOOKUP($A115,'Orch iTunes data'!$A$199:$Z$310,26,FALSE)</f>
        <v>0</v>
      </c>
      <c r="G115" s="235">
        <f t="shared" si="20"/>
        <v>17.689999999999998</v>
      </c>
      <c r="H115" s="218">
        <f t="shared" si="18"/>
        <v>35.379999999999995</v>
      </c>
      <c r="I115" s="268">
        <f>VLOOKUP($A115,[6]ORCH!$C:$U,19,FALSE)</f>
        <v>23.304509303794365</v>
      </c>
      <c r="J115" s="237">
        <f t="shared" si="21"/>
        <v>12.07549069620563</v>
      </c>
      <c r="K115" s="238">
        <f t="shared" si="22"/>
        <v>0.51816112233006928</v>
      </c>
      <c r="L115" s="253">
        <v>50.606667737166106</v>
      </c>
      <c r="M115" s="239">
        <f t="shared" si="19"/>
        <v>85.986667737166101</v>
      </c>
      <c r="N115" s="266">
        <v>57.186760139231502</v>
      </c>
      <c r="O115" s="237">
        <f t="shared" si="24"/>
        <v>28.799907597934599</v>
      </c>
      <c r="P115" s="238">
        <f t="shared" si="23"/>
        <v>0.50361145705432553</v>
      </c>
      <c r="Q115" s="247"/>
      <c r="R115" s="208"/>
      <c r="S115" s="154"/>
      <c r="T115" s="247"/>
    </row>
    <row r="116" spans="1:20" s="3" customFormat="1" ht="12">
      <c r="A116" s="233" t="s">
        <v>183</v>
      </c>
      <c r="B116" s="234">
        <f>VLOOKUP($A116,'Orch iTunes data'!$A$199:$Z$310,2,FALSE)</f>
        <v>5360.2479999999996</v>
      </c>
      <c r="C116" s="234">
        <f>VLOOKUP($A116,'Orch iTunes data'!$A$199:$Z$310,8,FALSE)</f>
        <v>4904.7120000000004</v>
      </c>
      <c r="D116" s="234">
        <f>VLOOKUP($A116,'Orch iTunes data'!$A$199:$Z$310,14,FALSE)</f>
        <v>0</v>
      </c>
      <c r="E116" s="234">
        <f>VLOOKUP($A116,'Orch iTunes data'!$A$199:$Z$310,20,FALSE)</f>
        <v>0</v>
      </c>
      <c r="F116" s="234">
        <f>VLOOKUP($A116,'Orch iTunes data'!$A$199:$Z$310,26,FALSE)</f>
        <v>0</v>
      </c>
      <c r="G116" s="235">
        <f t="shared" si="20"/>
        <v>10264.959999999999</v>
      </c>
      <c r="H116" s="218">
        <f t="shared" si="18"/>
        <v>20529.919999999998</v>
      </c>
      <c r="I116" s="268">
        <f>VLOOKUP($A116,[6]ORCH!$C:$U,19,FALSE)</f>
        <v>18098.610106983655</v>
      </c>
      <c r="J116" s="237">
        <f t="shared" si="21"/>
        <v>2431.3098930163433</v>
      </c>
      <c r="K116" s="238">
        <f t="shared" si="22"/>
        <v>0.13433682910701419</v>
      </c>
      <c r="L116" s="253">
        <v>38906.476378470659</v>
      </c>
      <c r="M116" s="239">
        <f t="shared" si="19"/>
        <v>59436.396378470658</v>
      </c>
      <c r="N116" s="266">
        <v>44412.043246627371</v>
      </c>
      <c r="O116" s="237">
        <f t="shared" si="24"/>
        <v>15024.353131843287</v>
      </c>
      <c r="P116" s="238">
        <f t="shared" si="23"/>
        <v>0.33829457132630864</v>
      </c>
      <c r="Q116" s="247"/>
      <c r="R116" s="208"/>
      <c r="S116" s="154"/>
      <c r="T116" s="247"/>
    </row>
    <row r="117" spans="1:20" s="3" customFormat="1" ht="12">
      <c r="A117" s="233" t="s">
        <v>185</v>
      </c>
      <c r="B117" s="234">
        <f>VLOOKUP($A117,'Orch iTunes data'!$A$199:$Z$310,2,FALSE)</f>
        <v>0</v>
      </c>
      <c r="C117" s="234">
        <f>VLOOKUP($A117,'Orch iTunes data'!$A$199:$Z$310,8,FALSE)</f>
        <v>0</v>
      </c>
      <c r="D117" s="234">
        <f>VLOOKUP($A117,'Orch iTunes data'!$A$199:$Z$310,14,FALSE)</f>
        <v>0</v>
      </c>
      <c r="E117" s="234">
        <f>VLOOKUP($A117,'Orch iTunes data'!$A$199:$Z$310,20,FALSE)</f>
        <v>0</v>
      </c>
      <c r="F117" s="234">
        <f>VLOOKUP($A117,'Orch iTunes data'!$A$199:$Z$310,26,FALSE)</f>
        <v>0</v>
      </c>
      <c r="G117" s="235">
        <f t="shared" si="20"/>
        <v>0</v>
      </c>
      <c r="H117" s="218">
        <f t="shared" si="18"/>
        <v>0</v>
      </c>
      <c r="I117" s="268">
        <f>VLOOKUP($A117,[6]ORCH!$C:$U,19,FALSE)</f>
        <v>2.4305222179398815</v>
      </c>
      <c r="J117" s="237">
        <f t="shared" si="21"/>
        <v>-2.4305222179398815</v>
      </c>
      <c r="K117" s="238">
        <f t="shared" si="22"/>
        <v>-1</v>
      </c>
      <c r="L117" s="253">
        <v>37.819999933242791</v>
      </c>
      <c r="M117" s="239">
        <f t="shared" si="19"/>
        <v>37.819999933242791</v>
      </c>
      <c r="N117" s="266">
        <v>5.9642401939684024</v>
      </c>
      <c r="O117" s="237">
        <f t="shared" si="24"/>
        <v>31.85575973927439</v>
      </c>
      <c r="P117" s="238">
        <f t="shared" si="23"/>
        <v>5.3411262295388298</v>
      </c>
      <c r="Q117" s="247"/>
      <c r="R117" s="208"/>
      <c r="S117" s="154"/>
      <c r="T117" s="247"/>
    </row>
    <row r="118" spans="1:20" s="3" customFormat="1" ht="12">
      <c r="A118" s="233" t="s">
        <v>187</v>
      </c>
      <c r="B118" s="234">
        <f>VLOOKUP($A118,'Orch iTunes data'!$A$199:$Z$310,2,FALSE)</f>
        <v>1.2</v>
      </c>
      <c r="C118" s="234">
        <f>VLOOKUP($A118,'Orch iTunes data'!$A$199:$Z$310,8,FALSE)</f>
        <v>2.4</v>
      </c>
      <c r="D118" s="234">
        <f>VLOOKUP($A118,'Orch iTunes data'!$A$199:$Z$310,14,FALSE)</f>
        <v>0</v>
      </c>
      <c r="E118" s="234">
        <f>VLOOKUP($A118,'Orch iTunes data'!$A$199:$Z$310,20,FALSE)</f>
        <v>0</v>
      </c>
      <c r="F118" s="234">
        <f>VLOOKUP($A118,'Orch iTunes data'!$A$199:$Z$310,26,FALSE)</f>
        <v>0</v>
      </c>
      <c r="G118" s="235">
        <f t="shared" si="20"/>
        <v>3.5999999999999996</v>
      </c>
      <c r="H118" s="218">
        <f t="shared" si="18"/>
        <v>7.1999999999999993</v>
      </c>
      <c r="I118" s="268">
        <f>VLOOKUP($A118,[6]ORCH!$C:$U,19,FALSE)</f>
        <v>6.3720754673790143</v>
      </c>
      <c r="J118" s="237">
        <f t="shared" si="21"/>
        <v>0.82792453262098498</v>
      </c>
      <c r="K118" s="238">
        <f t="shared" si="22"/>
        <v>0.12993012039161081</v>
      </c>
      <c r="L118" s="253">
        <v>15.150000303983692</v>
      </c>
      <c r="M118" s="239">
        <f t="shared" si="19"/>
        <v>22.350000303983691</v>
      </c>
      <c r="N118" s="266">
        <v>15.63638807373451</v>
      </c>
      <c r="O118" s="237">
        <f t="shared" si="24"/>
        <v>6.713612230249181</v>
      </c>
      <c r="P118" s="238">
        <f t="shared" si="23"/>
        <v>0.4293582506772447</v>
      </c>
      <c r="Q118" s="247"/>
      <c r="R118" s="208"/>
      <c r="S118" s="154"/>
      <c r="T118" s="247"/>
    </row>
    <row r="119" spans="1:20" s="3" customFormat="1" ht="12">
      <c r="A119" s="233" t="s">
        <v>189</v>
      </c>
      <c r="B119" s="234">
        <f>VLOOKUP($A119,'Orch iTunes data'!$A$199:$Z$310,2,FALSE)</f>
        <v>54.58</v>
      </c>
      <c r="C119" s="234">
        <f>VLOOKUP($A119,'Orch iTunes data'!$A$199:$Z$310,8,FALSE)</f>
        <v>42.09</v>
      </c>
      <c r="D119" s="234">
        <f>VLOOKUP($A119,'Orch iTunes data'!$A$199:$Z$310,14,FALSE)</f>
        <v>0</v>
      </c>
      <c r="E119" s="234">
        <f>VLOOKUP($A119,'Orch iTunes data'!$A$199:$Z$310,20,FALSE)</f>
        <v>0</v>
      </c>
      <c r="F119" s="234">
        <f>VLOOKUP($A119,'Orch iTunes data'!$A$199:$Z$310,26,FALSE)</f>
        <v>0</v>
      </c>
      <c r="G119" s="235">
        <f t="shared" si="20"/>
        <v>96.67</v>
      </c>
      <c r="H119" s="218">
        <f t="shared" si="18"/>
        <v>193.34</v>
      </c>
      <c r="I119" s="268">
        <f>VLOOKUP($A119,[6]ORCH!$C:$U,19,FALSE)</f>
        <v>324.34292488486733</v>
      </c>
      <c r="J119" s="237">
        <f t="shared" si="21"/>
        <v>-131.00292488486733</v>
      </c>
      <c r="K119" s="238">
        <f t="shared" si="22"/>
        <v>-0.40390252055403925</v>
      </c>
      <c r="L119" s="253">
        <v>573.22000306844689</v>
      </c>
      <c r="M119" s="239">
        <f t="shared" si="19"/>
        <v>766.56000306844692</v>
      </c>
      <c r="N119" s="266">
        <v>795.90266443532209</v>
      </c>
      <c r="O119" s="237">
        <f t="shared" si="24"/>
        <v>-29.342661366875177</v>
      </c>
      <c r="P119" s="238">
        <f t="shared" si="23"/>
        <v>-3.6867148054709982E-2</v>
      </c>
      <c r="Q119" s="247"/>
      <c r="R119" s="208"/>
      <c r="S119" s="154"/>
      <c r="T119" s="247"/>
    </row>
    <row r="120" spans="1:20" s="3" customFormat="1" ht="12">
      <c r="A120" s="233" t="s">
        <v>191</v>
      </c>
      <c r="B120" s="234">
        <f>VLOOKUP($A120,'Orch iTunes data'!$A$199:$Z$310,2,FALSE)</f>
        <v>3</v>
      </c>
      <c r="C120" s="234">
        <f>VLOOKUP($A120,'Orch iTunes data'!$A$199:$Z$310,8,FALSE)</f>
        <v>25.2</v>
      </c>
      <c r="D120" s="234">
        <f>VLOOKUP($A120,'Orch iTunes data'!$A$199:$Z$310,14,FALSE)</f>
        <v>0</v>
      </c>
      <c r="E120" s="234">
        <f>VLOOKUP($A120,'Orch iTunes data'!$A$199:$Z$310,20,FALSE)</f>
        <v>0</v>
      </c>
      <c r="F120" s="234">
        <f>VLOOKUP($A120,'Orch iTunes data'!$A$199:$Z$310,26,FALSE)</f>
        <v>0</v>
      </c>
      <c r="G120" s="235">
        <f t="shared" si="20"/>
        <v>28.2</v>
      </c>
      <c r="H120" s="218">
        <f t="shared" si="18"/>
        <v>56.4</v>
      </c>
      <c r="I120" s="268">
        <f>VLOOKUP($A120,[6]ORCH!$C:$U,19,FALSE)</f>
        <v>12.229235646012205</v>
      </c>
      <c r="J120" s="237">
        <f t="shared" si="21"/>
        <v>44.170764353987792</v>
      </c>
      <c r="K120" s="238">
        <f t="shared" si="22"/>
        <v>3.6118990288973052</v>
      </c>
      <c r="L120" s="253">
        <v>29.55000069737434</v>
      </c>
      <c r="M120" s="239">
        <f t="shared" si="19"/>
        <v>85.950000697374335</v>
      </c>
      <c r="N120" s="266">
        <v>30.009229392389472</v>
      </c>
      <c r="O120" s="237">
        <f t="shared" si="24"/>
        <v>55.940771304984864</v>
      </c>
      <c r="P120" s="238">
        <f t="shared" si="23"/>
        <v>1.8641188873437649</v>
      </c>
      <c r="Q120" s="247"/>
      <c r="R120" s="208"/>
      <c r="S120" s="154"/>
      <c r="T120" s="247"/>
    </row>
    <row r="121" spans="1:20" s="3" customFormat="1" ht="12">
      <c r="A121" s="233" t="s">
        <v>192</v>
      </c>
      <c r="B121" s="234">
        <f>VLOOKUP($A121,'Orch iTunes data'!$A$199:$Z$310,2,FALSE)</f>
        <v>0.61</v>
      </c>
      <c r="C121" s="234">
        <f>VLOOKUP($A121,'Orch iTunes data'!$A$199:$Z$310,8,FALSE)</f>
        <v>9.76</v>
      </c>
      <c r="D121" s="234">
        <f>VLOOKUP($A121,'Orch iTunes data'!$A$199:$Z$310,14,FALSE)</f>
        <v>0</v>
      </c>
      <c r="E121" s="234">
        <f>VLOOKUP($A121,'Orch iTunes data'!$A$199:$Z$310,20,FALSE)</f>
        <v>0</v>
      </c>
      <c r="F121" s="234">
        <f>VLOOKUP($A121,'Orch iTunes data'!$A$199:$Z$310,26,FALSE)</f>
        <v>0</v>
      </c>
      <c r="G121" s="235">
        <f t="shared" si="20"/>
        <v>10.37</v>
      </c>
      <c r="H121" s="218">
        <f t="shared" si="18"/>
        <v>20.74</v>
      </c>
      <c r="I121" s="268">
        <f>VLOOKUP($A121,[6]ORCH!$C:$U,19,FALSE)</f>
        <v>53.84235040569363</v>
      </c>
      <c r="J121" s="237">
        <f t="shared" si="21"/>
        <v>-33.102350405693628</v>
      </c>
      <c r="K121" s="238">
        <f t="shared" si="22"/>
        <v>-0.61480136279847797</v>
      </c>
      <c r="L121" s="253">
        <v>69.939999878406482</v>
      </c>
      <c r="M121" s="239">
        <f t="shared" si="19"/>
        <v>90.679999878406477</v>
      </c>
      <c r="N121" s="266">
        <v>132.12333878583451</v>
      </c>
      <c r="O121" s="237">
        <f t="shared" si="24"/>
        <v>-41.443338907428029</v>
      </c>
      <c r="P121" s="238">
        <f t="shared" si="23"/>
        <v>-0.31367159873703815</v>
      </c>
      <c r="Q121" s="247"/>
      <c r="R121" s="208"/>
      <c r="S121" s="154"/>
      <c r="T121" s="247"/>
    </row>
    <row r="122" spans="1:20" s="3" customFormat="1" ht="12">
      <c r="A122" s="233" t="s">
        <v>193</v>
      </c>
      <c r="B122" s="234">
        <f>VLOOKUP($A122,'Orch iTunes data'!$A$199:$Z$310,2,FALSE)</f>
        <v>503.04</v>
      </c>
      <c r="C122" s="234">
        <f>VLOOKUP($A122,'Orch iTunes data'!$A$199:$Z$310,8,FALSE)</f>
        <v>531.29999999999995</v>
      </c>
      <c r="D122" s="234">
        <f>VLOOKUP($A122,'Orch iTunes data'!$A$199:$Z$310,14,FALSE)</f>
        <v>0</v>
      </c>
      <c r="E122" s="234">
        <f>VLOOKUP($A122,'Orch iTunes data'!$A$199:$Z$310,20,FALSE)</f>
        <v>0</v>
      </c>
      <c r="F122" s="234">
        <f>VLOOKUP($A122,'Orch iTunes data'!$A$199:$Z$310,26,FALSE)</f>
        <v>0</v>
      </c>
      <c r="G122" s="235">
        <f t="shared" si="20"/>
        <v>1034.3399999999999</v>
      </c>
      <c r="H122" s="218">
        <f t="shared" si="18"/>
        <v>2068.6799999999998</v>
      </c>
      <c r="I122" s="268">
        <f>VLOOKUP($A122,[6]ORCH!$C:$U,19,FALSE)</f>
        <v>1918.8283312391311</v>
      </c>
      <c r="J122" s="237">
        <f t="shared" si="21"/>
        <v>149.85166876086873</v>
      </c>
      <c r="K122" s="238">
        <f t="shared" si="22"/>
        <v>7.8095401407846779E-2</v>
      </c>
      <c r="L122" s="253">
        <v>3793.7399676740156</v>
      </c>
      <c r="M122" s="239">
        <f t="shared" si="19"/>
        <v>5862.4199676740154</v>
      </c>
      <c r="N122" s="266">
        <v>4708.598413143498</v>
      </c>
      <c r="O122" s="237">
        <f t="shared" si="24"/>
        <v>1153.8215545305175</v>
      </c>
      <c r="P122" s="238">
        <f t="shared" si="23"/>
        <v>0.2450456491064858</v>
      </c>
      <c r="Q122" s="247"/>
      <c r="R122" s="208"/>
      <c r="S122" s="154"/>
      <c r="T122" s="247"/>
    </row>
    <row r="123" spans="1:20" s="3" customFormat="1" ht="12">
      <c r="A123" s="233" t="s">
        <v>194</v>
      </c>
      <c r="B123" s="234">
        <f>VLOOKUP($A123,'Orch iTunes data'!$A$199:$Z$310,2,FALSE)</f>
        <v>0</v>
      </c>
      <c r="C123" s="234">
        <f>VLOOKUP($A123,'Orch iTunes data'!$A$199:$Z$310,8,FALSE)</f>
        <v>13.8</v>
      </c>
      <c r="D123" s="234">
        <f>VLOOKUP($A123,'Orch iTunes data'!$A$199:$Z$310,14,FALSE)</f>
        <v>0</v>
      </c>
      <c r="E123" s="234">
        <f>VLOOKUP($A123,'Orch iTunes data'!$A$199:$Z$310,20,FALSE)</f>
        <v>0</v>
      </c>
      <c r="F123" s="234">
        <f>VLOOKUP($A123,'Orch iTunes data'!$A$199:$Z$310,26,FALSE)</f>
        <v>0</v>
      </c>
      <c r="G123" s="235">
        <f t="shared" si="20"/>
        <v>13.8</v>
      </c>
      <c r="H123" s="218">
        <f t="shared" si="18"/>
        <v>55.2</v>
      </c>
      <c r="I123" s="268">
        <f>VLOOKUP($A123,[6]ORCH!$C:$U,19,FALSE)</f>
        <v>31.161563653750679</v>
      </c>
      <c r="J123" s="237">
        <f t="shared" si="21"/>
        <v>24.038436346249323</v>
      </c>
      <c r="K123" s="238">
        <f t="shared" si="22"/>
        <v>0.77141303348415258</v>
      </c>
      <c r="L123" s="253">
        <v>47.40000116825103</v>
      </c>
      <c r="M123" s="239">
        <f t="shared" si="19"/>
        <v>102.60000116825103</v>
      </c>
      <c r="N123" s="266">
        <v>76.467126726426727</v>
      </c>
      <c r="O123" s="237">
        <f t="shared" si="24"/>
        <v>26.132874441824299</v>
      </c>
      <c r="P123" s="238">
        <f t="shared" si="23"/>
        <v>0.34175305860933941</v>
      </c>
      <c r="Q123" s="247"/>
      <c r="R123" s="208"/>
      <c r="S123" s="154"/>
      <c r="T123" s="247"/>
    </row>
    <row r="124" spans="1:20" s="3" customFormat="1" ht="12">
      <c r="A124" s="233" t="s">
        <v>197</v>
      </c>
      <c r="B124" s="234">
        <f>VLOOKUP($A124,'Orch iTunes data'!$A$199:$Z$310,2,FALSE)</f>
        <v>12.81</v>
      </c>
      <c r="C124" s="234">
        <f>VLOOKUP($A124,'Orch iTunes data'!$A$199:$Z$310,8,FALSE)</f>
        <v>15.86</v>
      </c>
      <c r="D124" s="234">
        <f>VLOOKUP($A124,'Orch iTunes data'!$A$199:$Z$310,14,FALSE)</f>
        <v>0</v>
      </c>
      <c r="E124" s="234">
        <f>VLOOKUP($A124,'Orch iTunes data'!$A$199:$Z$310,20,FALSE)</f>
        <v>0</v>
      </c>
      <c r="F124" s="234">
        <f>VLOOKUP($A124,'Orch iTunes data'!$A$199:$Z$310,26,FALSE)</f>
        <v>0</v>
      </c>
      <c r="G124" s="235">
        <f t="shared" si="20"/>
        <v>28.67</v>
      </c>
      <c r="H124" s="218">
        <f t="shared" si="18"/>
        <v>57.34</v>
      </c>
      <c r="I124" s="268">
        <f>VLOOKUP($A124,[6]ORCH!$C:$U,19,FALSE)</f>
        <v>38.140502803253987</v>
      </c>
      <c r="J124" s="237">
        <f t="shared" si="21"/>
        <v>19.199497196746016</v>
      </c>
      <c r="K124" s="238">
        <f t="shared" si="22"/>
        <v>0.50338867570219858</v>
      </c>
      <c r="L124" s="253">
        <v>109.79999856154112</v>
      </c>
      <c r="M124" s="239">
        <f t="shared" si="19"/>
        <v>167.13999856154112</v>
      </c>
      <c r="N124" s="266">
        <v>93.592693026334075</v>
      </c>
      <c r="O124" s="237">
        <f t="shared" si="24"/>
        <v>73.547305535207045</v>
      </c>
      <c r="P124" s="238">
        <f t="shared" si="23"/>
        <v>0.78582315731114949</v>
      </c>
      <c r="Q124" s="247"/>
      <c r="R124" s="208"/>
      <c r="S124" s="154"/>
      <c r="T124" s="247"/>
    </row>
    <row r="125" spans="1:20" s="3" customFormat="1" ht="12">
      <c r="A125" s="233" t="s">
        <v>198</v>
      </c>
      <c r="B125" s="234">
        <f>VLOOKUP($A125,'Orch iTunes data'!$A$199:$Z$310,2,FALSE)</f>
        <v>7.5</v>
      </c>
      <c r="C125" s="234">
        <f>VLOOKUP($A125,'Orch iTunes data'!$A$199:$Z$310,8,FALSE)</f>
        <v>7.32</v>
      </c>
      <c r="D125" s="234">
        <f>VLOOKUP($A125,'Orch iTunes data'!$A$199:$Z$310,14,FALSE)</f>
        <v>0</v>
      </c>
      <c r="E125" s="234">
        <f>VLOOKUP($A125,'Orch iTunes data'!$A$199:$Z$310,20,FALSE)</f>
        <v>0</v>
      </c>
      <c r="F125" s="234">
        <f>VLOOKUP($A125,'Orch iTunes data'!$A$199:$Z$310,26,FALSE)</f>
        <v>0</v>
      </c>
      <c r="G125" s="235">
        <f t="shared" si="20"/>
        <v>14.82</v>
      </c>
      <c r="H125" s="218">
        <f t="shared" si="18"/>
        <v>29.64</v>
      </c>
      <c r="I125" s="268">
        <f>VLOOKUP($A125,[6]ORCH!$C:$U,19,FALSE)</f>
        <v>54.104405767514521</v>
      </c>
      <c r="J125" s="237">
        <f t="shared" si="21"/>
        <v>-24.464405767514521</v>
      </c>
      <c r="K125" s="238">
        <f t="shared" si="22"/>
        <v>-0.45217030702892386</v>
      </c>
      <c r="L125" s="253">
        <v>168.7200003862381</v>
      </c>
      <c r="M125" s="239">
        <f t="shared" si="19"/>
        <v>198.36000038623808</v>
      </c>
      <c r="N125" s="266">
        <v>132.76639446764676</v>
      </c>
      <c r="O125" s="237">
        <f t="shared" si="24"/>
        <v>65.593605918591322</v>
      </c>
      <c r="P125" s="238">
        <f t="shared" si="23"/>
        <v>0.4940527772980649</v>
      </c>
      <c r="Q125" s="247"/>
      <c r="R125" s="208"/>
      <c r="S125" s="154"/>
      <c r="T125" s="247"/>
    </row>
    <row r="126" spans="1:20" s="54" customFormat="1">
      <c r="A126" s="231"/>
      <c r="B126" s="43"/>
      <c r="C126" s="43"/>
      <c r="D126" s="44"/>
      <c r="E126" s="44"/>
      <c r="F126" s="44"/>
      <c r="G126" s="44"/>
      <c r="H126" s="52"/>
      <c r="I126" s="303"/>
      <c r="J126" s="41"/>
      <c r="K126" s="109"/>
      <c r="L126" s="254"/>
      <c r="M126" s="130"/>
      <c r="N126" s="267">
        <v>0</v>
      </c>
      <c r="O126" s="41"/>
      <c r="P126" s="109"/>
      <c r="R126" s="230"/>
      <c r="S126" s="151"/>
      <c r="T126" s="247"/>
    </row>
    <row r="127" spans="1:20" ht="12.75" customHeight="1">
      <c r="A127" s="211" t="s">
        <v>78</v>
      </c>
      <c r="B127" s="241">
        <f>SUM('Summary - OLD'!D7:D9)</f>
        <v>48129.274401000002</v>
      </c>
      <c r="C127" s="241">
        <f>SUM('Summary - OLD'!E7:E9)</f>
        <v>42672.101362999994</v>
      </c>
      <c r="D127" s="241">
        <f>SUM('Summary - OLD'!F7:F9)</f>
        <v>0</v>
      </c>
      <c r="E127" s="241">
        <f>SUM('Summary - OLD'!G7:G9)</f>
        <v>0</v>
      </c>
      <c r="F127" s="241">
        <f>SUM('Summary - OLD'!H7:H9)</f>
        <v>0</v>
      </c>
      <c r="G127" s="216">
        <f>SUM(B127:F127)</f>
        <v>90801.375763999997</v>
      </c>
      <c r="H127" s="217">
        <f>IFERROR((((B127+C127+D127+E127+F127))/COUNTIF(B127:F127, "&gt;0")*4),0)</f>
        <v>181602.75152799999</v>
      </c>
      <c r="I127" s="302"/>
      <c r="J127" s="219">
        <f>H127-I127</f>
        <v>181602.75152799999</v>
      </c>
      <c r="K127" s="220" t="e">
        <f>J127/I127</f>
        <v>#DIV/0!</v>
      </c>
      <c r="L127" s="252">
        <v>374248.25806800998</v>
      </c>
      <c r="M127" s="244">
        <f>L127+H127</f>
        <v>555851.00959600997</v>
      </c>
      <c r="N127" s="265">
        <v>283557.13507100154</v>
      </c>
      <c r="O127" s="219">
        <f>M127-N127</f>
        <v>272293.87452500843</v>
      </c>
      <c r="P127" s="220">
        <f>O127/N127</f>
        <v>0.96027869112454944</v>
      </c>
      <c r="R127" s="201">
        <v>1.9238199053312612E-2</v>
      </c>
      <c r="S127" s="151">
        <f>R127*$R$129</f>
        <v>93557.135071001554</v>
      </c>
      <c r="T127" s="247"/>
    </row>
    <row r="128" spans="1:20" ht="15" thickBot="1">
      <c r="A128" s="28"/>
      <c r="B128" s="33"/>
      <c r="C128" s="33"/>
      <c r="D128" s="29"/>
      <c r="E128" s="29"/>
      <c r="F128" s="29"/>
      <c r="G128" s="29"/>
      <c r="H128" s="53"/>
      <c r="I128" s="155"/>
      <c r="J128" s="50"/>
      <c r="K128" s="110"/>
      <c r="L128" s="255"/>
      <c r="M128" s="28"/>
      <c r="N128" s="29"/>
      <c r="O128" s="29"/>
      <c r="P128" s="131"/>
    </row>
    <row r="129" spans="1:19" s="54" customFormat="1" ht="15" thickBot="1">
      <c r="A129" s="30" t="s">
        <v>15</v>
      </c>
      <c r="B129" s="35">
        <f t="shared" ref="B129:F129" si="25">SUM(B4,B8:B9,B14,B18,B22,B27,B30:B31,B34:B36,B49,B67,B81,B127)</f>
        <v>886670.33022400027</v>
      </c>
      <c r="C129" s="35">
        <f t="shared" si="25"/>
        <v>858847.0808939999</v>
      </c>
      <c r="D129" s="35">
        <f t="shared" si="25"/>
        <v>0</v>
      </c>
      <c r="E129" s="35">
        <f t="shared" si="25"/>
        <v>0</v>
      </c>
      <c r="F129" s="35">
        <f t="shared" si="25"/>
        <v>0</v>
      </c>
      <c r="G129" s="35">
        <f>SUM(G4,G8:G9,G14,G18,G22,G27,G30:G31,G34:G36,G49,G67,G81,G127)</f>
        <v>1745517.411118</v>
      </c>
      <c r="H129" s="35">
        <f>SUM(H4,H8:H9,H14,H18,H22,H27,H30:H31,H34:H36,H49,H67,H81,H127)</f>
        <v>3491034.8222360001</v>
      </c>
      <c r="I129" s="35">
        <f>SUM(I4,I8:I9,I14,I18,I22,I27,I30:I31,I34:I36,I49,I67,I81,I127)</f>
        <v>5155694.4553583479</v>
      </c>
      <c r="J129" s="51">
        <f>H129-I129</f>
        <v>-1664659.6331223478</v>
      </c>
      <c r="K129" s="111">
        <f>J129/I129</f>
        <v>-0.32287786786749084</v>
      </c>
      <c r="L129" s="35">
        <f>SUM(L4,L8:L9,L14,L18,L22,L27,L30:L31,L34:L36,L49,L67,L81,L127)</f>
        <v>8650031.9347198308</v>
      </c>
      <c r="M129" s="35">
        <f>SUM(M4,M8:M9,M14,M18,M22,M27,M30:M31,M34:M36,M49,M67,M81,M127)</f>
        <v>12141066.756955832</v>
      </c>
      <c r="N129" s="35">
        <f>SUM(N4,N8:N9,N14,N18,N22,N27,N30:N31,N34:N36,N49,N67,N81,N127)</f>
        <v>12815965.644004514</v>
      </c>
      <c r="O129" s="79">
        <f>M129-N129</f>
        <v>-674898.8870486822</v>
      </c>
      <c r="P129" s="132">
        <f>O129/N129</f>
        <v>-5.2660790906880216E-2</v>
      </c>
      <c r="R129" s="209">
        <v>4863092.1642788602</v>
      </c>
      <c r="S129" s="151"/>
    </row>
    <row r="130" spans="1:19" s="3" customFormat="1" ht="12.75" customHeight="1">
      <c r="A130" s="69"/>
      <c r="B130" s="69"/>
      <c r="C130" s="69"/>
      <c r="D130" s="69"/>
      <c r="E130" s="69"/>
      <c r="F130" s="69"/>
      <c r="G130" s="69"/>
      <c r="H130" s="64"/>
      <c r="L130" s="256"/>
      <c r="R130" s="208"/>
      <c r="S130" s="154"/>
    </row>
    <row r="131" spans="1:19" s="337" customFormat="1">
      <c r="A131" s="339" t="s">
        <v>9</v>
      </c>
      <c r="B131" s="341">
        <f>B4</f>
        <v>490239.294215</v>
      </c>
      <c r="C131" s="341">
        <f t="shared" ref="C131:K131" si="26">C4</f>
        <v>468166.737349</v>
      </c>
      <c r="D131" s="341">
        <f t="shared" si="26"/>
        <v>0</v>
      </c>
      <c r="E131" s="341">
        <f t="shared" si="26"/>
        <v>0</v>
      </c>
      <c r="F131" s="341">
        <f t="shared" si="26"/>
        <v>0</v>
      </c>
      <c r="G131" s="341">
        <f t="shared" si="26"/>
        <v>958406.03156400006</v>
      </c>
      <c r="H131" s="341">
        <f t="shared" si="26"/>
        <v>1916812.0631280001</v>
      </c>
      <c r="I131" s="341">
        <f t="shared" si="26"/>
        <v>3052119.3405237161</v>
      </c>
      <c r="J131" s="341">
        <f t="shared" si="26"/>
        <v>-1135307.2773957159</v>
      </c>
      <c r="K131" s="341">
        <f t="shared" si="26"/>
        <v>-0.37197342263848288</v>
      </c>
      <c r="L131" s="336"/>
      <c r="R131" s="338"/>
      <c r="S131" s="336"/>
    </row>
    <row r="132" spans="1:19" s="337" customFormat="1">
      <c r="A132" s="340" t="s">
        <v>24</v>
      </c>
      <c r="B132" s="342">
        <f>B$8+B$9+B$14+B$18+B$22+B$27+B$36</f>
        <v>213952.30178399998</v>
      </c>
      <c r="C132" s="342">
        <f t="shared" ref="C132:K132" si="27">C$8+C$9+C$14+C$18+C$22+C$27+C$36</f>
        <v>212394.32572800003</v>
      </c>
      <c r="D132" s="342">
        <f t="shared" si="27"/>
        <v>0</v>
      </c>
      <c r="E132" s="342">
        <f t="shared" si="27"/>
        <v>0</v>
      </c>
      <c r="F132" s="342">
        <f t="shared" si="27"/>
        <v>0</v>
      </c>
      <c r="G132" s="342">
        <f t="shared" si="27"/>
        <v>426346.62751199998</v>
      </c>
      <c r="H132" s="342">
        <f t="shared" si="27"/>
        <v>852693.25502399995</v>
      </c>
      <c r="I132" s="342">
        <f t="shared" si="27"/>
        <v>1270857.0258099404</v>
      </c>
      <c r="J132" s="342">
        <f t="shared" si="27"/>
        <v>-418163.77078594052</v>
      </c>
      <c r="K132" s="342">
        <f t="shared" si="27"/>
        <v>-2.1804699599440642</v>
      </c>
      <c r="L132" s="336"/>
      <c r="R132" s="338"/>
      <c r="S132" s="336"/>
    </row>
    <row r="133" spans="1:19" s="337" customFormat="1">
      <c r="A133" s="340" t="s">
        <v>26</v>
      </c>
      <c r="B133" s="342">
        <f>B$30+B$31+B$34+B$35+B$49+B$67+B$81</f>
        <v>134349.45982399999</v>
      </c>
      <c r="C133" s="342">
        <f t="shared" ref="C133:K133" si="28">C$30+C$31+C$34+C$35+C$49+C$67+C$81</f>
        <v>135613.91645399999</v>
      </c>
      <c r="D133" s="342">
        <f t="shared" si="28"/>
        <v>0</v>
      </c>
      <c r="E133" s="342">
        <f t="shared" si="28"/>
        <v>0</v>
      </c>
      <c r="F133" s="342">
        <f t="shared" si="28"/>
        <v>0</v>
      </c>
      <c r="G133" s="342">
        <f t="shared" si="28"/>
        <v>269963.37627800001</v>
      </c>
      <c r="H133" s="342">
        <f t="shared" si="28"/>
        <v>539926.75255600002</v>
      </c>
      <c r="I133" s="342">
        <f t="shared" si="28"/>
        <v>832718.08902469231</v>
      </c>
      <c r="J133" s="342">
        <f t="shared" si="28"/>
        <v>-292791.3364686924</v>
      </c>
      <c r="K133" s="342">
        <f t="shared" si="28"/>
        <v>-2.252671349345992</v>
      </c>
      <c r="L133" s="336"/>
      <c r="R133" s="338"/>
      <c r="S133" s="336"/>
    </row>
    <row r="134" spans="1:19">
      <c r="H134" s="73"/>
      <c r="I134" s="201"/>
      <c r="J134" s="210"/>
    </row>
    <row r="135" spans="1:19">
      <c r="B135" s="148"/>
      <c r="J135" s="104"/>
    </row>
    <row r="136" spans="1:19">
      <c r="I136" s="104">
        <f>I129-I127</f>
        <v>5155694.4553583479</v>
      </c>
    </row>
  </sheetData>
  <mergeCells count="2">
    <mergeCell ref="M1:P1"/>
    <mergeCell ref="A1:K1"/>
  </mergeCells>
  <phoneticPr fontId="19" type="noConversion"/>
  <pageMargins left="0.25" right="0.25" top="0.5" bottom="0.5" header="0.3" footer="0.3"/>
  <pageSetup scale="70" fitToWidth="0" fitToHeight="0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Summary_March</vt:lpstr>
      <vt:lpstr>Weekly Summary</vt:lpstr>
      <vt:lpstr>Summary - OLD</vt:lpstr>
      <vt:lpstr>Orch + IODA iTunes Details</vt:lpstr>
      <vt:lpstr>Sheet4</vt:lpstr>
      <vt:lpstr>iTunes Hidden Labels Summary</vt:lpstr>
      <vt:lpstr>Market Share_Jan 2014</vt:lpstr>
      <vt:lpstr>Market Share_Ex_RED</vt:lpstr>
      <vt:lpstr>Orch Weekly Mgmt</vt:lpstr>
      <vt:lpstr>IODA Weekly iTunes</vt:lpstr>
      <vt:lpstr>IRIS iTunes</vt:lpstr>
      <vt:lpstr>Orch iTunes data</vt:lpstr>
      <vt:lpstr>IODA iTunes data</vt:lpstr>
      <vt:lpstr>IRIS iTunes data</vt:lpstr>
      <vt:lpstr>Deezer</vt:lpstr>
      <vt:lpstr>Youtube</vt:lpstr>
      <vt:lpstr>Spotify</vt:lpstr>
      <vt:lpstr>Amazon</vt:lpstr>
      <vt:lpstr>Cricket</vt:lpstr>
      <vt:lpstr>explanation of DEC projection</vt:lpstr>
      <vt:lpstr>2012 by Top store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Wu</dc:creator>
  <cp:lastModifiedBy>RS</cp:lastModifiedBy>
  <cp:lastPrinted>2014-04-17T12:13:26Z</cp:lastPrinted>
  <dcterms:created xsi:type="dcterms:W3CDTF">2009-03-02T22:09:56Z</dcterms:created>
  <dcterms:modified xsi:type="dcterms:W3CDTF">2014-04-17T12:13:32Z</dcterms:modified>
</cp:coreProperties>
</file>